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saveExternalLinkValues="0" codeName="ThisWorkbook"/>
  <mc:AlternateContent xmlns:mc="http://schemas.openxmlformats.org/markup-compatibility/2006">
    <mc:Choice Requires="x15">
      <x15ac:absPath xmlns:x15ac="http://schemas.microsoft.com/office/spreadsheetml/2010/11/ac" url="C:\Users\Perry\Desktop\Dominion Sims\"/>
    </mc:Choice>
  </mc:AlternateContent>
  <xr:revisionPtr revIDLastSave="0" documentId="13_ncr:1_{818F0054-E905-44B3-92E6-CD882BCA2E55}" xr6:coauthVersionLast="47" xr6:coauthVersionMax="47" xr10:uidLastSave="{00000000-0000-0000-0000-000000000000}"/>
  <bookViews>
    <workbookView xWindow="-120" yWindow="-120" windowWidth="29040" windowHeight="15840" tabRatio="839" activeTab="13"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Q2" i="8"/>
  <c r="I88" i="3"/>
  <c r="I87" i="3"/>
  <c r="L144" i="6"/>
  <c r="M144" i="6" s="1"/>
  <c r="E15" i="4"/>
  <c r="M96" i="6" l="1"/>
  <c r="M87" i="6"/>
  <c r="M84" i="6"/>
  <c r="AE136" i="1"/>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F25" i="4" l="1"/>
  <c r="F24" i="4"/>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I4" i="2" s="1"/>
  <c r="I4" i="11" s="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AT76" i="5" l="1"/>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AD83" i="1" l="1"/>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AD120" i="1" l="1"/>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V79" i="8"/>
  <c r="T79" i="8"/>
  <c r="W79" i="8" s="1"/>
  <c r="BJ80" i="1" l="1"/>
  <c r="AO80" i="1"/>
  <c r="F79" i="9"/>
  <c r="P79" i="7"/>
  <c r="Z79" i="2"/>
  <c r="C79" i="8"/>
  <c r="AA80" i="8" l="1"/>
  <c r="Y79" i="2"/>
  <c r="X79" i="2" s="1"/>
  <c r="AB80" i="7" l="1"/>
  <c r="AV80" i="8"/>
  <c r="H80" i="11"/>
  <c r="B80" i="8"/>
  <c r="D80" i="2" s="1"/>
  <c r="E80" i="2"/>
  <c r="L80" i="2" s="1"/>
  <c r="U80" i="2" l="1"/>
  <c r="W79" i="2" s="1"/>
  <c r="C80" i="2" s="1"/>
  <c r="H80" i="1" s="1"/>
  <c r="V80" i="10" l="1"/>
  <c r="AC80" i="7"/>
  <c r="AJ80" i="7" s="1"/>
  <c r="AK80" i="5"/>
  <c r="C80" i="11"/>
  <c r="AP80" i="8"/>
  <c r="BI80" i="1"/>
  <c r="F80" i="2"/>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<sst xmlns="http://schemas.openxmlformats.org/spreadsheetml/2006/main" count="3021" uniqueCount="1131">
  <si>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</si>
  <si>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</si>
  <si>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</si>
  <si>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</si>
  <si>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</si>
  <si>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</si>
  <si>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</si>
  <si>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</si>
  <si>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</si>
  <si>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</si>
  <si>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</si>
  <si>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</si>
  <si>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</si>
  <si>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</si>
  <si>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</si>
  <si>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</si>
  <si>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</si>
  <si>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</si>
  <si>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</si>
  <si>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</si>
  <si>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</si>
  <si>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</si>
  <si>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</si>
  <si>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</si>
  <si>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</si>
  <si>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</si>
  <si>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</si>
  <si>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</si>
  <si>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</si>
  <si>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</si>
  <si>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</si>
  <si>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</si>
  <si>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</si>
  <si>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</si>
  <si>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</si>
  <si>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</si>
  <si>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</si>
  <si>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</si>
  <si>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</si>
  <si>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</si>
  <si>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</si>
  <si>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</si>
  <si>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</si>
  <si>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</si>
  <si>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</si>
  <si>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</si>
  <si>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</si>
  <si>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</si>
  <si>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</si>
  <si>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</si>
  <si>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</si>
  <si>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</si>
  <si>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</si>
  <si>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</si>
  <si>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</si>
  <si>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</si>
  <si>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</si>
  <si>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</si>
  <si>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</si>
  <si>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</si>
  <si>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</si>
  <si>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</si>
  <si>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</si>
  <si>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</si>
  <si>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</si>
  <si>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</si>
  <si>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</si>
  <si>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</si>
  <si>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</si>
  <si>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</si>
  <si>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</si>
  <si>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</si>
  <si>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</si>
  <si>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</si>
  <si>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</si>
  <si>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</si>
  <si>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</si>
  <si>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</si>
  <si>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</si>
  <si>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</si>
  <si>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</si>
  <si>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</si>
  <si>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</si>
  <si>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</si>
  <si>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</si>
  <si>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</si>
  <si>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</si>
  <si>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</si>
  <si>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</si>
  <si>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</si>
  <si>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</si>
  <si>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</si>
  <si>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</si>
  <si>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</si>
  <si>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</si>
  <si>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</si>
  <si>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</si>
  <si>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</si>
  <si>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</si>
  <si>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</si>
  <si>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</si>
  <si>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</si>
  <si>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</si>
  <si>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</si>
  <si>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</si>
  <si>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</si>
  <si>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</si>
  <si>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</si>
  <si>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</si>
  <si>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</si>
  <si>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</si>
  <si>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</si>
  <si>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</si>
  <si>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</si>
  <si>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</si>
  <si>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</si>
  <si>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</si>
  <si>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</si>
  <si>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</si>
  <si>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</si>
  <si>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</si>
  <si>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</si>
  <si>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</si>
  <si>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</si>
  <si>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</si>
  <si>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</si>
  <si>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</si>
  <si>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</si>
  <si>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</si>
  <si>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</si>
  <si>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</si>
  <si>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</si>
  <si>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</si>
  <si>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</si>
  <si>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</si>
  <si>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</si>
  <si>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</si>
  <si>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</si>
  <si>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</si>
  <si>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</si>
  <si>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</si>
  <si>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</si>
  <si>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</si>
  <si>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</si>
  <si>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</si>
  <si>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</si>
  <si>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</si>
  <si>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</si>
  <si>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</si>
  <si>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</si>
  <si>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</si>
  <si>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</si>
  <si>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</si>
  <si>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</si>
  <si>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</si>
  <si>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</si>
  <si>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</si>
  <si>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</si>
  <si>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</si>
  <si>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</si>
  <si>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</si>
  <si>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</si>
  <si>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</si>
  <si>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</si>
  <si>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</si>
  <si>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</si>
  <si>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</si>
  <si>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</si>
  <si>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</si>
  <si>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</si>
  <si>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</si>
  <si>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</si>
  <si>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</si>
  <si>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</si>
  <si>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</si>
  <si>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</si>
  <si>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</si>
  <si>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</si>
  <si>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</si>
  <si>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</si>
  <si>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</si>
  <si>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</si>
  <si>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</si>
  <si>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</si>
  <si>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</si>
  <si>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</si>
  <si>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</si>
  <si>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</si>
  <si>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</si>
  <si>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</si>
  <si>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</si>
  <si>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</si>
  <si>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</si>
  <si>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</si>
  <si>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</si>
  <si>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</si>
  <si>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</si>
  <si>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</si>
  <si>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</si>
  <si>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</si>
  <si>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</si>
  <si>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</si>
  <si>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</si>
  <si>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</si>
  <si>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</si>
  <si>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</si>
  <si>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</si>
  <si>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</si>
  <si>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</si>
  <si>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</si>
  <si>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</si>
  <si>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</si>
  <si>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</si>
  <si>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</si>
  <si>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</si>
  <si>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</si>
  <si>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</si>
  <si>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</si>
  <si>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</si>
  <si>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</si>
  <si>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</si>
  <si>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</si>
  <si>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</si>
  <si>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</si>
  <si>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</si>
  <si>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</si>
  <si>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</si>
  <si>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</si>
  <si>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</si>
  <si>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</si>
  <si>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</si>
  <si>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</si>
  <si>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</si>
  <si>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</si>
  <si>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</si>
  <si>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</si>
  <si>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</si>
  <si>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</si>
  <si>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</si>
  <si>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</si>
  <si>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</si>
  <si>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</si>
  <si>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</si>
  <si>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</si>
  <si>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</si>
  <si>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</si>
  <si>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</si>
  <si>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</si>
  <si>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</si>
  <si>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</si>
  <si>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</si>
  <si>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</si>
  <si>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</si>
  <si>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</si>
  <si>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</si>
  <si>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</si>
  <si>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</si>
  <si>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</si>
  <si>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</si>
  <si>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</si>
  <si>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</si>
  <si>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</si>
  <si>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</si>
  <si>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</si>
  <si>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</si>
  <si>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</si>
  <si>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</si>
  <si>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</si>
  <si>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</si>
  <si>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</si>
  <si>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</si>
  <si>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</si>
  <si>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</si>
  <si>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</si>
  <si>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</si>
  <si>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</si>
  <si>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</si>
  <si>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</si>
  <si>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</si>
  <si>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</si>
  <si>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</si>
  <si>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</si>
  <si>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</si>
  <si>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</si>
  <si>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</si>
  <si>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</si>
  <si>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</si>
  <si>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</si>
  <si>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</si>
  <si>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</si>
  <si>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</si>
  <si>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</si>
  <si>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</si>
  <si>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</si>
  <si>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</si>
  <si>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</si>
  <si>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</si>
  <si>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</si>
  <si>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</si>
  <si>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</si>
  <si>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</si>
  <si>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</si>
  <si>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</si>
  <si>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</si>
  <si>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</si>
  <si>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</si>
  <si>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</si>
  <si>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</si>
  <si>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</si>
  <si>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</si>
  <si>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</si>
  <si>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</si>
  <si>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</si>
  <si>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</si>
  <si>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</si>
  <si>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</si>
  <si>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</si>
  <si>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</si>
  <si>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</si>
  <si>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</si>
  <si>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</si>
  <si>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</si>
  <si>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</si>
  <si>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</si>
  <si>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</si>
  <si>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</si>
  <si>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</si>
  <si>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</si>
  <si>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</si>
  <si>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</si>
  <si>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</si>
  <si>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</si>
  <si>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</si>
  <si>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</si>
  <si>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</si>
  <si>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</si>
  <si>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</si>
  <si>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</si>
  <si>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</si>
  <si>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</si>
  <si>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</si>
  <si>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</si>
  <si>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</si>
  <si>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</si>
  <si>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</si>
  <si>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</si>
  <si>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</si>
  <si>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</si>
  <si>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</si>
  <si>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</si>
  <si>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</si>
  <si>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</si>
  <si>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</si>
  <si>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</si>
  <si>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</si>
  <si>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</si>
  <si>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</si>
  <si>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</si>
  <si>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</si>
  <si>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</si>
  <si>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</si>
  <si>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</si>
  <si>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</si>
  <si>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</si>
  <si>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</si>
  <si>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</si>
  <si>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</si>
  <si>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</si>
  <si>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</si>
  <si>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</si>
  <si>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</si>
  <si>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</si>
  <si>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</si>
  <si>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</si>
  <si>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</si>
  <si>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</si>
  <si>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</si>
  <si>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</si>
  <si>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</si>
  <si>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</si>
  <si>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</si>
  <si>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</si>
  <si>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</si>
  <si>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</si>
  <si>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</si>
  <si>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</si>
  <si>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</si>
  <si>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</si>
  <si>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</si>
  <si>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</si>
  <si>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</si>
  <si>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</si>
  <si>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</si>
  <si>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</si>
  <si>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</si>
  <si>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</si>
  <si>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</si>
  <si>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</si>
  <si>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</si>
  <si>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</si>
  <si>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</si>
  <si>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</si>
  <si>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</si>
  <si>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</si>
  <si>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</si>
  <si>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</si>
  <si>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</si>
  <si>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</si>
  <si>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</si>
  <si>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</si>
  <si>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</si>
  <si>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</si>
  <si>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</si>
  <si>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</si>
  <si>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</si>
  <si>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</si>
  <si>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</si>
  <si>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</si>
  <si>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</si>
  <si>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</si>
  <si>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</si>
  <si>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</si>
  <si>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</si>
  <si>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</si>
  <si>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</si>
  <si>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</si>
  <si>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</si>
  <si>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</si>
  <si>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</si>
  <si>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</si>
  <si>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</si>
  <si>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</si>
  <si>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</si>
  <si>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</si>
  <si>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</si>
  <si>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</si>
  <si>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</si>
  <si>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</si>
  <si>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</si>
  <si>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</si>
  <si>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</si>
  <si>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</si>
  <si>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</si>
  <si>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</si>
  <si>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</si>
  <si>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</si>
  <si>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</si>
  <si>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</si>
  <si>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</si>
  <si>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</si>
  <si>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</si>
  <si>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</si>
  <si>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</si>
  <si>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</si>
  <si>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</si>
  <si>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</si>
  <si>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</si>
  <si>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</si>
  <si>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</si>
  <si>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</si>
  <si>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</si>
  <si>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</si>
  <si>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</si>
  <si>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</si>
  <si>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</si>
  <si>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</si>
  <si>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</si>
  <si>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</si>
  <si>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</si>
  <si>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</si>
  <si>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</si>
  <si>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</si>
  <si>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</si>
  <si>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</si>
  <si>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</si>
  <si>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</si>
  <si>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</si>
  <si>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</si>
  <si>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</si>
  <si>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</si>
  <si>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</si>
  <si>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</si>
  <si>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</si>
  <si>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</si>
  <si>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</si>
  <si>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</si>
  <si>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</si>
  <si>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</si>
  <si>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</si>
  <si>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</si>
  <si>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</si>
  <si>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</si>
  <si>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</si>
  <si>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</si>
  <si>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</si>
  <si>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</si>
  <si>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</si>
  <si>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</si>
  <si>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</si>
  <si>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</si>
  <si>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</si>
  <si>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</si>
  <si>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</si>
  <si>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</si>
  <si>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</si>
  <si>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</si>
  <si>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</si>
  <si>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</si>
  <si>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</si>
  <si>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</si>
  <si>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</si>
  <si>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</si>
  <si>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</si>
  <si>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</si>
  <si>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</si>
  <si>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</si>
  <si>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</si>
  <si>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</si>
  <si>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</si>
  <si>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</si>
  <si>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</si>
  <si>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</si>
  <si>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</si>
  <si>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</si>
  <si>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</si>
  <si>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</si>
  <si>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</si>
  <si>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</si>
  <si>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</si>
  <si>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</si>
  <si>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</si>
  <si>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</si>
  <si>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</si>
  <si>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</si>
  <si>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</si>
  <si>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</si>
  <si>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</si>
  <si>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</si>
  <si>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</si>
  <si>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</si>
  <si>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</si>
  <si>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</si>
  <si>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</si>
  <si>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</si>
  <si>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</si>
  <si>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</si>
  <si>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</si>
  <si>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</si>
  <si>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</si>
  <si>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</si>
  <si>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</si>
  <si>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</si>
  <si>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</si>
  <si>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</si>
  <si>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</si>
  <si>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</si>
  <si>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</si>
  <si>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</si>
  <si>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</si>
  <si>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</si>
  <si>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</si>
  <si>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</si>
  <si>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</si>
  <si>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</si>
  <si>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</si>
  <si>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</si>
  <si>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</si>
  <si>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</si>
  <si>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</si>
  <si>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</si>
  <si>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</si>
  <si>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</si>
  <si>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</si>
  <si>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</si>
  <si>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</si>
  <si>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</si>
  <si>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</si>
  <si>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</si>
  <si>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</si>
  <si>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</si>
  <si>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</si>
  <si>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</si>
  <si>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</si>
  <si>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</si>
  <si>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</si>
  <si>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</si>
  <si>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</si>
  <si>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</si>
  <si>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</si>
  <si>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</si>
  <si>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</si>
  <si>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</si>
  <si>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</si>
  <si>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</si>
  <si>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</si>
  <si>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</si>
  <si>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</si>
  <si>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</si>
  <si>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</si>
  <si>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</si>
  <si>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</si>
  <si>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</si>
  <si>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</si>
  <si>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</si>
  <si>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</si>
  <si>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</si>
  <si>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</si>
  <si>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</si>
  <si>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</si>
  <si>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</si>
  <si>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</si>
  <si>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</si>
  <si>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</si>
  <si>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</si>
  <si>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</si>
  <si>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</si>
  <si>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</si>
  <si>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</si>
  <si>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</si>
  <si>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</si>
  <si>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</si>
  <si>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</si>
  <si>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</si>
  <si>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</si>
  <si>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</si>
  <si>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</si>
  <si>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</si>
  <si>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</si>
  <si>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</si>
  <si>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</si>
  <si>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</si>
  <si>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</si>
  <si>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</si>
  <si>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</si>
  <si>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</si>
  <si>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</si>
  <si>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</si>
  <si>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</si>
  <si>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</si>
  <si>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</si>
  <si>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</si>
  <si>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</si>
  <si>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</si>
  <si>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</si>
  <si>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</si>
  <si>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</si>
  <si>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</si>
  <si>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</si>
  <si>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</si>
  <si>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</si>
  <si>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</si>
  <si>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</si>
  <si>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</si>
  <si>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</si>
  <si>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</si>
  <si>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</si>
  <si>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</si>
  <si>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</si>
  <si>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</si>
  <si>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</si>
  <si>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</si>
  <si>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</si>
  <si>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</si>
  <si>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</si>
  <si>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</si>
  <si>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</si>
  <si>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</si>
  <si>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</si>
  <si>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</si>
  <si>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</si>
  <si>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</si>
  <si>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</si>
  <si>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</si>
  <si>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</si>
  <si>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</si>
  <si>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</si>
  <si>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</si>
  <si>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</si>
  <si>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</si>
  <si>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</si>
  <si>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</si>
  <si>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</si>
  <si>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</si>
  <si>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</si>
  <si>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</si>
  <si>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</si>
  <si>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</si>
  <si>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</si>
  <si>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</si>
  <si>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</si>
  <si>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</si>
  <si>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</si>
  <si>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</si>
  <si>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</si>
  <si>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</si>
  <si>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</si>
  <si>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</si>
  <si>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</si>
  <si>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</si>
  <si>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</si>
  <si>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</si>
  <si>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</si>
  <si>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</si>
  <si>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</si>
  <si>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</si>
  <si>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</si>
  <si>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</si>
  <si>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</si>
  <si>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</si>
  <si>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</si>
  <si>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</si>
  <si>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</si>
  <si>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</si>
  <si>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</si>
  <si>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</si>
  <si>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</si>
  <si>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</si>
  <si>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</si>
  <si>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</si>
  <si>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</si>
  <si>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</si>
  <si>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</si>
  <si>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</si>
  <si>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</si>
  <si>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</si>
  <si>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</si>
  <si>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</si>
  <si>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</si>
  <si>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</si>
  <si>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</si>
  <si>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</si>
  <si>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</si>
  <si>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</si>
  <si>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</si>
  <si>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</si>
  <si>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</si>
  <si>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</si>
  <si>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</si>
  <si>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</si>
  <si>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</si>
  <si>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</si>
  <si>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</si>
  <si>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</si>
  <si>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</si>
  <si>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</si>
  <si>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</si>
  <si>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</si>
  <si>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</si>
  <si>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</si>
  <si>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</si>
  <si>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</si>
  <si>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</si>
  <si>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</si>
  <si>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</si>
  <si>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</si>
  <si>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</si>
  <si>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</si>
  <si>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</si>
  <si>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</si>
  <si>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</si>
  <si>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</si>
  <si>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</si>
  <si>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</si>
  <si>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</si>
  <si>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</si>
  <si>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</si>
  <si>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</si>
  <si>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</si>
  <si>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</si>
  <si>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</si>
  <si>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</si>
  <si>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</si>
  <si>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</si>
  <si>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</si>
  <si>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</si>
  <si>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</si>
  <si>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</si>
  <si>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</si>
  <si>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</si>
  <si>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</si>
  <si>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</si>
  <si>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</si>
  <si>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</si>
  <si>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</si>
  <si>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</si>
  <si>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</si>
  <si>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</si>
  <si>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</si>
  <si>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</si>
  <si>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</si>
  <si>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</si>
  <si>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</si>
  <si>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</si>
  <si>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</si>
  <si>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</si>
  <si>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</si>
  <si>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</si>
  <si>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</si>
  <si>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</si>
  <si>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</si>
  <si>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</si>
  <si>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</si>
  <si>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</si>
  <si>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</si>
  <si>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</si>
  <si>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</si>
  <si>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</si>
  <si>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</si>
  <si>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</si>
  <si>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</si>
  <si>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</si>
  <si>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</si>
  <si>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</si>
  <si>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</si>
  <si>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</si>
  <si>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</si>
  <si>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</si>
  <si>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</si>
  <si>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</si>
  <si>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</si>
  <si>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</si>
  <si>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</si>
  <si>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</si>
  <si>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</si>
  <si>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</si>
  <si>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</si>
  <si>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</si>
  <si>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</si>
  <si>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</si>
  <si>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</si>
  <si>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</si>
  <si>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</si>
  <si>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</si>
  <si>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</si>
  <si>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</si>
  <si>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</si>
  <si>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</si>
  <si>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</si>
  <si>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</si>
  <si>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</si>
  <si>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</si>
  <si>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</si>
  <si>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</si>
  <si>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</si>
  <si>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</si>
  <si>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</si>
  <si>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</si>
  <si>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</si>
  <si>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</si>
  <si>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</si>
  <si>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</si>
  <si>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</si>
  <si>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</si>
  <si>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</si>
  <si>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</si>
  <si>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</si>
  <si>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</si>
  <si>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</si>
  <si>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</si>
  <si>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</si>
  <si>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</si>
  <si>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</si>
  <si>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</si>
  <si>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</si>
  <si>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</si>
  <si>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</si>
  <si>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</si>
  <si>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</si>
  <si>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</si>
  <si>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</si>
  <si>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</si>
  <si>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</si>
  <si>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</si>
  <si>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</si>
  <si>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</si>
  <si>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</si>
  <si>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</si>
  <si>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</si>
  <si>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</si>
  <si>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</si>
  <si>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</si>
  <si>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</si>
  <si>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</si>
  <si>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</si>
  <si>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</si>
  <si>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</si>
  <si>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</si>
  <si>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</si>
  <si>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</si>
  <si>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</si>
  <si>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</si>
  <si>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</si>
  <si>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</si>
  <si>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</si>
  <si>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</si>
  <si>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</si>
  <si>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</si>
  <si>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</si>
  <si>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</si>
  <si>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</si>
  <si>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</si>
  <si>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</si>
  <si>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</si>
  <si>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</si>
  <si>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</si>
  <si>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</si>
  <si>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</si>
  <si>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</si>
  <si>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</si>
  <si>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</si>
  <si>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</si>
  <si>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</si>
  <si>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</si>
  <si>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</si>
  <si>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</si>
  <si>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</si>
  <si>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</si>
  <si>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</si>
  <si>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</si>
  <si>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</si>
  <si>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</si>
  <si>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</si>
  <si>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</si>
  <si>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</si>
  <si>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</si>
  <si>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</si>
  <si>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</si>
  <si>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</si>
  <si>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</si>
  <si>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</si>
  <si>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</si>
  <si>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</si>
  <si>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</si>
  <si>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</si>
  <si>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</si>
  <si>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</si>
  <si>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</si>
  <si>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</si>
  <si>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</si>
  <si>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</si>
  <si>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</si>
  <si>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</si>
  <si>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</si>
  <si>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</si>
  <si>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</si>
  <si>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</si>
  <si>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</si>
  <si>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</si>
  <si>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</si>
  <si>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</si>
  <si>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</si>
  <si>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</si>
  <si>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</si>
  <si>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</si>
  <si>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</si>
  <si>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</si>
  <si>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</si>
  <si>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</si>
  <si>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</si>
  <si>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</si>
  <si>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</si>
  <si>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</si>
  <si>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</si>
  <si>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</si>
  <si>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</si>
  <si>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</si>
  <si>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</si>
  <si>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</si>
  <si>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</si>
  <si>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</si>
  <si>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</si>
  <si>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</si>
  <si>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</si>
  <si>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</si>
  <si>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</si>
  <si>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</si>
  <si>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</si>
  <si>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</si>
  <si>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</si>
  <si>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</si>
  <si>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</si>
  <si>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</si>
  <si>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</si>
  <si>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</si>
  <si>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</si>
  <si>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</si>
  <si>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</si>
  <si>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</si>
  <si>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</si>
  <si>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</si>
  <si>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</si>
  <si>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</si>
  <si>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</si>
  <si>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</si>
  <si>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</si>
  <si>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</si>
  <si>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</si>
  <si>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</si>
  <si>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</si>
  <si>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</si>
  <si>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</si>
  <si>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</si>
  <si>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</si>
  <si>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</si>
  <si>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</si>
  <si>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</si>
  <si>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</si>
  <si>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</si>
  <si>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</si>
  <si>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</si>
  <si>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</si>
  <si>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</si>
  <si>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</si>
  <si>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</si>
  <si>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</si>
  <si>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</si>
  <si>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</si>
  <si>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</si>
  <si>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</si>
  <si>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</si>
  <si>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</si>
  <si>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</si>
  <si>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</si>
  <si>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</si>
  <si>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</si>
  <si>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</si>
  <si>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</si>
  <si>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</si>
  <si>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</si>
  <si>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</si>
  <si>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</si>
  <si>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</si>
  <si>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</si>
  <si>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</si>
  <si>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</si>
  <si>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</si>
  <si>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</si>
  <si>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</si>
  <si>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</si>
  <si>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</si>
  <si>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</si>
  <si>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</si>
  <si>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</si>
  <si>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</si>
  <si>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</si>
  <si>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</si>
  <si>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</si>
  <si>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</si>
  <si>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</si>
  <si>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</si>
  <si>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</si>
  <si>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</si>
  <si>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</si>
  <si>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</si>
  <si>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</si>
  <si>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</si>
  <si>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</si>
  <si>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</si>
  <si>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</si>
  <si>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</si>
  <si>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</si>
  <si>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</si>
  <si>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</si>
  <si>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</si>
  <si>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</si>
  <si>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</si>
  <si>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</si>
  <si>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</si>
  <si>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</si>
  <si>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</si>
  <si>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</si>
  <si>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</si>
  <si>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</si>
  <si>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</si>
  <si>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</si>
  <si>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</si>
  <si>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</si>
  <si>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</si>
  <si>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</si>
  <si>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</si>
  <si>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</si>
  <si>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</si>
  <si>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</si>
  <si>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</si>
  <si>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</si>
  <si>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</si>
  <si>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</si>
  <si>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</si>
  <si>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</si>
  <si>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</si>
  <si>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</si>
  <si>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</si>
  <si>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</si>
  <si>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</si>
  <si>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</si>
  <si>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</si>
  <si>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</si>
  <si>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</si>
  <si>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</si>
  <si>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</si>
  <si>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</si>
  <si>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</si>
  <si>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</si>
  <si>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</si>
  <si>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</si>
  <si>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</si>
  <si>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</si>
  <si>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</si>
  <si>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</si>
  <si>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</si>
  <si>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</si>
  <si>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</si>
  <si>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</si>
  <si>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</si>
  <si>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</si>
  <si>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</si>
  <si>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</si>
  <si>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</si>
  <si>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</si>
  <si>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</si>
  <si>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</si>
  <si>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</si>
  <si>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OD Round 39.5 - Undying Test Rd.</t>
  </si>
  <si>
    <t>Undead - Vampire mode</t>
  </si>
  <si>
    <t>Undead - Zombie mode</t>
  </si>
  <si>
    <t>Dire Bat</t>
  </si>
  <si>
    <t>Progeny</t>
  </si>
  <si>
    <t>Vampire</t>
  </si>
  <si>
    <t>Zombie</t>
  </si>
  <si>
    <t>Crypt Lord</t>
  </si>
  <si>
    <t>Abomination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</si>
</sst>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opLeftCell="A6"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451</v>
      </c>
      <c r="B1" s="456"/>
      <c r="C1" s="456"/>
      <c r="D1" s="456"/>
      <c r="E1" s="456"/>
      <c r="F1" s="456"/>
      <c r="G1" s="456"/>
      <c r="H1" s="456"/>
      <c r="I1" s="456"/>
      <c r="J1" s="456"/>
      <c r="K1" s="456"/>
      <c r="L1" s="457"/>
      <c r="M1" s="463" t="s">
        <v>1048</v>
      </c>
      <c r="N1" s="464"/>
      <c r="O1" s="465"/>
    </row>
    <row r="2" spans="1:15" s="44" customFormat="1" ht="12.75" customHeight="1" x14ac:dyDescent="0.2">
      <c r="A2" s="490" t="s">
        <v>1088</v>
      </c>
      <c r="B2" s="491"/>
      <c r="C2" s="491"/>
      <c r="D2" s="491"/>
      <c r="E2" s="491"/>
      <c r="F2" s="491"/>
      <c r="G2" s="491"/>
      <c r="H2" s="491"/>
      <c r="I2" s="491"/>
      <c r="J2" s="491"/>
      <c r="K2" s="491"/>
      <c r="L2" s="492"/>
      <c r="M2" s="478" t="s">
        <v>1119</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450</v>
      </c>
      <c r="B8" s="459"/>
      <c r="C8" s="459"/>
      <c r="D8" s="459"/>
      <c r="E8" s="459"/>
      <c r="F8" s="459"/>
      <c r="G8" s="459"/>
      <c r="H8" s="459"/>
      <c r="I8" s="460"/>
      <c r="J8" s="466" t="s">
        <v>1122</v>
      </c>
      <c r="K8" s="467"/>
      <c r="L8" s="468"/>
      <c r="M8" s="481"/>
      <c r="N8" s="482"/>
      <c r="O8" s="483"/>
    </row>
    <row r="9" spans="1:15" s="44" customFormat="1" ht="12.75" customHeight="1" x14ac:dyDescent="0.2">
      <c r="A9" s="461" t="s">
        <v>1047</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257</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344</v>
      </c>
      <c r="C14" s="46"/>
      <c r="D14" s="47" t="s">
        <v>323</v>
      </c>
      <c r="E14" s="47" t="s">
        <v>774</v>
      </c>
      <c r="F14" s="44"/>
      <c r="G14" s="44"/>
      <c r="H14" s="47" t="s">
        <v>487</v>
      </c>
      <c r="I14" s="48" t="s">
        <v>207</v>
      </c>
      <c r="J14" s="49"/>
      <c r="K14" s="50"/>
      <c r="L14" s="44"/>
      <c r="M14" s="44"/>
      <c r="N14" s="44"/>
      <c r="O14" s="51"/>
    </row>
    <row r="15" spans="1:15" s="44" customFormat="1" ht="12.75" customHeight="1" x14ac:dyDescent="0.2">
      <c r="A15" s="45" t="s">
        <v>448</v>
      </c>
      <c r="B15" s="134">
        <v>45430</v>
      </c>
      <c r="D15" s="45" t="s">
        <v>324</v>
      </c>
      <c r="E15" s="53">
        <f>B15+(1+B16-1)/24+B18-6/24</f>
        <v>45429.75</v>
      </c>
      <c r="H15" s="45" t="s">
        <v>164</v>
      </c>
      <c r="I15" s="54">
        <f>INDEX(TblRaces[[Max population]:[Explore Cost]],MATCH(race,TblRaces[Race],0),MATCH(Table4[[#This Row],[Race Bonuses]],TblRaces[[#Headers],[Max population]:[Explore Cost]],0))</f>
        <v>0.05</v>
      </c>
      <c r="K15" s="50" t="s">
        <v>427</v>
      </c>
      <c r="O15" s="51"/>
    </row>
    <row r="16" spans="1:15" s="44" customFormat="1" ht="12.75" customHeight="1" thickBot="1" x14ac:dyDescent="0.25">
      <c r="A16" s="45" t="s">
        <v>320</v>
      </c>
      <c r="B16" s="135">
        <v>0</v>
      </c>
      <c r="C16" s="44" t="s">
        <v>527</v>
      </c>
      <c r="D16" s="45" t="s">
        <v>317</v>
      </c>
      <c r="E16" s="53">
        <f ca="1">NOW()</f>
        <v>45430.623034953707</v>
      </c>
      <c r="H16" s="45" t="s">
        <v>104</v>
      </c>
      <c r="I16" s="54">
        <f>INDEX(TblRaces[[Max population]:[Explore Cost]],MATCH(race,TblRaces[Race],0),MATCH(Table4[[#This Row],[Race Bonuses]],TblRaces[[#Headers],[Max population]:[Explore Cost]],0))</f>
        <v>0</v>
      </c>
      <c r="K16" s="454" t="s">
        <v>452</v>
      </c>
      <c r="L16" s="453"/>
      <c r="M16" s="453"/>
      <c r="N16" s="453"/>
      <c r="O16" s="51"/>
    </row>
    <row r="17" spans="1:15" s="44" customFormat="1" ht="12.75" customHeight="1" thickBot="1" x14ac:dyDescent="0.25">
      <c r="A17" s="45" t="s">
        <v>321</v>
      </c>
      <c r="B17" s="55">
        <f ca="1">TODAY()</f>
        <v>45430</v>
      </c>
      <c r="C17" s="56"/>
      <c r="D17" s="45" t="s">
        <v>316</v>
      </c>
      <c r="E17" s="57">
        <f>0+Log!P16</f>
        <v>0</v>
      </c>
      <c r="F17" s="58"/>
      <c r="G17" s="58"/>
      <c r="H17" s="45" t="s">
        <v>161</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501</v>
      </c>
      <c r="B18" s="136">
        <v>0</v>
      </c>
      <c r="C18" s="56"/>
      <c r="D18" s="45" t="s">
        <v>318</v>
      </c>
      <c r="E18" s="57" t="e">
        <f ca="1">IF(INDIRECT("Imps!L"&amp;TEXT(E17+3,0)),"Yes","Nope")</f>
        <v>#VALUE!</v>
      </c>
      <c r="H18" s="45" t="s">
        <v>106</v>
      </c>
      <c r="I18" s="54">
        <f>INDEX(TblRaces[[Max population]:[Explore Cost]],MATCH(race,TblRaces[Race],0),MATCH(Table4[[#This Row],[Race Bonuses]],TblRaces[[#Headers],[Max population]:[Explore Cost]],0))</f>
        <v>0</v>
      </c>
      <c r="J18" s="49"/>
      <c r="K18" s="453"/>
      <c r="L18" s="453"/>
      <c r="M18" s="453"/>
      <c r="N18" s="453"/>
      <c r="O18" s="51"/>
    </row>
    <row r="19" spans="1:15" s="44" customFormat="1" x14ac:dyDescent="0.2">
      <c r="H19" s="45" t="s">
        <v>107</v>
      </c>
      <c r="I19" s="54">
        <f>INDEX(TblRaces[[Max population]:[Explore Cost]],MATCH(race,TblRaces[Race],0),MATCH(Table4[[#This Row],[Race Bonuses]],TblRaces[[#Headers],[Max population]:[Explore Cost]],0))</f>
        <v>-0.1</v>
      </c>
      <c r="J19" s="49"/>
      <c r="K19" s="453"/>
      <c r="L19" s="453"/>
      <c r="M19" s="453"/>
      <c r="N19" s="453"/>
      <c r="O19" s="60"/>
    </row>
    <row r="20" spans="1:15" s="44" customFormat="1" x14ac:dyDescent="0.2">
      <c r="H20" s="45" t="s">
        <v>108</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319</v>
      </c>
      <c r="B21" s="61" t="s">
        <v>31</v>
      </c>
      <c r="C21" s="61" t="s">
        <v>32</v>
      </c>
      <c r="D21" s="61" t="s">
        <v>2</v>
      </c>
      <c r="E21" s="61" t="s">
        <v>3</v>
      </c>
      <c r="F21" s="61" t="s">
        <v>231</v>
      </c>
      <c r="H21" s="45" t="s">
        <v>109</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Fire Spirit</v>
      </c>
      <c r="B22" s="62">
        <f>_xlfn.IFNA(INDEX(TblRaces[],MATCH(TblUnits[[#This Row],[Unit Names]],TblRaces[Unitname],0),5),"")</f>
        <v>3</v>
      </c>
      <c r="C22" s="62">
        <f>_xlfn.IFNA(INDEX(TblRaces[],MATCH(TblUnits[[#This Row],[Unit Names]],TblRaces[Unitname],0),6),"")</f>
        <v>0</v>
      </c>
      <c r="D22" s="62">
        <f>_xlfn.IFNA(INDEX(TblRaces[],MATCH(TblUnits[[#This Row],[Unit Names]],TblRaces[Unitname],0),7),"")</f>
        <v>300</v>
      </c>
      <c r="E22" s="57">
        <f>_xlfn.IFNA(INDEX(TblRaces[],MATCH(TblUnits[[#This Row],[Unit Names]],TblRaces[Unitname],0),8),"")</f>
        <v>0</v>
      </c>
      <c r="F22" s="57">
        <f>_xlfn.IFNA(INDEX(TblRaces[],MATCH(TblUnits[[#This Row],[Unit Names]],TblRaces[Unitname],0),9),"")</f>
        <v>5</v>
      </c>
      <c r="H22" s="45" t="s">
        <v>110</v>
      </c>
      <c r="I22" s="54">
        <f>INDEX(TblRaces[[Max population]:[Explore Cost]],MATCH(race,TblRaces[Race],0),MATCH(Table4[[#This Row],[Race Bonuses]],TblRaces[[#Headers],[Max population]:[Explore Cost]],0))</f>
        <v>0.15</v>
      </c>
      <c r="J22" s="49"/>
      <c r="K22" s="50"/>
      <c r="O22" s="60"/>
    </row>
    <row r="23" spans="1:15" s="44" customFormat="1" x14ac:dyDescent="0.2">
      <c r="A23" s="63" t="str">
        <f>INDEX(TblRaces[],MATCH(race,TblRaces[Race],0)+1,4)</f>
        <v>Flamewolf</v>
      </c>
      <c r="B23" s="62">
        <f>_xlfn.IFNA(INDEX(TblRaces[],MATCH(TblUnits[[#This Row],[Unit Names]],TblRaces[Unitname],0),5),"")</f>
        <v>0</v>
      </c>
      <c r="C23" s="62">
        <f>_xlfn.IFNA(INDEX(TblRaces[],MATCH(TblUnits[[#This Row],[Unit Names]],TblRaces[Unitname],0),6),"")</f>
        <v>3</v>
      </c>
      <c r="D23" s="62">
        <f>_xlfn.IFNA(INDEX(TblRaces[],MATCH(TblUnits[[#This Row],[Unit Names]],TblRaces[Unitname],0),7),"")</f>
        <v>300</v>
      </c>
      <c r="E23" s="57">
        <f>_xlfn.IFNA(INDEX(TblRaces[],MATCH(TblUnits[[#This Row],[Unit Names]],TblRaces[Unitname],0),8),"")</f>
        <v>0</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Phoenix</v>
      </c>
      <c r="B24" s="62">
        <f ca="1">_xlfn.IFNA(INDEX(TblRaces[],MATCH(TblUnits[[#This Row],[Unit Names]],TblRaces[Unitname],0),5),"")+E80*C80</f>
        <v>0</v>
      </c>
      <c r="C24" s="62">
        <f ca="1">_xlfn.IFNA(INDEX(TblRaces[],MATCH(TblUnits[[#This Row],[Unit Names]],TblRaces[Unitname],0),6),"")+E83*D83+E85*D85+E81*D81+E80*D80+E79*D79+E78*D78+E76*D76</f>
        <v>4.5</v>
      </c>
      <c r="D24" s="62">
        <f>_xlfn.IFNA(INDEX(TblRaces[],MATCH(TblUnits[[#This Row],[Unit Names]],TblRaces[Unitname],0),7),"")</f>
        <v>925</v>
      </c>
      <c r="E24" s="57">
        <f>_xlfn.IFNA(INDEX(TblRaces[],MATCH(TblUnits[[#This Row],[Unit Names]],TblRaces[Unitname],0),8),"")</f>
        <v>0</v>
      </c>
      <c r="F24" s="57">
        <f>_xlfn.IFNA(INDEX(TblRaces[],MATCH(TblUnits[[#This Row],[Unit Names]],TblRaces[Unitname],0),9),"")</f>
        <v>8.1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Salamander</v>
      </c>
      <c r="B25" s="62">
        <f ca="1">_xlfn.IFNA(INDEX(TblRaces[],MATCH(TblUnits[[#This Row],[Unit Names]],TblRaces[Unitname],0),5),"")+E76*C77+E81*C82+E84*C84</f>
        <v>5</v>
      </c>
      <c r="C25" s="62">
        <f ca="1">_xlfn.IFNA(INDEX(TblRaces[],MATCH(TblUnits[[#This Row],[Unit Names]],TblRaces[Unitname],0),6),"")+E76*D77</f>
        <v>3</v>
      </c>
      <c r="D25" s="62">
        <f>_xlfn.IFNA(INDEX(TblRaces[],MATCH(TblUnits[[#This Row],[Unit Names]],TblRaces[Unitname],0),7),"")</f>
        <v>950</v>
      </c>
      <c r="E25" s="57">
        <f>_xlfn.IFNA(INDEX(TblRaces[],MATCH(TblUnits[[#This Row],[Unit Names]],TblRaces[Unitname],0),8),"")</f>
        <v>0</v>
      </c>
      <c r="F25" s="57">
        <f>_xlfn.IFNA(INDEX(TblRaces[],MATCH(TblUnits[[#This Row],[Unit Names]],TblRaces[Unitname],0),9),"")</f>
        <v>10.35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1098</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439</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488</v>
      </c>
      <c r="I29" s="54">
        <f>INDEX(TblRaces[[Max population]:[Explore Cost]],MATCH(race,TblRaces[Race],0),MATCH(Table4[[#This Row],[Race Bonuses]],TblRaces[[#Headers],[Max population]:[Explore Cost]],0))</f>
        <v>0</v>
      </c>
      <c r="O29" s="60"/>
    </row>
    <row r="30" spans="1:15" s="44" customFormat="1" x14ac:dyDescent="0.2">
      <c r="A30" s="66" t="s">
        <v>1083</v>
      </c>
      <c r="D30" s="67"/>
      <c r="E30" s="68"/>
      <c r="G30" s="51"/>
      <c r="H30" s="45" t="s">
        <v>489</v>
      </c>
      <c r="I30" s="54">
        <f>INDEX(TblRaces[[Max population]:[Explore Cost]],MATCH(race,TblRaces[Race],0),MATCH(Table4[[#This Row],[Race Bonuses]],TblRaces[[#Headers],[Max population]:[Explore Cost]],0))</f>
        <v>-0.1</v>
      </c>
      <c r="O30" s="60"/>
    </row>
    <row r="31" spans="1:15" s="44" customFormat="1" x14ac:dyDescent="0.2">
      <c r="A31" s="66"/>
      <c r="D31" s="67"/>
      <c r="E31" s="68"/>
      <c r="G31" s="51"/>
      <c r="H31" s="45" t="s">
        <v>526</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1075</v>
      </c>
      <c r="I32" s="438">
        <f>INDEX(TblRaces[[Max population]:[Explore Cost]],MATCH(race,TblRaces[Race],0),MATCH(Table4[[#This Row],[Race Bonuses]],TblRaces[[#Headers],[Max population]:[Explore Cost]],0))</f>
        <v>0</v>
      </c>
      <c r="J32" s="70"/>
      <c r="O32" s="75"/>
    </row>
    <row r="33" spans="1:15" s="76" customFormat="1" ht="29.25" customHeight="1" x14ac:dyDescent="0.2">
      <c r="A33" s="475" t="s">
        <v>377</v>
      </c>
      <c r="B33" s="453"/>
      <c r="C33" s="453"/>
      <c r="D33" s="453"/>
      <c r="E33" s="453"/>
      <c r="F33" s="453"/>
      <c r="G33" s="453"/>
      <c r="H33" s="453"/>
      <c r="I33" s="453"/>
      <c r="J33" s="476"/>
      <c r="K33" s="477"/>
      <c r="L33" s="477"/>
      <c r="M33" s="477"/>
      <c r="N33" s="477"/>
      <c r="O33" s="477"/>
    </row>
    <row r="34" spans="1:15" x14ac:dyDescent="0.2">
      <c r="A34" s="5" t="s">
        <v>22</v>
      </c>
      <c r="B34" s="45" t="s">
        <v>355</v>
      </c>
      <c r="C34" s="77" t="s">
        <v>31</v>
      </c>
      <c r="D34" s="78" t="s">
        <v>207</v>
      </c>
      <c r="E34" s="79" t="s">
        <v>1019</v>
      </c>
      <c r="F34" s="77" t="s">
        <v>32</v>
      </c>
      <c r="G34" s="78" t="s">
        <v>1017</v>
      </c>
      <c r="H34" s="78" t="s">
        <v>1018</v>
      </c>
      <c r="I34" s="80" t="s">
        <v>774</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428</v>
      </c>
      <c r="L35" s="44"/>
      <c r="M35" s="44"/>
      <c r="N35" s="87"/>
      <c r="O35" s="51"/>
    </row>
    <row r="36" spans="1:15" x14ac:dyDescent="0.2">
      <c r="A36" s="82" t="str">
        <f>spec_op_name</f>
        <v>Fire Spirit</v>
      </c>
      <c r="B36" s="88">
        <f ca="1">Military!E$76</f>
        <v>0</v>
      </c>
      <c r="C36" s="89">
        <f ca="1">B36*B22</f>
        <v>0</v>
      </c>
      <c r="D36" s="90">
        <f ca="1">Military!Q76</f>
        <v>2.5000000000000001E-2</v>
      </c>
      <c r="E36" s="88">
        <f ca="1">C36*(1+$D$36)</f>
        <v>0</v>
      </c>
      <c r="F36" s="91">
        <f ca="1">B36*C22</f>
        <v>0</v>
      </c>
      <c r="G36" s="90">
        <f ca="1">Military!U76</f>
        <v>0.23750000000000002</v>
      </c>
      <c r="H36" s="91">
        <f ca="1">F36*(1+$G$36)</f>
        <v>0</v>
      </c>
      <c r="I36" s="92" t="str">
        <f>A36</f>
        <v>Fire Spirit</v>
      </c>
      <c r="J36" s="44"/>
      <c r="K36" s="451" t="s">
        <v>429</v>
      </c>
      <c r="L36" s="452"/>
      <c r="M36" s="452"/>
      <c r="N36" s="452"/>
      <c r="O36" s="51"/>
    </row>
    <row r="37" spans="1:15" x14ac:dyDescent="0.2">
      <c r="A37" s="93" t="str">
        <f>spec_dp_name</f>
        <v>Flamewolf</v>
      </c>
      <c r="B37" s="94">
        <f ca="1">Military!F$76</f>
        <v>699</v>
      </c>
      <c r="C37" s="95">
        <f ca="1">B37*B23</f>
        <v>0</v>
      </c>
      <c r="D37" s="96"/>
      <c r="E37" s="94">
        <f ca="1">C37*(1+$D$36)</f>
        <v>0</v>
      </c>
      <c r="F37" s="97">
        <f ca="1">B37*C23</f>
        <v>2097</v>
      </c>
      <c r="G37" s="96"/>
      <c r="H37" s="97">
        <f ca="1">F37*(1+$G$36)</f>
        <v>2595.0374999999999</v>
      </c>
      <c r="I37" s="92" t="str">
        <f>A37</f>
        <v>Flamewolf</v>
      </c>
      <c r="J37" s="44"/>
      <c r="K37" s="452"/>
      <c r="L37" s="452"/>
      <c r="M37" s="452"/>
      <c r="N37" s="452"/>
      <c r="O37" s="51"/>
    </row>
    <row r="38" spans="1:15" x14ac:dyDescent="0.2">
      <c r="A38" s="93" t="str">
        <f>elite1_name</f>
        <v>Phoenix</v>
      </c>
      <c r="B38" s="94">
        <f ca="1">Military!G$76</f>
        <v>625</v>
      </c>
      <c r="C38" s="95">
        <f ca="1">B38*B24</f>
        <v>0</v>
      </c>
      <c r="D38" s="96"/>
      <c r="E38" s="94">
        <f ca="1">C38*(1+$D$36)</f>
        <v>0</v>
      </c>
      <c r="F38" s="97">
        <f ca="1">B38*C24+E88*D88</f>
        <v>2812.5</v>
      </c>
      <c r="G38" s="96"/>
      <c r="H38" s="97">
        <f ca="1">F38*(1+$G$36)</f>
        <v>3480.46875</v>
      </c>
      <c r="I38" s="92" t="str">
        <f>A38</f>
        <v>Phoenix</v>
      </c>
      <c r="J38" s="44"/>
      <c r="K38" s="452"/>
      <c r="L38" s="452"/>
      <c r="M38" s="452"/>
      <c r="N38" s="452"/>
      <c r="O38" s="51"/>
    </row>
    <row r="39" spans="1:15" ht="13.5" thickBot="1" x14ac:dyDescent="0.25">
      <c r="A39" s="93" t="str">
        <f>elite2_name</f>
        <v>Salamander</v>
      </c>
      <c r="B39" s="94">
        <f ca="1">Military!H$76</f>
        <v>638</v>
      </c>
      <c r="C39" s="98">
        <f ca="1">B39*B25+E88*C89</f>
        <v>3190</v>
      </c>
      <c r="D39" s="96"/>
      <c r="E39" s="99">
        <f ca="1">C39*(1+$D$36)</f>
        <v>3269.7499999999995</v>
      </c>
      <c r="F39" s="100">
        <f ca="1">B39*C25</f>
        <v>1914</v>
      </c>
      <c r="G39" s="96"/>
      <c r="H39" s="100">
        <f ca="1">F39*(1+$G$36)</f>
        <v>2368.5750000000003</v>
      </c>
      <c r="I39" s="92" t="str">
        <f>A39</f>
        <v>Salamander</v>
      </c>
      <c r="J39" s="44"/>
      <c r="K39" s="454" t="s">
        <v>449</v>
      </c>
      <c r="L39" s="455"/>
      <c r="M39" s="455"/>
      <c r="N39" s="455"/>
      <c r="O39" s="51"/>
    </row>
    <row r="40" spans="1:15" ht="13.5" thickTop="1" x14ac:dyDescent="0.2">
      <c r="A40" s="101"/>
      <c r="B40" s="88"/>
      <c r="C40" s="102">
        <f ca="1">SUM(C36:C39)</f>
        <v>3190</v>
      </c>
      <c r="E40" s="103">
        <f ca="1">SUM(E36:E39)</f>
        <v>3269.7499999999995</v>
      </c>
      <c r="F40" s="35">
        <f ca="1">SUM(F36:F39)</f>
        <v>6823.5</v>
      </c>
      <c r="H40" s="35">
        <f ca="1">SUM(H36:H39)</f>
        <v>8444.0812500000011</v>
      </c>
      <c r="I40" s="84"/>
      <c r="J40" s="44"/>
      <c r="K40" s="455"/>
      <c r="L40" s="455"/>
      <c r="M40" s="455"/>
      <c r="N40" s="455"/>
      <c r="O40" s="51"/>
    </row>
    <row r="41" spans="1:15" x14ac:dyDescent="0.2">
      <c r="A41" s="104" t="s">
        <v>24</v>
      </c>
      <c r="B41" s="97">
        <f ca="1">F41</f>
        <v>0</v>
      </c>
      <c r="C41" s="104"/>
      <c r="E41" s="105"/>
      <c r="F41" s="97">
        <f ca="1">Military!AA76</f>
        <v>0</v>
      </c>
      <c r="H41" s="97">
        <f ca="1">F41*(1+$G$36)</f>
        <v>0</v>
      </c>
      <c r="I41" s="92" t="s">
        <v>420</v>
      </c>
      <c r="J41" s="44"/>
      <c r="K41" s="451" t="s">
        <v>447</v>
      </c>
      <c r="L41" s="452"/>
      <c r="M41" s="452"/>
      <c r="N41" s="452"/>
      <c r="O41" s="51"/>
    </row>
    <row r="42" spans="1:15" ht="13.5" thickBot="1" x14ac:dyDescent="0.25">
      <c r="A42" s="104" t="s">
        <v>419</v>
      </c>
      <c r="B42" s="45">
        <f ca="1">E54</f>
        <v>0</v>
      </c>
      <c r="C42" s="104"/>
      <c r="E42" s="105"/>
      <c r="F42" s="106">
        <f ca="1">MIN(Population!C76/2,Constants!B14*20*Construction!BE76)</f>
        <v>0</v>
      </c>
      <c r="H42" s="107">
        <f ca="1">F42*(1+$G$36)</f>
        <v>0</v>
      </c>
      <c r="I42" s="92" t="s">
        <v>378</v>
      </c>
      <c r="J42" s="44"/>
      <c r="K42" s="452"/>
      <c r="L42" s="452"/>
      <c r="M42" s="452"/>
      <c r="N42" s="452"/>
      <c r="O42" s="51"/>
    </row>
    <row r="43" spans="1:15" ht="13.5" thickTop="1" x14ac:dyDescent="0.2">
      <c r="C43" s="104"/>
      <c r="E43" s="105"/>
      <c r="F43" s="35">
        <f ca="1">F41+F40+F42</f>
        <v>6823.5</v>
      </c>
      <c r="H43" s="103">
        <f ca="1">H41+H40+H42</f>
        <v>8444.0812500000011</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1098</v>
      </c>
      <c r="B46" s="443">
        <f ca="1">Military!J76</f>
        <v>0</v>
      </c>
      <c r="C46" s="44"/>
      <c r="D46" s="5" t="s">
        <v>253</v>
      </c>
      <c r="E46" s="57" t="s">
        <v>355</v>
      </c>
      <c r="F46" s="45" t="s">
        <v>1020</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700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40</v>
      </c>
      <c r="F48" s="113">
        <f ca="1">E48/$E$47</f>
        <v>5.7142857142857141E-2</v>
      </c>
      <c r="G48" s="44"/>
      <c r="H48" s="45" t="s">
        <v>250</v>
      </c>
      <c r="I48" s="114">
        <f ca="1">C40/E47</f>
        <v>4.5571428571428569</v>
      </c>
      <c r="J48" s="114">
        <f ca="1">E40/E47</f>
        <v>4.6710714285714277</v>
      </c>
      <c r="K48" s="44"/>
      <c r="L48" s="44"/>
      <c r="M48" s="44"/>
      <c r="N48" s="44"/>
      <c r="O48" s="51"/>
    </row>
    <row r="49" spans="1:15" x14ac:dyDescent="0.2">
      <c r="A49" s="44"/>
      <c r="B49" s="44"/>
      <c r="C49" s="44"/>
      <c r="D49" s="111" t="str">
        <f>Construction!AZ3</f>
        <v>Tot Alc</v>
      </c>
      <c r="E49" s="45">
        <f ca="1">Construction!AZ76</f>
        <v>275</v>
      </c>
      <c r="F49" s="113">
        <f ca="1">E49/$E$47</f>
        <v>0.39285714285714285</v>
      </c>
      <c r="G49" s="44"/>
      <c r="H49" s="45" t="s">
        <v>251</v>
      </c>
      <c r="I49" s="114">
        <f ca="1">F40/E47</f>
        <v>9.7478571428571428</v>
      </c>
      <c r="J49" s="114">
        <f ca="1">H40/E47</f>
        <v>12.062973214285716</v>
      </c>
      <c r="K49" s="44"/>
      <c r="L49" s="44"/>
      <c r="M49" s="44"/>
      <c r="N49" s="44"/>
      <c r="O49" s="51"/>
    </row>
    <row r="50" spans="1:15" x14ac:dyDescent="0.2">
      <c r="A50" s="108" t="s">
        <v>268</v>
      </c>
      <c r="B50" s="429">
        <f ca="1">Production!N76*(boat_size + tech_6_3_3*Techs!BH76)</f>
        <v>847.49999999999977</v>
      </c>
      <c r="C50" s="44"/>
      <c r="D50" s="111" t="str">
        <f>Construction!BA3</f>
        <v>Tot Farm</v>
      </c>
      <c r="E50" s="45">
        <f ca="1">Construction!BA76</f>
        <v>29</v>
      </c>
      <c r="F50" s="113">
        <f ca="1">E50/$E$47</f>
        <v>4.1428571428571426E-2</v>
      </c>
      <c r="G50" s="44"/>
      <c r="H50" s="45" t="s">
        <v>252</v>
      </c>
      <c r="I50" s="114">
        <f ca="1">(B45 + B46*2 + B38*D90*E90 + B38*D91*E91)/E47</f>
        <v>3.5714285714285712E-2</v>
      </c>
      <c r="J50" s="114">
        <f ca="1">I50*(1+I26)</f>
        <v>3.5714285714285712E-2</v>
      </c>
      <c r="K50" s="44"/>
      <c r="L50" s="44"/>
      <c r="M50" s="44"/>
      <c r="N50" s="44"/>
      <c r="O50" s="51"/>
    </row>
    <row r="51" spans="1:15" x14ac:dyDescent="0.2">
      <c r="A51" s="115" t="s">
        <v>376</v>
      </c>
      <c r="B51" s="430">
        <f>SUM(Imps!M4:'Imps'!M76)</f>
        <v>64</v>
      </c>
      <c r="C51" s="44"/>
      <c r="D51" s="111" t="str">
        <f>Construction!BB3</f>
        <v>Tot Smi</v>
      </c>
      <c r="E51" s="45">
        <f ca="1">Construction!BB76</f>
        <v>126</v>
      </c>
      <c r="F51" s="113">
        <f t="shared" ref="F51:F66" ca="1" si="0">E51/$E$47</f>
        <v>0.18</v>
      </c>
      <c r="G51" s="44"/>
      <c r="H51" s="45" t="s">
        <v>254</v>
      </c>
      <c r="I51" s="114">
        <f ca="1">(B48*2+B47 + B38*D92*E92 + B38*D93*E93)/E47</f>
        <v>3.5714285714285712E-2</v>
      </c>
      <c r="J51" s="114">
        <f ca="1">I51*(1+I27+Constants!O58*Techs!AL76)</f>
        <v>3.5714285714285712E-2</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700</v>
      </c>
      <c r="C53" s="44"/>
      <c r="D53" s="111" t="str">
        <f>Construction!BD3</f>
        <v>Tot Ly</v>
      </c>
      <c r="E53" s="45">
        <f ca="1">Construction!BD76</f>
        <v>25</v>
      </c>
      <c r="F53" s="113">
        <f t="shared" ca="1" si="0"/>
        <v>3.5714285714285712E-2</v>
      </c>
      <c r="G53" s="44"/>
      <c r="H53" s="50" t="s">
        <v>2</v>
      </c>
      <c r="I53" s="44"/>
      <c r="J53" s="44"/>
      <c r="K53" s="44"/>
      <c r="L53" s="44"/>
      <c r="M53" s="44"/>
      <c r="N53" s="44"/>
      <c r="O53" s="51"/>
    </row>
    <row r="54" spans="1:15" x14ac:dyDescent="0.2">
      <c r="A54" s="117" t="s">
        <v>21</v>
      </c>
      <c r="B54" s="427">
        <f ca="1">Population!C76</f>
        <v>9771</v>
      </c>
      <c r="C54" s="44"/>
      <c r="D54" s="111" t="str">
        <f>Construction!BE3</f>
        <v>Tot Hav</v>
      </c>
      <c r="E54" s="45">
        <f ca="1">Construction!BE76</f>
        <v>0</v>
      </c>
      <c r="F54" s="113">
        <f t="shared" ca="1" si="0"/>
        <v>0</v>
      </c>
      <c r="G54" s="44"/>
      <c r="H54" s="45" t="s">
        <v>0</v>
      </c>
      <c r="I54" s="104" t="s">
        <v>217</v>
      </c>
      <c r="J54" s="45" t="s">
        <v>384</v>
      </c>
      <c r="K54" s="44"/>
      <c r="L54" s="44"/>
      <c r="M54" s="44"/>
      <c r="N54" s="44"/>
      <c r="O54" s="51"/>
    </row>
    <row r="55" spans="1:15" x14ac:dyDescent="0.2">
      <c r="A55" s="118" t="s">
        <v>24</v>
      </c>
      <c r="B55" s="428">
        <f ca="1">B41</f>
        <v>0</v>
      </c>
      <c r="C55" s="44"/>
      <c r="D55" s="111" t="str">
        <f>Construction!BF3</f>
        <v>Tot OM</v>
      </c>
      <c r="E55" s="45">
        <f ca="1">Construction!BF76</f>
        <v>0</v>
      </c>
      <c r="F55" s="113">
        <f t="shared" ca="1" si="0"/>
        <v>0</v>
      </c>
      <c r="G55" s="44"/>
      <c r="H55" s="119">
        <v>61</v>
      </c>
      <c r="I55" s="62">
        <f ca="1">Production!H64</f>
        <v>12986</v>
      </c>
      <c r="J55" s="62">
        <f ca="1">Production!H64+SUM(Military!AR4:AR64)</f>
        <v>795890</v>
      </c>
      <c r="K55" s="44"/>
      <c r="L55" s="44"/>
      <c r="M55" s="44"/>
      <c r="N55" s="44"/>
      <c r="O55" s="51"/>
    </row>
    <row r="56" spans="1:15" x14ac:dyDescent="0.2">
      <c r="A56" s="117" t="s">
        <v>231</v>
      </c>
      <c r="B56" s="427">
        <f ca="1">Production!G76</f>
        <v>32850.800000000003</v>
      </c>
      <c r="C56" s="44"/>
      <c r="D56" s="111" t="str">
        <f>Construction!BG3</f>
        <v>Tot GN</v>
      </c>
      <c r="E56" s="45">
        <f ca="1">Construction!BG76</f>
        <v>0</v>
      </c>
      <c r="F56" s="113">
        <f t="shared" ca="1" si="0"/>
        <v>0</v>
      </c>
      <c r="G56" s="44"/>
      <c r="H56" s="119">
        <v>64</v>
      </c>
      <c r="I56" s="62">
        <f ca="1">Production!H67</f>
        <v>7459</v>
      </c>
      <c r="J56" s="62">
        <f ca="1">Production!H67+SUM(Military!AR5:AR67)</f>
        <v>924571</v>
      </c>
      <c r="K56" s="120"/>
      <c r="L56" s="44"/>
      <c r="M56" s="44"/>
      <c r="N56" s="44"/>
      <c r="O56" s="51"/>
    </row>
    <row r="57" spans="1:15" x14ac:dyDescent="0.2">
      <c r="A57" s="118" t="s">
        <v>267</v>
      </c>
      <c r="B57" s="428">
        <f ca="1">H40</f>
        <v>8444.0812500000011</v>
      </c>
      <c r="C57" s="44"/>
      <c r="D57" s="111" t="str">
        <f>Construction!BJ3</f>
        <v>Tot Bar</v>
      </c>
      <c r="E57" s="45">
        <f ca="1">Construction!BJ76</f>
        <v>38</v>
      </c>
      <c r="F57" s="113">
        <f t="shared" ca="1" si="0"/>
        <v>5.4285714285714284E-2</v>
      </c>
      <c r="G57" s="44"/>
      <c r="H57" s="119" t="s">
        <v>230</v>
      </c>
      <c r="I57" s="62">
        <f ca="1">Production!H76</f>
        <v>5612</v>
      </c>
      <c r="J57" s="62">
        <f ca="1">Production!H76+SUM(Military!AR4:AR76)</f>
        <v>1354420</v>
      </c>
      <c r="K57" s="120"/>
      <c r="L57" s="44"/>
      <c r="M57" s="44"/>
      <c r="N57" s="44"/>
      <c r="O57" s="51"/>
    </row>
    <row r="58" spans="1:15" x14ac:dyDescent="0.2">
      <c r="A58" s="117" t="s">
        <v>266</v>
      </c>
      <c r="B58" s="427">
        <f ca="1">E40</f>
        <v>3269.7499999999995</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46564</v>
      </c>
      <c r="C59" s="44"/>
      <c r="D59" s="111" t="str">
        <f>Construction!BI3</f>
        <v>Tot GT</v>
      </c>
      <c r="E59" s="45">
        <f ca="1">Construction!BI76</f>
        <v>55</v>
      </c>
      <c r="F59" s="113">
        <f t="shared" ca="1" si="0"/>
        <v>7.857142857142857E-2</v>
      </c>
      <c r="G59" s="44"/>
      <c r="H59" s="50" t="s">
        <v>277</v>
      </c>
      <c r="I59" s="44"/>
      <c r="J59" s="44"/>
      <c r="K59" s="44"/>
      <c r="L59" s="44"/>
      <c r="M59" s="44"/>
      <c r="N59" s="44"/>
      <c r="O59" s="51"/>
    </row>
    <row r="60" spans="1:15" x14ac:dyDescent="0.2">
      <c r="A60" s="117" t="s">
        <v>2</v>
      </c>
      <c r="B60" s="427">
        <f ca="1">Production!H$76</f>
        <v>5612</v>
      </c>
      <c r="C60" s="44"/>
      <c r="D60" s="111" t="str">
        <f>Construction!BK3</f>
        <v>Tot Shr</v>
      </c>
      <c r="E60" s="45">
        <f ca="1">Construction!BK76</f>
        <v>0</v>
      </c>
      <c r="F60" s="113">
        <f t="shared" ca="1" si="0"/>
        <v>0</v>
      </c>
      <c r="G60" s="44"/>
      <c r="H60" s="45" t="s">
        <v>278</v>
      </c>
      <c r="I60" s="95" t="s">
        <v>217</v>
      </c>
      <c r="J60" s="121" t="s">
        <v>383</v>
      </c>
      <c r="K60" s="44"/>
      <c r="L60" s="44"/>
      <c r="M60" s="44"/>
      <c r="N60" s="44"/>
      <c r="O60" s="51"/>
    </row>
    <row r="61" spans="1:15" x14ac:dyDescent="0.2">
      <c r="A61" s="118" t="s">
        <v>5</v>
      </c>
      <c r="B61" s="428">
        <f ca="1">Production!I$76</f>
        <v>2975</v>
      </c>
      <c r="C61" s="44"/>
      <c r="D61" s="111" t="str">
        <f>Construction!BL3</f>
        <v>Tot Tow</v>
      </c>
      <c r="E61" s="45">
        <f ca="1">Construction!BL76</f>
        <v>29</v>
      </c>
      <c r="F61" s="113">
        <f t="shared" ca="1" si="0"/>
        <v>4.1428571428571426E-2</v>
      </c>
      <c r="G61" s="44"/>
      <c r="H61" s="45" t="s">
        <v>279</v>
      </c>
      <c r="I61" s="97">
        <f ca="1">SUM(Construction!AQ4:AQ76)</f>
        <v>379765</v>
      </c>
      <c r="J61" s="121">
        <f ca="1">IFERROR(Table18[[#This Row],[Amount]]/Table18[[#Totals],[Amount]],0)</f>
        <v>0.17184271006177948</v>
      </c>
      <c r="K61" s="44"/>
      <c r="L61" s="44"/>
      <c r="M61" s="44"/>
      <c r="N61" s="44"/>
      <c r="O61" s="51"/>
    </row>
    <row r="62" spans="1:15" x14ac:dyDescent="0.2">
      <c r="A62" s="117" t="s">
        <v>7</v>
      </c>
      <c r="B62" s="427">
        <f ca="1">Production!J$76</f>
        <v>14045</v>
      </c>
      <c r="C62" s="44"/>
      <c r="D62" s="111" t="str">
        <f>Construction!BM3</f>
        <v>Tot Tem</v>
      </c>
      <c r="E62" s="45">
        <f ca="1">Construction!BM76</f>
        <v>47</v>
      </c>
      <c r="F62" s="113">
        <f t="shared" ca="1" si="0"/>
        <v>6.7142857142857143E-2</v>
      </c>
      <c r="G62" s="44"/>
      <c r="H62" s="45" t="s">
        <v>280</v>
      </c>
      <c r="I62" s="97">
        <f ca="1">SUM(Explore!AH4:AH76)</f>
        <v>461529</v>
      </c>
      <c r="J62" s="121">
        <f ca="1">IFERROR(Table18[[#This Row],[Amount]]/Table18[[#Totals],[Amount]],0)</f>
        <v>0.2088407150003371</v>
      </c>
      <c r="K62" s="44"/>
      <c r="L62" s="44"/>
      <c r="M62" s="44"/>
      <c r="N62" s="44"/>
      <c r="O62" s="51"/>
    </row>
    <row r="63" spans="1:15" x14ac:dyDescent="0.2">
      <c r="A63" s="118" t="s">
        <v>12</v>
      </c>
      <c r="B63" s="428">
        <f ca="1">Production!K$76</f>
        <v>2172.5</v>
      </c>
      <c r="C63" s="44"/>
      <c r="D63" s="111" t="str">
        <f>Construction!BN3</f>
        <v>Tot WG</v>
      </c>
      <c r="E63" s="45">
        <f ca="1">Construction!BN76</f>
        <v>0</v>
      </c>
      <c r="F63" s="113">
        <f t="shared" ca="1" si="0"/>
        <v>0</v>
      </c>
      <c r="G63" s="44"/>
      <c r="H63" s="45" t="s">
        <v>22</v>
      </c>
      <c r="I63" s="97">
        <f ca="1">SUM(Military!AR4:AR76)</f>
        <v>1348808</v>
      </c>
      <c r="J63" s="121">
        <f ca="1">IFERROR(Table18[[#This Row],[Amount]]/Table18[[#Totals],[Amount]],0)</f>
        <v>0.6103322372335751</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19855</v>
      </c>
      <c r="J64" s="121">
        <f ca="1">IFERROR(Table18[[#This Row],[Amount]]/Table18[[#Totals],[Amount]],0)</f>
        <v>8.9843377043082734E-3</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281</v>
      </c>
      <c r="I65" s="97">
        <f>SUM(Imps!AM4:AM76)</f>
        <v>0</v>
      </c>
      <c r="J65" s="121">
        <f ca="1">IFERROR(Table18[[#This Row],[Amount]]/Table18[[#Totals],[Amount]],0)</f>
        <v>0</v>
      </c>
      <c r="K65" s="44"/>
      <c r="L65" s="44"/>
      <c r="M65" s="44"/>
      <c r="N65" s="44"/>
      <c r="O65" s="51"/>
    </row>
    <row r="66" spans="1:15" x14ac:dyDescent="0.2">
      <c r="A66" s="117" t="s">
        <v>82</v>
      </c>
      <c r="B66" s="427">
        <f ca="1">Production!N$76</f>
        <v>28.249999999999993</v>
      </c>
      <c r="C66" s="44"/>
      <c r="D66" s="381" t="str">
        <f>Construction!BQ3</f>
        <v>Tot Doc</v>
      </c>
      <c r="E66" s="74">
        <f ca="1">Construction!BQ76</f>
        <v>24</v>
      </c>
      <c r="F66" s="123">
        <f t="shared" ca="1" si="0"/>
        <v>3.4285714285714287E-2</v>
      </c>
      <c r="G66" s="44"/>
      <c r="H66" s="45" t="s">
        <v>187</v>
      </c>
      <c r="I66" s="97">
        <f ca="1">SUBTOTAL(109,Table18[Amount])</f>
        <v>2209957</v>
      </c>
      <c r="J66" s="342">
        <f>1</f>
        <v>1</v>
      </c>
      <c r="K66" s="44"/>
      <c r="L66" s="44"/>
      <c r="M66" s="44"/>
      <c r="N66" s="44"/>
      <c r="O66" s="51"/>
    </row>
    <row r="67" spans="1:15" x14ac:dyDescent="0.2">
      <c r="A67" s="118" t="s">
        <v>275</v>
      </c>
      <c r="B67" s="428">
        <f>SUM(Explore!T65:Z76)+SUM(Explore!S77:S87)*15</f>
        <v>0</v>
      </c>
      <c r="C67" s="44"/>
      <c r="D67" s="74" t="str">
        <f>B70</f>
        <v>Cavern</v>
      </c>
      <c r="E67" s="122">
        <f ca="1">Construction!DG76</f>
        <v>40</v>
      </c>
      <c r="F67" s="123">
        <f ca="1">E67/E47</f>
        <v>5.7142857142857141E-2</v>
      </c>
      <c r="G67" s="44"/>
      <c r="I67" s="44"/>
      <c r="K67" s="44"/>
      <c r="L67" s="44"/>
      <c r="M67" s="44"/>
      <c r="N67" s="44"/>
      <c r="O67" s="51"/>
    </row>
    <row r="68" spans="1:15" x14ac:dyDescent="0.2">
      <c r="A68" s="117" t="s">
        <v>276</v>
      </c>
      <c r="B68" s="427">
        <f>Construction!D76</f>
        <v>12</v>
      </c>
      <c r="C68" s="44"/>
      <c r="D68" s="5" t="s">
        <v>359</v>
      </c>
      <c r="E68" s="35">
        <f ca="1">E47-SUM(E48:E66)-B68</f>
        <v>0</v>
      </c>
      <c r="F68" s="126">
        <f ca="1">E68/E47</f>
        <v>0</v>
      </c>
      <c r="G68" s="44"/>
      <c r="H68" s="44"/>
      <c r="I68" s="44"/>
      <c r="J68" s="44"/>
      <c r="K68" s="44"/>
      <c r="L68" s="44"/>
      <c r="M68" s="44"/>
      <c r="N68" s="44"/>
      <c r="O68" s="51"/>
    </row>
    <row r="69" spans="1:15" x14ac:dyDescent="0.2">
      <c r="A69" s="124" t="s">
        <v>380</v>
      </c>
      <c r="B69" s="125" t="str">
        <f>VLOOKUP($B$14,Races!$A$4:$B$116,2,FALSE)</f>
        <v>Good</v>
      </c>
      <c r="C69" s="44"/>
      <c r="D69" s="5" t="s">
        <v>360</v>
      </c>
      <c r="E69" s="35">
        <f>B68</f>
        <v>12</v>
      </c>
      <c r="F69" s="5">
        <f ca="1">E69/E47</f>
        <v>1.7142857142857144E-2</v>
      </c>
      <c r="G69" s="44"/>
      <c r="H69" s="44"/>
      <c r="I69" s="44"/>
      <c r="J69" s="44"/>
      <c r="K69" s="44"/>
      <c r="L69" s="44"/>
      <c r="M69" s="44"/>
      <c r="N69" s="44"/>
      <c r="O69" s="51"/>
    </row>
    <row r="70" spans="1:15" x14ac:dyDescent="0.2">
      <c r="A70" s="124" t="s">
        <v>379</v>
      </c>
      <c r="B70" s="125" t="str">
        <f>VLOOKUP($B$14,Races!$A$4:$C$116,3,FALSE)</f>
        <v>Cavern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288</v>
      </c>
      <c r="B73" s="449"/>
      <c r="C73" s="127"/>
      <c r="D73" s="127"/>
      <c r="E73" s="127"/>
    </row>
    <row r="74" spans="1:15" x14ac:dyDescent="0.2">
      <c r="A74" s="128" t="s">
        <v>289</v>
      </c>
      <c r="B74" s="129"/>
      <c r="C74" s="127"/>
      <c r="D74" s="127"/>
      <c r="E74" s="129"/>
    </row>
    <row r="75" spans="1:15" x14ac:dyDescent="0.2">
      <c r="A75" s="130" t="s">
        <v>291</v>
      </c>
      <c r="B75" s="130" t="s">
        <v>292</v>
      </c>
      <c r="C75" s="130" t="s">
        <v>294</v>
      </c>
      <c r="D75" s="130" t="s">
        <v>293</v>
      </c>
      <c r="E75" s="127"/>
    </row>
    <row r="76" spans="1:15" x14ac:dyDescent="0.2">
      <c r="A76" s="127" t="s">
        <v>92</v>
      </c>
      <c r="B76" s="127" t="s">
        <v>124</v>
      </c>
      <c r="C76" s="131"/>
      <c r="D76" s="131">
        <f ca="1">IF(Constants!F115="none",$F$67/Constants!C115,MIN(Constants!F115,$F$67/Constants!C115))</f>
        <v>0.2857142857142857</v>
      </c>
      <c r="E76" s="127" t="b">
        <f>$B$14=A76</f>
        <v>0</v>
      </c>
    </row>
    <row r="77" spans="1:15" x14ac:dyDescent="0.2">
      <c r="A77" s="127"/>
      <c r="B77" s="127" t="s">
        <v>125</v>
      </c>
      <c r="C77" s="131">
        <f ca="1">IF(Constants!F116="none",$F$67/Constants!C116,MIN(Constants!F116,$F$67/Constants!C116))</f>
        <v>0.2857142857142857</v>
      </c>
      <c r="D77" s="131">
        <f ca="1">IF(Constants!F117="none",$F$67/Constants!C117,MIN(Constants!F117,$F$67/Constants!C117))</f>
        <v>0.2857142857142857</v>
      </c>
      <c r="E77" s="127"/>
    </row>
    <row r="78" spans="1:15" x14ac:dyDescent="0.2">
      <c r="A78" s="127" t="s">
        <v>96</v>
      </c>
      <c r="B78" s="127" t="s">
        <v>139</v>
      </c>
      <c r="C78" s="131"/>
      <c r="D78" s="131">
        <f ca="1">MIN(Constants!F118,$F$67/Constants!C118)</f>
        <v>0.2857142857142857</v>
      </c>
      <c r="E78" s="127" t="b">
        <f>$B$14=A78</f>
        <v>0</v>
      </c>
    </row>
    <row r="79" spans="1:15" x14ac:dyDescent="0.2">
      <c r="A79" s="127" t="s">
        <v>94</v>
      </c>
      <c r="B79" s="127" t="s">
        <v>132</v>
      </c>
      <c r="C79" s="131"/>
      <c r="D79" s="131">
        <f ca="1">MIN(Constants!F119,$F$67/Constants!C119)</f>
        <v>0.2857142857142857</v>
      </c>
      <c r="E79" s="127" t="b">
        <f>$B$14=A79</f>
        <v>0</v>
      </c>
    </row>
    <row r="80" spans="1:15" x14ac:dyDescent="0.2">
      <c r="A80" s="127" t="s">
        <v>99</v>
      </c>
      <c r="B80" s="127" t="s">
        <v>147</v>
      </c>
      <c r="C80" s="131">
        <f ca="1">MIN(Constants!F120,F63/Constants!C120)</f>
        <v>0</v>
      </c>
      <c r="D80" s="131">
        <f ca="1">MIN(Constants!F121,F63/Constants!C121)</f>
        <v>0</v>
      </c>
      <c r="E80" s="127" t="b">
        <f>$B$14=A80</f>
        <v>0</v>
      </c>
    </row>
    <row r="81" spans="1:5" x14ac:dyDescent="0.2">
      <c r="A81" s="127" t="s">
        <v>330</v>
      </c>
      <c r="B81" s="127" t="s">
        <v>333</v>
      </c>
      <c r="C81" s="127"/>
      <c r="D81" s="131">
        <f ca="1">MIN(Constants!F122,F67/Constants!C122)</f>
        <v>0.2857142857142857</v>
      </c>
      <c r="E81" s="127" t="b">
        <f>$B$14=A81</f>
        <v>0</v>
      </c>
    </row>
    <row r="82" spans="1:5" x14ac:dyDescent="0.2">
      <c r="A82" s="127"/>
      <c r="B82" s="127" t="s">
        <v>334</v>
      </c>
      <c r="C82" s="127">
        <f ca="1">MIN(Constants!F123,I51*Constants!C123)</f>
        <v>3.5714285714285712E-2</v>
      </c>
      <c r="D82" s="127"/>
      <c r="E82" s="127"/>
    </row>
    <row r="83" spans="1:5" x14ac:dyDescent="0.2">
      <c r="A83" s="127" t="s">
        <v>143</v>
      </c>
      <c r="B83" s="127" t="s">
        <v>375</v>
      </c>
      <c r="C83" s="127"/>
      <c r="D83" s="131">
        <f>MIN(Constants!F124,250/Constants!C124)</f>
        <v>0</v>
      </c>
      <c r="E83" s="127" t="b">
        <f>$B$14=A83</f>
        <v>0</v>
      </c>
    </row>
    <row r="84" spans="1:5" x14ac:dyDescent="0.2">
      <c r="A84" s="127" t="s">
        <v>143</v>
      </c>
      <c r="B84" s="127" t="s">
        <v>358</v>
      </c>
      <c r="C84" s="132">
        <f>MIN(bone_breaker_cap,250/bone_breaker_bonus)</f>
        <v>0.83333333333333337</v>
      </c>
      <c r="E84" s="127" t="b">
        <f>$B$14=A84</f>
        <v>0</v>
      </c>
    </row>
    <row r="85" spans="1:5" x14ac:dyDescent="0.2">
      <c r="A85" s="127" t="s">
        <v>500</v>
      </c>
      <c r="B85" s="127" t="s">
        <v>424</v>
      </c>
      <c r="C85" s="127"/>
      <c r="D85" s="131">
        <f ca="1">MIN(nox_nightshade_cap,E67/E47/nox_nightshade_swamp_bonus)</f>
        <v>0.5714285714285714</v>
      </c>
      <c r="E85" s="127" t="b">
        <f>$B$14=A85</f>
        <v>0</v>
      </c>
    </row>
    <row r="86" spans="1:5" x14ac:dyDescent="0.2">
      <c r="A86" s="127"/>
      <c r="B86" s="127"/>
      <c r="C86" s="127"/>
      <c r="D86" s="131"/>
      <c r="E86" s="127"/>
    </row>
    <row r="87" spans="1:5" x14ac:dyDescent="0.2">
      <c r="A87" s="128" t="s">
        <v>290</v>
      </c>
      <c r="B87" s="127"/>
      <c r="C87" s="127"/>
      <c r="D87" s="127"/>
      <c r="E87" s="127"/>
    </row>
    <row r="88" spans="1:5" x14ac:dyDescent="0.2">
      <c r="A88" s="127" t="s">
        <v>102</v>
      </c>
      <c r="B88" s="127" t="s">
        <v>328</v>
      </c>
      <c r="C88" s="127"/>
      <c r="D88" s="127">
        <f ca="1">MIN(B38,B37)*2</f>
        <v>1250</v>
      </c>
      <c r="E88" s="127" t="b">
        <f>$B$14=A88</f>
        <v>0</v>
      </c>
    </row>
    <row r="89" spans="1:5" x14ac:dyDescent="0.2">
      <c r="A89" s="127"/>
      <c r="B89" s="127" t="s">
        <v>329</v>
      </c>
      <c r="C89" s="127">
        <f ca="1">MIN(B39,B36)*2</f>
        <v>0</v>
      </c>
      <c r="D89" s="127"/>
      <c r="E89" s="127"/>
    </row>
    <row r="90" spans="1:5" x14ac:dyDescent="0.2">
      <c r="A90" s="127" t="s">
        <v>93</v>
      </c>
      <c r="B90" s="127" t="s">
        <v>129</v>
      </c>
      <c r="C90" s="441">
        <v>0.2</v>
      </c>
      <c r="D90" s="441">
        <f>1/3</f>
        <v>0.33333333333333331</v>
      </c>
      <c r="E90" s="127" t="b">
        <f t="shared" ref="E90:E93" si="1">$B$14=A90</f>
        <v>0</v>
      </c>
    </row>
    <row r="91" spans="1:5" x14ac:dyDescent="0.2">
      <c r="A91" s="127" t="s">
        <v>103</v>
      </c>
      <c r="B91" s="127" t="s">
        <v>159</v>
      </c>
      <c r="C91" s="441">
        <v>0.2</v>
      </c>
      <c r="D91" s="441">
        <v>0.2</v>
      </c>
      <c r="E91" s="127" t="b">
        <f t="shared" si="1"/>
        <v>0</v>
      </c>
    </row>
    <row r="92" spans="1:5" x14ac:dyDescent="0.2">
      <c r="A92" s="127" t="s">
        <v>96</v>
      </c>
      <c r="B92" s="127" t="s">
        <v>139</v>
      </c>
      <c r="C92" s="441">
        <v>0.2</v>
      </c>
      <c r="D92" s="441">
        <v>0.25</v>
      </c>
      <c r="E92" s="127" t="b">
        <f t="shared" si="1"/>
        <v>0</v>
      </c>
    </row>
    <row r="93" spans="1:5" x14ac:dyDescent="0.2">
      <c r="A93" s="127" t="s">
        <v>99</v>
      </c>
      <c r="B93" s="127" t="s">
        <v>147</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44"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164</v>
      </c>
      <c r="V1" s="498"/>
      <c r="W1" s="497" t="s">
        <v>168</v>
      </c>
      <c r="X1" s="497"/>
      <c r="Y1" s="497"/>
      <c r="Z1" s="497"/>
      <c r="AA1" s="497" t="s">
        <v>173</v>
      </c>
      <c r="AB1" s="498"/>
      <c r="AC1" s="498"/>
      <c r="AD1" s="498"/>
    </row>
    <row r="2" spans="1:30" s="137" customFormat="1" x14ac:dyDescent="0.2">
      <c r="M2" s="137" t="str">
        <f>Overview!$A$22</f>
        <v>Fire Spirit</v>
      </c>
      <c r="N2" s="137" t="str">
        <f>Overview!$A$23</f>
        <v>Flamewolf</v>
      </c>
      <c r="O2" s="137" t="str">
        <f>Overview!$A$24</f>
        <v>Phoenix</v>
      </c>
      <c r="P2" s="137" t="str">
        <f>Overview!$A$25</f>
        <v>Salamander</v>
      </c>
      <c r="Q2" s="137" t="s">
        <v>25</v>
      </c>
      <c r="R2" s="137" t="s">
        <v>26</v>
      </c>
      <c r="S2" s="137" t="s">
        <v>27</v>
      </c>
    </row>
    <row r="3" spans="1:30" s="139" customFormat="1" ht="15" customHeight="1" x14ac:dyDescent="0.2">
      <c r="A3" s="138" t="s">
        <v>0</v>
      </c>
      <c r="B3" s="138" t="s">
        <v>311</v>
      </c>
      <c r="C3" s="138" t="s">
        <v>21</v>
      </c>
      <c r="D3" s="138" t="s">
        <v>22</v>
      </c>
      <c r="E3" s="138" t="s">
        <v>24</v>
      </c>
      <c r="F3" s="138" t="s">
        <v>187</v>
      </c>
      <c r="G3" s="138" t="s">
        <v>188</v>
      </c>
      <c r="H3" s="138" t="s">
        <v>225</v>
      </c>
      <c r="I3" s="138" t="s">
        <v>265</v>
      </c>
      <c r="J3" s="138" t="s">
        <v>313</v>
      </c>
      <c r="K3" s="138" t="s">
        <v>774</v>
      </c>
      <c r="L3" s="138" t="s">
        <v>1021</v>
      </c>
      <c r="M3" s="138" t="s">
        <v>770</v>
      </c>
      <c r="N3" s="138" t="s">
        <v>771</v>
      </c>
      <c r="O3" s="138" t="s">
        <v>772</v>
      </c>
      <c r="P3" s="138" t="s">
        <v>773</v>
      </c>
      <c r="Q3" s="138" t="s">
        <v>25</v>
      </c>
      <c r="R3" s="138" t="s">
        <v>26</v>
      </c>
      <c r="S3" s="138" t="s">
        <v>183</v>
      </c>
      <c r="T3" s="138" t="s">
        <v>775</v>
      </c>
      <c r="U3" s="138" t="s">
        <v>227</v>
      </c>
      <c r="V3" s="138" t="s">
        <v>175</v>
      </c>
      <c r="W3" s="138" t="s">
        <v>174</v>
      </c>
      <c r="X3" s="138" t="s">
        <v>233</v>
      </c>
      <c r="Y3" s="138" t="s">
        <v>226</v>
      </c>
      <c r="Z3" s="138" t="s">
        <v>1038</v>
      </c>
      <c r="AA3" s="138" t="s">
        <v>777</v>
      </c>
      <c r="AB3" s="138" t="s">
        <v>168</v>
      </c>
      <c r="AC3" s="138" t="s">
        <v>172</v>
      </c>
    </row>
    <row r="4" spans="1:30" x14ac:dyDescent="0.2">
      <c r="A4" s="140">
        <f>TblRezone[[#This Row],[Hour]]</f>
        <v>1</v>
      </c>
      <c r="B4" s="141">
        <f>TblImps[[#This Row],[Time]]</f>
        <v>45429.75</v>
      </c>
      <c r="C4" s="404">
        <f>start_peasants+TblMili[[#This Row],[Release Draft]]+MIN(13,days_late)*days_late_peasants</f>
        <v>1300</v>
      </c>
      <c r="D4" s="97">
        <f ca="1">TblMili[[#This Row],[Military]]</f>
        <v>300</v>
      </c>
      <c r="E4" s="97">
        <f ca="1">TblMili[[#This Row],[Draftees]]</f>
        <v>300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300</v>
      </c>
      <c r="M4" s="62">
        <f>TblMili[[#This Row],[Unit 1]]</f>
        <v>0</v>
      </c>
      <c r="N4" s="62">
        <f>TblMili[[#This Row],[Unit 2]]</f>
        <v>0</v>
      </c>
      <c r="O4" s="62">
        <f>TblMili[[#This Row],[Unit 3]]</f>
        <v>0</v>
      </c>
      <c r="P4" s="62">
        <f>TblMili[[#This Row],[Unit 4]]</f>
        <v>0</v>
      </c>
      <c r="Q4" s="62">
        <f>TblMili[[#This Row],[Spies]]</f>
        <v>0</v>
      </c>
      <c r="R4" s="62">
        <f>TblMili[[#This Row],[Wizards]]</f>
        <v>0</v>
      </c>
      <c r="S4" s="62">
        <f>TblMili[[#This Row],[Archmages]]</f>
        <v>0</v>
      </c>
      <c r="T4" s="145"/>
      <c r="U4" s="97">
        <f ca="1">ROUND(TblPop[[#This Row],[Raw max]]*(1+TblPop[[#This Row],[Max pop]]),0)+MIN(TblPop[[#This Row],[Military]]-TblPop[[#This Row],[Draftees]]-SUM(TblMili[[#This Row],[Train Unit 1]:[Train AM]]),(barracks_size + tech_8_3*TblTech[[#This Row],[8-3]])*TblConstr[[#This Row],[Tot Bar]])</f>
        <v>2475</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7.6249999999999998E-2</v>
      </c>
    </row>
    <row r="5" spans="1:30" x14ac:dyDescent="0.2">
      <c r="A5" s="140">
        <f>TblRezone[[#This Row],[Hour]]</f>
        <v>2</v>
      </c>
      <c r="B5" s="141">
        <f ca="1">TblImps[[#This Row],[Time]]</f>
        <v>45429.791666666664</v>
      </c>
      <c r="C5" s="97">
        <f ca="1">OFFSET(TblPop[[#This Row],[Peasants]],-1,0)+OFFSET(TblPop[[#This Row],[Net Peasant]],-1,0)+TblMili[[#This Row],[Release Draft]]</f>
        <v>1326</v>
      </c>
      <c r="D5" s="97">
        <f ca="1">TblMili[[#This Row],[Military]]</f>
        <v>313</v>
      </c>
      <c r="E5" s="97">
        <f ca="1">TblMili[[#This Row],[Draftees]]</f>
        <v>313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313</v>
      </c>
      <c r="M5" s="62">
        <f ca="1">TblMili[[#This Row],[Unit 1]]</f>
        <v>0</v>
      </c>
      <c r="N5" s="62">
        <f ca="1">TblMili[[#This Row],[Unit 2]]</f>
        <v>0</v>
      </c>
      <c r="O5" s="62">
        <f ca="1">TblMili[[#This Row],[Unit 3]]</f>
        <v>0</v>
      </c>
      <c r="P5" s="62">
        <f ca="1">TblMili[[#This Row],[Unit 4]]</f>
        <v>0</v>
      </c>
      <c r="Q5" s="62">
        <f ca="1">TblMili[[#This Row],[Spies]]</f>
        <v>0</v>
      </c>
      <c r="R5" s="62">
        <f ca="1">TblMili[[#This Row],[Wizards]]</f>
        <v>0</v>
      </c>
      <c r="S5" s="62">
        <f ca="1">TblMili[[#This Row],[Archmages]]</f>
        <v>0</v>
      </c>
      <c r="T5" s="145"/>
      <c r="U5" s="97">
        <f ca="1">ROUND(TblPop[[#This Row],[Raw max]]*(1+TblPop[[#This Row],[Max pop]]),0)+MIN(TblPop[[#This Row],[Military]]-TblPop[[#This Row],[Draftees]]-SUM(TblMili[[#This Row],[Train Unit 1]:[Train AM]]),(barracks_size + tech_8_3*TblTech[[#This Row],[8-3]])*TblConstr[[#This Row],[Tot Bar]])</f>
        <v>3875</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7.6249999999999998E-2</v>
      </c>
    </row>
    <row r="6" spans="1:30" x14ac:dyDescent="0.2">
      <c r="A6" s="140">
        <f>TblRezone[[#This Row],[Hour]]</f>
        <v>3</v>
      </c>
      <c r="B6" s="141">
        <f ca="1">TblImps[[#This Row],[Time]]</f>
        <v>45429.833333333328</v>
      </c>
      <c r="C6" s="97">
        <f ca="1">OFFSET(TblPop[[#This Row],[Peasants]],-1,0)+OFFSET(TblPop[[#This Row],[Net Peasant]],-1,0)+TblMili[[#This Row],[Release Draft]]</f>
        <v>1352</v>
      </c>
      <c r="D6" s="97">
        <f ca="1">TblMili[[#This Row],[Military]]</f>
        <v>326</v>
      </c>
      <c r="E6" s="97">
        <f ca="1">TblMili[[#This Row],[Draftees]]</f>
        <v>326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326</v>
      </c>
      <c r="M6" s="62">
        <f ca="1">TblMili[[#This Row],[Unit 1]]</f>
        <v>0</v>
      </c>
      <c r="N6" s="62">
        <f ca="1">TblMili[[#This Row],[Unit 2]]</f>
        <v>0</v>
      </c>
      <c r="O6" s="62">
        <f ca="1">TblMili[[#This Row],[Unit 3]]</f>
        <v>0</v>
      </c>
      <c r="P6" s="62">
        <f ca="1">TblMili[[#This Row],[Unit 4]]</f>
        <v>0</v>
      </c>
      <c r="Q6" s="62">
        <f ca="1">TblMili[[#This Row],[Spies]]</f>
        <v>0</v>
      </c>
      <c r="R6" s="62">
        <f ca="1">TblMili[[#This Row],[Wizards]]</f>
        <v>0</v>
      </c>
      <c r="S6" s="62">
        <f ca="1">TblMili[[#This Row],[Archmages]]</f>
        <v>0</v>
      </c>
      <c r="T6" s="145"/>
      <c r="U6" s="97">
        <f ca="1">ROUND(TblPop[[#This Row],[Raw max]]*(1+TblPop[[#This Row],[Max pop]]),0)+MIN(TblPop[[#This Row],[Military]]-TblPop[[#This Row],[Draftees]]-SUM(TblMili[[#This Row],[Train Unit 1]:[Train AM]]),(barracks_size + tech_8_3*TblTech[[#This Row],[8-3]])*TblConstr[[#This Row],[Tot Bar]])</f>
        <v>3875</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7.6249999999999998E-2</v>
      </c>
    </row>
    <row r="7" spans="1:30" x14ac:dyDescent="0.2">
      <c r="A7" s="140">
        <f>TblRezone[[#This Row],[Hour]]</f>
        <v>4</v>
      </c>
      <c r="B7" s="141">
        <f ca="1">TblImps[[#This Row],[Time]]</f>
        <v>45429.874999999993</v>
      </c>
      <c r="C7" s="97">
        <f ca="1">OFFSET(TblPop[[#This Row],[Peasants]],-1,0)+OFFSET(TblPop[[#This Row],[Net Peasant]],-1,0)+TblMili[[#This Row],[Release Draft]]</f>
        <v>1378</v>
      </c>
      <c r="D7" s="97">
        <f ca="1">TblMili[[#This Row],[Military]]</f>
        <v>340</v>
      </c>
      <c r="E7" s="97">
        <f ca="1">TblMili[[#This Row],[Draftees]]</f>
        <v>340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340</v>
      </c>
      <c r="M7" s="62">
        <f ca="1">TblMili[[#This Row],[Unit 1]]</f>
        <v>0</v>
      </c>
      <c r="N7" s="62">
        <f ca="1">TblMili[[#This Row],[Unit 2]]</f>
        <v>0</v>
      </c>
      <c r="O7" s="62">
        <f ca="1">TblMili[[#This Row],[Unit 3]]</f>
        <v>0</v>
      </c>
      <c r="P7" s="62">
        <f ca="1">TblMili[[#This Row],[Unit 4]]</f>
        <v>0</v>
      </c>
      <c r="Q7" s="62">
        <f ca="1">TblMili[[#This Row],[Spies]]</f>
        <v>0</v>
      </c>
      <c r="R7" s="62">
        <f ca="1">TblMili[[#This Row],[Wizards]]</f>
        <v>0</v>
      </c>
      <c r="S7" s="62">
        <f ca="1">TblMili[[#This Row],[Archmages]]</f>
        <v>0</v>
      </c>
      <c r="T7" s="145"/>
      <c r="U7" s="97">
        <f ca="1">ROUND(TblPop[[#This Row],[Raw max]]*(1+TblPop[[#This Row],[Max pop]]),0)+MIN(TblPop[[#This Row],[Military]]-TblPop[[#This Row],[Draftees]]-SUM(TblMili[[#This Row],[Train Unit 1]:[Train AM]]),(barracks_size + tech_8_3*TblTech[[#This Row],[8-3]])*TblConstr[[#This Row],[Tot Bar]])</f>
        <v>3875</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7.6249999999999998E-2</v>
      </c>
    </row>
    <row r="8" spans="1:30" x14ac:dyDescent="0.2">
      <c r="A8" s="140">
        <f>TblRezone[[#This Row],[Hour]]</f>
        <v>5</v>
      </c>
      <c r="B8" s="141">
        <f ca="1">TblImps[[#This Row],[Time]]</f>
        <v>45429.916666666657</v>
      </c>
      <c r="C8" s="97">
        <f ca="1">OFFSET(TblPop[[#This Row],[Peasants]],-1,0)+OFFSET(TblPop[[#This Row],[Net Peasant]],-1,0)+TblMili[[#This Row],[Release Draft]]</f>
        <v>1405</v>
      </c>
      <c r="D8" s="97">
        <f ca="1">TblMili[[#This Row],[Military]]</f>
        <v>354</v>
      </c>
      <c r="E8" s="97">
        <f ca="1">TblMili[[#This Row],[Draftees]]</f>
        <v>354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354</v>
      </c>
      <c r="M8" s="62">
        <f ca="1">TblMili[[#This Row],[Unit 1]]</f>
        <v>0</v>
      </c>
      <c r="N8" s="62">
        <f ca="1">TblMili[[#This Row],[Unit 2]]</f>
        <v>0</v>
      </c>
      <c r="O8" s="62">
        <f ca="1">TblMili[[#This Row],[Unit 3]]</f>
        <v>0</v>
      </c>
      <c r="P8" s="62">
        <f ca="1">TblMili[[#This Row],[Unit 4]]</f>
        <v>0</v>
      </c>
      <c r="Q8" s="62">
        <f ca="1">TblMili[[#This Row],[Spies]]</f>
        <v>0</v>
      </c>
      <c r="R8" s="62">
        <f ca="1">TblMili[[#This Row],[Wizards]]</f>
        <v>0</v>
      </c>
      <c r="S8" s="62">
        <f ca="1">TblMili[[#This Row],[Archmages]]</f>
        <v>0</v>
      </c>
      <c r="T8" s="145"/>
      <c r="U8" s="97">
        <f ca="1">ROUND(TblPop[[#This Row],[Raw max]]*(1+TblPop[[#This Row],[Max pop]]),0)+MIN(TblPop[[#This Row],[Military]]-TblPop[[#This Row],[Draftees]]-SUM(TblMili[[#This Row],[Train Unit 1]:[Train AM]]),(barracks_size + tech_8_3*TblTech[[#This Row],[8-3]])*TblConstr[[#This Row],[Tot Bar]])</f>
        <v>3875</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7.6249999999999998E-2</v>
      </c>
    </row>
    <row r="9" spans="1:30" x14ac:dyDescent="0.2">
      <c r="A9" s="140">
        <f>TblRezone[[#This Row],[Hour]]</f>
        <v>6</v>
      </c>
      <c r="B9" s="141">
        <f ca="1">TblImps[[#This Row],[Time]]</f>
        <v>45429.958333333321</v>
      </c>
      <c r="C9" s="97">
        <f ca="1">OFFSET(TblPop[[#This Row],[Peasants]],-1,0)+OFFSET(TblPop[[#This Row],[Net Peasant]],-1,0)+TblMili[[#This Row],[Release Draft]]</f>
        <v>1433</v>
      </c>
      <c r="D9" s="97">
        <f ca="1">TblMili[[#This Row],[Military]]</f>
        <v>272</v>
      </c>
      <c r="E9" s="97">
        <f ca="1">TblMili[[#This Row],[Draftees]]</f>
        <v>272</v>
      </c>
      <c r="F9" s="97">
        <f ca="1">TblPop[[#This Row],[Peasants]]+TblPop[[#This Row],[Military]]</f>
        <v>1705</v>
      </c>
      <c r="G9" s="142">
        <f ca="1">TblPop[[#This Row],[Military]]/TblPop[[#This Row],[Total]]</f>
        <v>0.15953079178885632</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272</v>
      </c>
      <c r="M9" s="62">
        <f ca="1">TblMili[[#This Row],[Unit 1]]</f>
        <v>0</v>
      </c>
      <c r="N9" s="62">
        <f ca="1">TblMili[[#This Row],[Unit 2]]</f>
        <v>0</v>
      </c>
      <c r="O9" s="62">
        <f ca="1">TblMili[[#This Row],[Unit 3]]</f>
        <v>0</v>
      </c>
      <c r="P9" s="62">
        <f ca="1">TblMili[[#This Row],[Unit 4]]</f>
        <v>0</v>
      </c>
      <c r="Q9" s="62">
        <f ca="1">TblMili[[#This Row],[Spies]]</f>
        <v>0</v>
      </c>
      <c r="R9" s="62">
        <f ca="1">TblMili[[#This Row],[Wizards]]</f>
        <v>0</v>
      </c>
      <c r="S9" s="62">
        <f ca="1">TblMili[[#This Row],[Archmages]]</f>
        <v>0</v>
      </c>
      <c r="T9" s="145"/>
      <c r="U9" s="97">
        <f ca="1">ROUND(TblPop[[#This Row],[Raw max]]*(1+TblPop[[#This Row],[Max pop]]),0)+MIN(TblPop[[#This Row],[Military]]-TblPop[[#This Row],[Draftees]]-SUM(TblMili[[#This Row],[Train Unit 1]:[Train AM]]),(barracks_size + tech_8_3*TblTech[[#This Row],[8-3]])*TblConstr[[#This Row],[Tot Bar]])</f>
        <v>3875</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7.6249999999999998E-2</v>
      </c>
    </row>
    <row r="10" spans="1:30" x14ac:dyDescent="0.2">
      <c r="A10" s="140">
        <f>TblRezone[[#This Row],[Hour]]</f>
        <v>7</v>
      </c>
      <c r="B10" s="141">
        <f ca="1">TblImps[[#This Row],[Time]]</f>
        <v>45429.999999999985</v>
      </c>
      <c r="C10" s="97">
        <f ca="1">OFFSET(TblPop[[#This Row],[Peasants]],-1,0)+OFFSET(TblPop[[#This Row],[Net Peasant]],-1,0)+TblMili[[#This Row],[Release Draft]]</f>
        <v>1462</v>
      </c>
      <c r="D10" s="97">
        <f ca="1">TblMili[[#This Row],[Military]]</f>
        <v>282</v>
      </c>
      <c r="E10" s="97">
        <f ca="1">TblMili[[#This Row],[Draftees]]</f>
        <v>282</v>
      </c>
      <c r="F10" s="97">
        <f ca="1">TblPop[[#This Row],[Peasants]]+TblPop[[#This Row],[Military]]</f>
        <v>1744</v>
      </c>
      <c r="G10" s="142">
        <f ca="1">TblPop[[#This Row],[Military]]/TblPop[[#This Row],[Total]]</f>
        <v>0.16169724770642202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282</v>
      </c>
      <c r="M10" s="62">
        <f ca="1">TblMili[[#This Row],[Unit 1]]</f>
        <v>0</v>
      </c>
      <c r="N10" s="62">
        <f ca="1">TblMili[[#This Row],[Unit 2]]</f>
        <v>0</v>
      </c>
      <c r="O10" s="62">
        <f ca="1">TblMili[[#This Row],[Unit 3]]</f>
        <v>0</v>
      </c>
      <c r="P10" s="62">
        <f ca="1">TblMili[[#This Row],[Unit 4]]</f>
        <v>0</v>
      </c>
      <c r="Q10" s="62">
        <f ca="1">TblMili[[#This Row],[Spies]]</f>
        <v>0</v>
      </c>
      <c r="R10" s="62">
        <f ca="1">TblMili[[#This Row],[Wizards]]</f>
        <v>0</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3875</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7.6249999999999998E-2</v>
      </c>
    </row>
    <row r="11" spans="1:30" x14ac:dyDescent="0.2">
      <c r="A11" s="140">
        <f>TblRezone[[#This Row],[Hour]]</f>
        <v>8</v>
      </c>
      <c r="B11" s="141">
        <f ca="1">TblImps[[#This Row],[Time]]</f>
        <v>45430.04166666665</v>
      </c>
      <c r="C11" s="97">
        <f ca="1">OFFSET(TblPop[[#This Row],[Peasants]],-1,0)+OFFSET(TblPop[[#This Row],[Net Peasant]],-1,0)+TblMili[[#This Row],[Release Draft]]</f>
        <v>1490</v>
      </c>
      <c r="D11" s="97">
        <f ca="1">TblMili[[#This Row],[Military]]</f>
        <v>293</v>
      </c>
      <c r="E11" s="97">
        <f ca="1">TblMili[[#This Row],[Draftees]]</f>
        <v>293</v>
      </c>
      <c r="F11" s="97">
        <f ca="1">TblPop[[#This Row],[Peasants]]+TblPop[[#This Row],[Military]]</f>
        <v>1783</v>
      </c>
      <c r="G11" s="142">
        <f ca="1">TblPop[[#This Row],[Military]]/TblPop[[#This Row],[Total]]</f>
        <v>0.16432978126752665</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293</v>
      </c>
      <c r="M11" s="62">
        <f ca="1">TblMili[[#This Row],[Unit 1]]</f>
        <v>0</v>
      </c>
      <c r="N11" s="62">
        <f ca="1">TblMili[[#This Row],[Unit 2]]</f>
        <v>0</v>
      </c>
      <c r="O11" s="62">
        <f ca="1">TblMili[[#This Row],[Unit 3]]</f>
        <v>0</v>
      </c>
      <c r="P11" s="62">
        <f ca="1">TblMili[[#This Row],[Unit 4]]</f>
        <v>0</v>
      </c>
      <c r="Q11" s="62">
        <f ca="1">TblMili[[#This Row],[Spies]]</f>
        <v>0</v>
      </c>
      <c r="R11" s="62">
        <f ca="1">TblMili[[#This Row],[Wizards]]</f>
        <v>0</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3875</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7.6249999999999998E-2</v>
      </c>
    </row>
    <row r="12" spans="1:30" x14ac:dyDescent="0.2">
      <c r="A12" s="140">
        <f>TblRezone[[#This Row],[Hour]]</f>
        <v>9</v>
      </c>
      <c r="B12" s="141">
        <f ca="1">TblImps[[#This Row],[Time]]</f>
        <v>45430.083333333314</v>
      </c>
      <c r="C12" s="97">
        <f ca="1">OFFSET(TblPop[[#This Row],[Peasants]],-1,0)+OFFSET(TblPop[[#This Row],[Net Peasant]],-1,0)+TblMili[[#This Row],[Release Draft]]</f>
        <v>1519</v>
      </c>
      <c r="D12" s="97">
        <f ca="1">TblMili[[#This Row],[Military]]</f>
        <v>304</v>
      </c>
      <c r="E12" s="97">
        <f ca="1">TblMili[[#This Row],[Draftees]]</f>
        <v>304</v>
      </c>
      <c r="F12" s="97">
        <f ca="1">TblPop[[#This Row],[Peasants]]+TblPop[[#This Row],[Military]]</f>
        <v>1823</v>
      </c>
      <c r="G12" s="142">
        <f ca="1">TblPop[[#This Row],[Military]]/TblPop[[#This Row],[Total]]</f>
        <v>0.16675809105869446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304</v>
      </c>
      <c r="M12" s="62">
        <f ca="1">TblMili[[#This Row],[Unit 1]]</f>
        <v>0</v>
      </c>
      <c r="N12" s="62">
        <f ca="1">TblMili[[#This Row],[Unit 2]]</f>
        <v>0</v>
      </c>
      <c r="O12" s="62">
        <f ca="1">TblMili[[#This Row],[Unit 3]]</f>
        <v>0</v>
      </c>
      <c r="P12" s="62">
        <f ca="1">TblMili[[#This Row],[Unit 4]]</f>
        <v>0</v>
      </c>
      <c r="Q12" s="62">
        <f ca="1">TblMili[[#This Row],[Spies]]</f>
        <v>0</v>
      </c>
      <c r="R12" s="62">
        <f ca="1">TblMili[[#This Row],[Wizards]]</f>
        <v>0</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3875</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7.6249999999999998E-2</v>
      </c>
    </row>
    <row r="13" spans="1:30" x14ac:dyDescent="0.2">
      <c r="A13" s="140">
        <f>TblRezone[[#This Row],[Hour]]</f>
        <v>10</v>
      </c>
      <c r="B13" s="141">
        <f ca="1">TblImps[[#This Row],[Time]]</f>
        <v>45430.124999999978</v>
      </c>
      <c r="C13" s="97">
        <f ca="1">OFFSET(TblPop[[#This Row],[Peasants]],-1,0)+OFFSET(TblPop[[#This Row],[Net Peasant]],-1,0)+TblMili[[#This Row],[Release Draft]]</f>
        <v>1549</v>
      </c>
      <c r="D13" s="97">
        <f ca="1">TblMili[[#This Row],[Military]]</f>
        <v>315</v>
      </c>
      <c r="E13" s="97">
        <f ca="1">TblMili[[#This Row],[Draftees]]</f>
        <v>315</v>
      </c>
      <c r="F13" s="97">
        <f ca="1">TblPop[[#This Row],[Peasants]]+TblPop[[#This Row],[Military]]</f>
        <v>1864</v>
      </c>
      <c r="G13" s="142">
        <f ca="1">TblPop[[#This Row],[Military]]/TblPop[[#This Row],[Total]]</f>
        <v>0.16899141630901288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315</v>
      </c>
      <c r="M13" s="62">
        <f ca="1">TblMili[[#This Row],[Unit 1]]</f>
        <v>0</v>
      </c>
      <c r="N13" s="62">
        <f ca="1">TblMili[[#This Row],[Unit 2]]</f>
        <v>0</v>
      </c>
      <c r="O13" s="62">
        <f ca="1">TblMili[[#This Row],[Unit 3]]</f>
        <v>0</v>
      </c>
      <c r="P13" s="62">
        <f ca="1">TblMili[[#This Row],[Unit 4]]</f>
        <v>0</v>
      </c>
      <c r="Q13" s="62">
        <f ca="1">TblMili[[#This Row],[Spies]]</f>
        <v>0</v>
      </c>
      <c r="R13" s="62">
        <f ca="1">TblMili[[#This Row],[Wizards]]</f>
        <v>0</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3875</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7.6249999999999998E-2</v>
      </c>
    </row>
    <row r="14" spans="1:30" x14ac:dyDescent="0.2">
      <c r="A14" s="140">
        <f>TblRezone[[#This Row],[Hour]]</f>
        <v>11</v>
      </c>
      <c r="B14" s="141">
        <f ca="1">TblImps[[#This Row],[Time]]</f>
        <v>45430.166666666642</v>
      </c>
      <c r="C14" s="97">
        <f ca="1">OFFSET(TblPop[[#This Row],[Peasants]],-1,0)+OFFSET(TblPop[[#This Row],[Net Peasant]],-1,0)+TblMili[[#This Row],[Release Draft]]</f>
        <v>1580</v>
      </c>
      <c r="D14" s="97">
        <f ca="1">TblMili[[#This Row],[Military]]</f>
        <v>326</v>
      </c>
      <c r="E14" s="97">
        <f ca="1">TblMili[[#This Row],[Draftees]]</f>
        <v>326</v>
      </c>
      <c r="F14" s="97">
        <f ca="1">TblPop[[#This Row],[Peasants]]+TblPop[[#This Row],[Military]]</f>
        <v>1906</v>
      </c>
      <c r="G14" s="142">
        <f ca="1">TblPop[[#This Row],[Military]]/TblPop[[#This Row],[Total]]</f>
        <v>0.17103882476390347</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326</v>
      </c>
      <c r="M14" s="62">
        <f ca="1">TblMili[[#This Row],[Unit 1]]</f>
        <v>0</v>
      </c>
      <c r="N14" s="62">
        <f ca="1">TblMili[[#This Row],[Unit 2]]</f>
        <v>0</v>
      </c>
      <c r="O14" s="62">
        <f ca="1">TblMili[[#This Row],[Unit 3]]</f>
        <v>0</v>
      </c>
      <c r="P14" s="62">
        <f ca="1">TblMili[[#This Row],[Unit 4]]</f>
        <v>0</v>
      </c>
      <c r="Q14" s="62">
        <f ca="1">TblMili[[#This Row],[Spies]]</f>
        <v>0</v>
      </c>
      <c r="R14" s="62">
        <f ca="1">TblMili[[#This Row],[Wizards]]</f>
        <v>0</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3875</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7.6249999999999998E-2</v>
      </c>
    </row>
    <row r="15" spans="1:30" x14ac:dyDescent="0.2">
      <c r="A15" s="140">
        <f>TblRezone[[#This Row],[Hour]]</f>
        <v>12</v>
      </c>
      <c r="B15" s="141">
        <f ca="1">TblImps[[#This Row],[Time]]</f>
        <v>45430.208333333307</v>
      </c>
      <c r="C15" s="97">
        <f ca="1">OFFSET(TblPop[[#This Row],[Peasants]],-1,0)+OFFSET(TblPop[[#This Row],[Net Peasant]],-1,0)+TblMili[[#This Row],[Release Draft]]</f>
        <v>1611</v>
      </c>
      <c r="D15" s="97">
        <f ca="1">TblMili[[#This Row],[Military]]</f>
        <v>342</v>
      </c>
      <c r="E15" s="97">
        <f ca="1">TblMili[[#This Row],[Draftees]]</f>
        <v>342</v>
      </c>
      <c r="F15" s="97">
        <f ca="1">TblPop[[#This Row],[Peasants]]+TblPop[[#This Row],[Military]]</f>
        <v>1953</v>
      </c>
      <c r="G15" s="142">
        <f ca="1">TblPop[[#This Row],[Military]]/TblPop[[#This Row],[Total]]</f>
        <v>0.17511520737327188</v>
      </c>
      <c r="H15" s="143">
        <f ca="1">MIN(TblPop[[#This Row],[Peasants]],TblPop[[#This Row],[Jobs]])</f>
        <v>1600</v>
      </c>
      <c r="I15" s="142">
        <f ca="1">MIN(OFFSET(TblPop[[#This Row],[Jobs]],1,0)/TblPop[[#This Row],[Peasants]],1)</f>
        <v>1</v>
      </c>
      <c r="J15" s="143">
        <f ca="1">SUM(TblConstr[[#This Row],[Tot Alc]:[Tot GT]],TblConstr[[#This Row],[Tot Shr]:[Tot Doc]],TblConstr[[#This Row],[Dest Alc]:[Dest GT]],TblConstr[[#This Row],[Dest Shr]:[Dest Doc]])*building_employment + TblConstr[[#This Row],[Tot Fac]]*bonus_jobs_facts</f>
        <v>1600</v>
      </c>
      <c r="K15" s="144"/>
      <c r="L15" s="62">
        <f ca="1">TblPop[[#This Row],[Draftees]]</f>
        <v>342</v>
      </c>
      <c r="M15" s="62">
        <f ca="1">TblMili[[#This Row],[Unit 1]]</f>
        <v>0</v>
      </c>
      <c r="N15" s="62">
        <f ca="1">TblMili[[#This Row],[Unit 2]]</f>
        <v>0</v>
      </c>
      <c r="O15" s="62">
        <f ca="1">TblMili[[#This Row],[Unit 3]]</f>
        <v>0</v>
      </c>
      <c r="P15" s="62">
        <f ca="1">TblMili[[#This Row],[Unit 4]]</f>
        <v>0</v>
      </c>
      <c r="Q15" s="62">
        <f ca="1">TblMili[[#This Row],[Spies]]</f>
        <v>0</v>
      </c>
      <c r="R15" s="62">
        <f ca="1">TblMili[[#This Row],[Wizards]]</f>
        <v>0</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3875</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97">
        <f ca="1">MAX(-5%*TblPop[[#This Row],[Peasants]]-TblPop[[#This Row],[Draft Growth]],MIN(OFFSET(TblPop[[#This Row],[Net max]],1,0)-TblPop[[#This Row],[Peasants]]-TblPop[[#This Row],[Military]]-TblPop[[#This Row],[Draft Growth]],TblPop[[#This Row],[Modded Birth]]-TblPop[[#This Row],[Draft Growth]]))</f>
        <v>86</v>
      </c>
      <c r="X15" s="97">
        <f ca="1">ROUND(TblPop[[#This Row],[Raw Birth]]*(1+TblPop[[#This Row],[Growth]]),0)</f>
        <v>102</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1.1279999999999999</v>
      </c>
      <c r="AC15" s="142">
        <f ca="1">(Overview!$I$15 + Imps!Z15+ tech_2_5*Techs!AB15 + tech_3_6*Techs!AM15 + tech_6_1*Techs!BJ15 + tech_6_5*Techs!BF15 + tech_7_3_2*Techs!BN15) * (1 + Production!O15/100*prestige_pop_multiplier) + Production!O15/100*prestige_pop_multiplier</f>
        <v>7.6249999999999998E-2</v>
      </c>
    </row>
    <row r="16" spans="1:30" x14ac:dyDescent="0.2">
      <c r="A16" s="140">
        <f>TblRezone[[#This Row],[Hour]]</f>
        <v>13</v>
      </c>
      <c r="B16" s="141">
        <f ca="1">TblImps[[#This Row],[Time]]</f>
        <v>45430.249999999971</v>
      </c>
      <c r="C16" s="97">
        <f ca="1">OFFSET(TblPop[[#This Row],[Peasants]],-1,0)+OFFSET(TblPop[[#This Row],[Net Peasant]],-1,0)+TblMili[[#This Row],[Release Draft]]</f>
        <v>1697</v>
      </c>
      <c r="D16" s="97">
        <f ca="1">TblMili[[#This Row],[Military]]</f>
        <v>358</v>
      </c>
      <c r="E16" s="97">
        <f ca="1">TblMili[[#This Row],[Draftees]]</f>
        <v>358</v>
      </c>
      <c r="F16" s="97">
        <f ca="1">TblPop[[#This Row],[Peasants]]+TblPop[[#This Row],[Military]]</f>
        <v>2055</v>
      </c>
      <c r="G16" s="142">
        <f ca="1">TblPop[[#This Row],[Military]]/TblPop[[#This Row],[Total]]</f>
        <v>0.17420924574209246</v>
      </c>
      <c r="H16" s="143">
        <f ca="1">MIN(TblPop[[#This Row],[Peasants]],TblPop[[#This Row],[Jobs]])</f>
        <v>1697</v>
      </c>
      <c r="I16" s="142">
        <f ca="1">MIN(OFFSET(TblPop[[#This Row],[Jobs]],1,0)/TblPop[[#This Row],[Peasants]],1)</f>
        <v>1</v>
      </c>
      <c r="J16" s="143">
        <f ca="1">SUM(TblConstr[[#This Row],[Tot Alc]:[Tot GT]],TblConstr[[#This Row],[Tot Shr]:[Tot Doc]],TblConstr[[#This Row],[Dest Alc]:[Dest GT]],TblConstr[[#This Row],[Dest Shr]:[Dest Doc]])*building_employment + TblConstr[[#This Row],[Tot Fac]]*bonus_jobs_facts</f>
        <v>4340</v>
      </c>
      <c r="K16" s="144"/>
      <c r="L16" s="62">
        <f ca="1">TblPop[[#This Row],[Draftees]]</f>
        <v>358</v>
      </c>
      <c r="M16" s="62">
        <f ca="1">TblMili[[#This Row],[Unit 1]]</f>
        <v>0</v>
      </c>
      <c r="N16" s="62">
        <f ca="1">TblMili[[#This Row],[Unit 2]]</f>
        <v>0</v>
      </c>
      <c r="O16" s="62">
        <f ca="1">TblMili[[#This Row],[Unit 3]]</f>
        <v>0</v>
      </c>
      <c r="P16" s="62">
        <f ca="1">TblMili[[#This Row],[Unit 4]]</f>
        <v>0</v>
      </c>
      <c r="Q16" s="62">
        <f ca="1">TblMili[[#This Row],[Spies]]</f>
        <v>0</v>
      </c>
      <c r="R16" s="62">
        <f ca="1">TblMili[[#This Row],[Wizards]]</f>
        <v>0</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3875</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97">
        <f ca="1">MAX(-5%*TblPop[[#This Row],[Peasants]]-TblPop[[#This Row],[Draft Growth]],MIN(OFFSET(TblPop[[#This Row],[Net max]],1,0)-TblPop[[#This Row],[Peasants]]-TblPop[[#This Row],[Military]]-TblPop[[#This Row],[Draft Growth]],TblPop[[#This Row],[Modded Birth]]-TblPop[[#This Row],[Draft Growth]]))</f>
        <v>90</v>
      </c>
      <c r="X16" s="97">
        <f ca="1">ROUND(TblPop[[#This Row],[Raw Birth]]*(1+TblPop[[#This Row],[Growth]]),0)</f>
        <v>107</v>
      </c>
      <c r="Y16" s="97">
        <f ca="1">(TblPop[[#This Row],[Peasants]]-TblPop[[#This Row],[Draft Growth]])*raw_pop_growth</f>
        <v>50.4</v>
      </c>
      <c r="Z16" s="97">
        <f ca="1">IF(TblPop[[#This Row],[Military%]]&lt;TblMili[[#This Row],[Draftrate]],ROUND(TblPop[[#This Row],[Peasants]]*Constants!$B$55,0), 0)</f>
        <v>17</v>
      </c>
      <c r="AA16" s="145"/>
      <c r="AB16" s="146">
        <f ca="1">Overview!$I$16 + IF(Magic!AE16&gt;0,Constants!$F$78) + ROUND(6*(Construction!BM17+Construction!CK16)/IF(Explore!S17&gt;0,Construction!F17-20,Construction!F17),4) + tech_6_5_2*Techs!BJ16 + tech_8_4*Techs!BT16</f>
        <v>1.1279999999999999</v>
      </c>
      <c r="AC16" s="142">
        <f ca="1">(Overview!$I$15 + Imps!Z16+ tech_2_5*Techs!AB16 + tech_3_6*Techs!AM16 + tech_6_1*Techs!BJ16 + tech_6_5*Techs!BF16 + tech_7_3_2*Techs!BN16) * (1 + Production!O16/100*prestige_pop_multiplier) + Production!O16/100*prestige_pop_multiplier</f>
        <v>7.6249999999999998E-2</v>
      </c>
    </row>
    <row r="17" spans="1:29" x14ac:dyDescent="0.2">
      <c r="A17" s="140">
        <f>TblRezone[[#This Row],[Hour]]</f>
        <v>14</v>
      </c>
      <c r="B17" s="141">
        <f ca="1">TblImps[[#This Row],[Time]]</f>
        <v>45430.291666666635</v>
      </c>
      <c r="C17" s="97">
        <f ca="1">OFFSET(TblPop[[#This Row],[Peasants]],-1,0)+OFFSET(TblPop[[#This Row],[Net Peasant]],-1,0)+TblMili[[#This Row],[Release Draft]]</f>
        <v>1787</v>
      </c>
      <c r="D17" s="97">
        <f ca="1">TblMili[[#This Row],[Military]]</f>
        <v>375</v>
      </c>
      <c r="E17" s="97">
        <f ca="1">TblMili[[#This Row],[Draftees]]</f>
        <v>375</v>
      </c>
      <c r="F17" s="97">
        <f ca="1">TblPop[[#This Row],[Peasants]]+TblPop[[#This Row],[Military]]</f>
        <v>2162</v>
      </c>
      <c r="G17" s="142">
        <f ca="1">TblPop[[#This Row],[Military]]/TblPop[[#This Row],[Total]]</f>
        <v>0.17345050878815912</v>
      </c>
      <c r="H17" s="143">
        <f ca="1">MIN(TblPop[[#This Row],[Peasants]],TblPop[[#This Row],[Jobs]])</f>
        <v>1787</v>
      </c>
      <c r="I17" s="142">
        <f ca="1">MIN(OFFSET(TblPop[[#This Row],[Jobs]],1,0)/TblPop[[#This Row],[Peasants]],1)</f>
        <v>1</v>
      </c>
      <c r="J17" s="143">
        <f ca="1">SUM(TblConstr[[#This Row],[Tot Alc]:[Tot GT]],TblConstr[[#This Row],[Tot Shr]:[Tot Doc]],TblConstr[[#This Row],[Dest Alc]:[Dest GT]],TblConstr[[#This Row],[Dest Shr]:[Dest Doc]])*building_employment + TblConstr[[#This Row],[Tot Fac]]*bonus_jobs_facts</f>
        <v>3840</v>
      </c>
      <c r="K17" s="144"/>
      <c r="L17" s="62">
        <f ca="1">TblPop[[#This Row],[Draftees]]</f>
        <v>375</v>
      </c>
      <c r="M17" s="62">
        <f ca="1">TblMili[[#This Row],[Unit 1]]</f>
        <v>0</v>
      </c>
      <c r="N17" s="62">
        <f ca="1">TblMili[[#This Row],[Unit 2]]</f>
        <v>0</v>
      </c>
      <c r="O17" s="62">
        <f ca="1">TblMili[[#This Row],[Unit 3]]</f>
        <v>0</v>
      </c>
      <c r="P17" s="62">
        <f ca="1">TblMili[[#This Row],[Unit 4]]</f>
        <v>0</v>
      </c>
      <c r="Q17" s="62">
        <f ca="1">TblMili[[#This Row],[Spies]]</f>
        <v>0</v>
      </c>
      <c r="R17" s="62">
        <f ca="1">TblMili[[#This Row],[Wizards]]</f>
        <v>0</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4036</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97">
        <f ca="1">MAX(-5%*TblPop[[#This Row],[Peasants]]-TblPop[[#This Row],[Draft Growth]],MIN(OFFSET(TblPop[[#This Row],[Net max]],1,0)-TblPop[[#This Row],[Peasants]]-TblPop[[#This Row],[Military]]-TblPop[[#This Row],[Draft Growth]],TblPop[[#This Row],[Modded Birth]]-TblPop[[#This Row],[Draft Growth]]))</f>
        <v>121</v>
      </c>
      <c r="X17" s="97">
        <f ca="1">ROUND(TblPop[[#This Row],[Raw Birth]]*(1+TblPop[[#This Row],[Growth]]),0)</f>
        <v>139</v>
      </c>
      <c r="Y17" s="97">
        <f ca="1">(TblPop[[#This Row],[Peasants]]-TblPop[[#This Row],[Draft Growth]])*raw_pop_growth</f>
        <v>53.07</v>
      </c>
      <c r="Z17" s="97">
        <f ca="1">IF(TblPop[[#This Row],[Military%]]&lt;TblMili[[#This Row],[Draftrate]],ROUND(TblPop[[#This Row],[Peasants]]*Constants!$B$55,0), 0)</f>
        <v>18</v>
      </c>
      <c r="AA17" s="145"/>
      <c r="AB17" s="146">
        <f ca="1">Overview!$I$16 + IF(Magic!AE17&gt;0,Constants!$F$78) + ROUND(6*(Construction!BM18+Construction!CK17)/IF(Explore!S18&gt;0,Construction!F18-20,Construction!F18),4) + tech_6_5_2*Techs!BJ17 + tech_8_4*Techs!BT17</f>
        <v>1.6279999999999999</v>
      </c>
      <c r="AC17" s="142">
        <f ca="1">(Overview!$I$15 + Imps!Z17+ tech_2_5*Techs!AB17 + tech_3_6*Techs!AM17 + tech_6_1*Techs!BJ17 + tech_6_5*Techs!BF17 + tech_7_3_2*Techs!BN17) * (1 + Production!O17/100*prestige_pop_multiplier) + Production!O17/100*prestige_pop_multiplier</f>
        <v>7.6249999999999998E-2</v>
      </c>
    </row>
    <row r="18" spans="1:29" x14ac:dyDescent="0.2">
      <c r="A18" s="140">
        <f>TblRezone[[#This Row],[Hour]]</f>
        <v>15</v>
      </c>
      <c r="B18" s="141">
        <f ca="1">TblImps[[#This Row],[Time]]</f>
        <v>45430.333333333299</v>
      </c>
      <c r="C18" s="97">
        <f ca="1">OFFSET(TblPop[[#This Row],[Peasants]],-1,0)+OFFSET(TblPop[[#This Row],[Net Peasant]],-1,0)+TblMili[[#This Row],[Release Draft]]</f>
        <v>1908</v>
      </c>
      <c r="D18" s="97">
        <f ca="1">TblMili[[#This Row],[Military]]</f>
        <v>393</v>
      </c>
      <c r="E18" s="97">
        <f ca="1">TblMili[[#This Row],[Draftees]]</f>
        <v>393</v>
      </c>
      <c r="F18" s="97">
        <f ca="1">TblPop[[#This Row],[Peasants]]+TblPop[[#This Row],[Military]]</f>
        <v>2301</v>
      </c>
      <c r="G18" s="142">
        <f ca="1">TblPop[[#This Row],[Military]]/TblPop[[#This Row],[Total]]</f>
        <v>0.17079530638852672</v>
      </c>
      <c r="H18" s="143">
        <f ca="1">MIN(TblPop[[#This Row],[Peasants]],TblPop[[#This Row],[Jobs]])</f>
        <v>1908</v>
      </c>
      <c r="I18" s="142">
        <f ca="1">MIN(OFFSET(TblPop[[#This Row],[Jobs]],1,0)/TblPop[[#This Row],[Peasants]],1)</f>
        <v>1</v>
      </c>
      <c r="J18" s="143">
        <f ca="1">SUM(TblConstr[[#This Row],[Tot Alc]:[Tot GT]],TblConstr[[#This Row],[Tot Shr]:[Tot Doc]],TblConstr[[#This Row],[Dest Alc]:[Dest GT]],TblConstr[[#This Row],[Dest Shr]:[Dest Doc]])*building_employment + TblConstr[[#This Row],[Tot Fac]]*bonus_jobs_facts</f>
        <v>3840</v>
      </c>
      <c r="K18" s="144"/>
      <c r="L18" s="62">
        <f ca="1">TblPop[[#This Row],[Draftees]]</f>
        <v>393</v>
      </c>
      <c r="M18" s="62">
        <f ca="1">TblMili[[#This Row],[Unit 1]]</f>
        <v>0</v>
      </c>
      <c r="N18" s="62">
        <f ca="1">TblMili[[#This Row],[Unit 2]]</f>
        <v>0</v>
      </c>
      <c r="O18" s="62">
        <f ca="1">TblMili[[#This Row],[Unit 3]]</f>
        <v>0</v>
      </c>
      <c r="P18" s="62">
        <f ca="1">TblMili[[#This Row],[Unit 4]]</f>
        <v>0</v>
      </c>
      <c r="Q18" s="62">
        <f ca="1">TblMili[[#This Row],[Spies]]</f>
        <v>0</v>
      </c>
      <c r="R18" s="62">
        <f ca="1">TblMili[[#This Row],[Wizards]]</f>
        <v>0</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4036</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97">
        <f ca="1">MAX(-5%*TblPop[[#This Row],[Peasants]]-TblPop[[#This Row],[Draft Growth]],MIN(OFFSET(TblPop[[#This Row],[Net max]],1,0)-TblPop[[#This Row],[Peasants]]-TblPop[[#This Row],[Military]]-TblPop[[#This Row],[Draft Growth]],TblPop[[#This Row],[Modded Birth]]-TblPop[[#This Row],[Draft Growth]]))</f>
        <v>130</v>
      </c>
      <c r="X18" s="97">
        <f ca="1">ROUND(TblPop[[#This Row],[Raw Birth]]*(1+TblPop[[#This Row],[Growth]]),0)</f>
        <v>149</v>
      </c>
      <c r="Y18" s="97">
        <f ca="1">(TblPop[[#This Row],[Peasants]]-TblPop[[#This Row],[Draft Growth]])*raw_pop_growth</f>
        <v>56.669999999999995</v>
      </c>
      <c r="Z18" s="97">
        <f ca="1">IF(TblPop[[#This Row],[Military%]]&lt;TblMili[[#This Row],[Draftrate]],ROUND(TblPop[[#This Row],[Peasants]]*Constants!$B$55,0), 0)</f>
        <v>19</v>
      </c>
      <c r="AA18" s="145"/>
      <c r="AB18" s="146">
        <f ca="1">Overview!$I$16 + IF(Magic!AE18&gt;0,Constants!$F$78) + ROUND(6*(Construction!BM19+Construction!CK18)/IF(Explore!S19&gt;0,Construction!F19-20,Construction!F19),4) + tech_6_5_2*Techs!BJ18 + tech_8_4*Techs!BT18</f>
        <v>1.6279999999999999</v>
      </c>
      <c r="AC18" s="142">
        <f ca="1">(Overview!$I$15 + Imps!Z18+ tech_2_5*Techs!AB18 + tech_3_6*Techs!AM18 + tech_6_1*Techs!BJ18 + tech_6_5*Techs!BF18 + tech_7_3_2*Techs!BN18) * (1 + Production!O18/100*prestige_pop_multiplier) + Production!O18/100*prestige_pop_multiplier</f>
        <v>7.6249999999999998E-2</v>
      </c>
    </row>
    <row r="19" spans="1:29" x14ac:dyDescent="0.2">
      <c r="A19" s="140">
        <f>TblRezone[[#This Row],[Hour]]</f>
        <v>16</v>
      </c>
      <c r="B19" s="141">
        <f ca="1">TblImps[[#This Row],[Time]]</f>
        <v>45430.374999999964</v>
      </c>
      <c r="C19" s="97">
        <f ca="1">OFFSET(TblPop[[#This Row],[Peasants]],-1,0)+OFFSET(TblPop[[#This Row],[Net Peasant]],-1,0)+TblMili[[#This Row],[Release Draft]]</f>
        <v>2038</v>
      </c>
      <c r="D19" s="97">
        <f ca="1">TblMili[[#This Row],[Military]]</f>
        <v>412</v>
      </c>
      <c r="E19" s="97">
        <f ca="1">TblMili[[#This Row],[Draftees]]</f>
        <v>412</v>
      </c>
      <c r="F19" s="97">
        <f ca="1">TblPop[[#This Row],[Peasants]]+TblPop[[#This Row],[Military]]</f>
        <v>2450</v>
      </c>
      <c r="G19" s="142">
        <f ca="1">TblPop[[#This Row],[Military]]/TblPop[[#This Row],[Total]]</f>
        <v>0.16816326530612244</v>
      </c>
      <c r="H19" s="143">
        <f ca="1">MIN(TblPop[[#This Row],[Peasants]],TblPop[[#This Row],[Jobs]])</f>
        <v>2038</v>
      </c>
      <c r="I19" s="142">
        <f ca="1">MIN(OFFSET(TblPop[[#This Row],[Jobs]],1,0)/TblPop[[#This Row],[Peasants]],1)</f>
        <v>1</v>
      </c>
      <c r="J19" s="143">
        <f ca="1">SUM(TblConstr[[#This Row],[Tot Alc]:[Tot GT]],TblConstr[[#This Row],[Tot Shr]:[Tot Doc]],TblConstr[[#This Row],[Dest Alc]:[Dest GT]],TblConstr[[#This Row],[Dest Shr]:[Dest Doc]])*building_employment + TblConstr[[#This Row],[Tot Fac]]*bonus_jobs_facts</f>
        <v>3840</v>
      </c>
      <c r="K19" s="144"/>
      <c r="L19" s="62">
        <f ca="1">TblPop[[#This Row],[Draftees]]</f>
        <v>412</v>
      </c>
      <c r="M19" s="62">
        <f ca="1">TblMili[[#This Row],[Unit 1]]</f>
        <v>0</v>
      </c>
      <c r="N19" s="62">
        <f ca="1">TblMili[[#This Row],[Unit 2]]</f>
        <v>0</v>
      </c>
      <c r="O19" s="62">
        <f ca="1">TblMili[[#This Row],[Unit 3]]</f>
        <v>0</v>
      </c>
      <c r="P19" s="62">
        <f ca="1">TblMili[[#This Row],[Unit 4]]</f>
        <v>0</v>
      </c>
      <c r="Q19" s="62">
        <f ca="1">TblMili[[#This Row],[Spies]]</f>
        <v>0</v>
      </c>
      <c r="R19" s="62">
        <f ca="1">TblMili[[#This Row],[Wizards]]</f>
        <v>0</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4036</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97">
        <f ca="1">MAX(-5%*TblPop[[#This Row],[Peasants]]-TblPop[[#This Row],[Draft Growth]],MIN(OFFSET(TblPop[[#This Row],[Net max]],1,0)-TblPop[[#This Row],[Peasants]]-TblPop[[#This Row],[Military]]-TblPop[[#This Row],[Draft Growth]],TblPop[[#This Row],[Modded Birth]]-TblPop[[#This Row],[Draft Growth]]))</f>
        <v>139</v>
      </c>
      <c r="X19" s="97">
        <f ca="1">ROUND(TblPop[[#This Row],[Raw Birth]]*(1+TblPop[[#This Row],[Growth]]),0)</f>
        <v>159</v>
      </c>
      <c r="Y19" s="97">
        <f ca="1">(TblPop[[#This Row],[Peasants]]-TblPop[[#This Row],[Draft Growth]])*raw_pop_growth</f>
        <v>60.54</v>
      </c>
      <c r="Z19" s="97">
        <f ca="1">IF(TblPop[[#This Row],[Military%]]&lt;TblMili[[#This Row],[Draftrate]],ROUND(TblPop[[#This Row],[Peasants]]*Constants!$B$55,0), 0)</f>
        <v>20</v>
      </c>
      <c r="AA19" s="145"/>
      <c r="AB19" s="146">
        <f ca="1">Overview!$I$16 + IF(Magic!AE19&gt;0,Constants!$F$78) + ROUND(6*(Construction!BM20+Construction!CK19)/IF(Explore!S20&gt;0,Construction!F20-20,Construction!F20),4) + tech_6_5_2*Techs!BJ19 + tech_8_4*Techs!BT19</f>
        <v>1.6279999999999999</v>
      </c>
      <c r="AC19" s="142">
        <f ca="1">(Overview!$I$15 + Imps!Z19+ tech_2_5*Techs!AB19 + tech_3_6*Techs!AM19 + tech_6_1*Techs!BJ19 + tech_6_5*Techs!BF19 + tech_7_3_2*Techs!BN19) * (1 + Production!O19/100*prestige_pop_multiplier) + Production!O19/100*prestige_pop_multiplier</f>
        <v>7.6249999999999998E-2</v>
      </c>
    </row>
    <row r="20" spans="1:29" x14ac:dyDescent="0.2">
      <c r="A20" s="140">
        <f>TblRezone[[#This Row],[Hour]]</f>
        <v>17</v>
      </c>
      <c r="B20" s="141">
        <f ca="1">TblImps[[#This Row],[Time]]</f>
        <v>45430.416666666628</v>
      </c>
      <c r="C20" s="97">
        <f ca="1">OFFSET(TblPop[[#This Row],[Peasants]],-1,0)+OFFSET(TblPop[[#This Row],[Net Peasant]],-1,0)+TblMili[[#This Row],[Release Draft]]</f>
        <v>2177</v>
      </c>
      <c r="D20" s="97">
        <f ca="1">TblMili[[#This Row],[Military]]</f>
        <v>432</v>
      </c>
      <c r="E20" s="97">
        <f ca="1">TblMili[[#This Row],[Draftees]]</f>
        <v>432</v>
      </c>
      <c r="F20" s="97">
        <f ca="1">TblPop[[#This Row],[Peasants]]+TblPop[[#This Row],[Military]]</f>
        <v>2609</v>
      </c>
      <c r="G20" s="142">
        <f ca="1">TblPop[[#This Row],[Military]]/TblPop[[#This Row],[Total]]</f>
        <v>0.16558068225373707</v>
      </c>
      <c r="H20" s="143">
        <f ca="1">MIN(TblPop[[#This Row],[Peasants]],TblPop[[#This Row],[Jobs]])</f>
        <v>2177</v>
      </c>
      <c r="I20" s="142">
        <f ca="1">MIN(OFFSET(TblPop[[#This Row],[Jobs]],1,0)/TblPop[[#This Row],[Peasants]],1)</f>
        <v>1</v>
      </c>
      <c r="J20" s="143">
        <f ca="1">SUM(TblConstr[[#This Row],[Tot Alc]:[Tot GT]],TblConstr[[#This Row],[Tot Shr]:[Tot Doc]],TblConstr[[#This Row],[Dest Alc]:[Dest GT]],TblConstr[[#This Row],[Dest Shr]:[Dest Doc]])*building_employment + TblConstr[[#This Row],[Tot Fac]]*bonus_jobs_facts</f>
        <v>3840</v>
      </c>
      <c r="K20" s="144"/>
      <c r="L20" s="62">
        <f ca="1">TblPop[[#This Row],[Draftees]]</f>
        <v>432</v>
      </c>
      <c r="M20" s="62">
        <f ca="1">TblMili[[#This Row],[Unit 1]]</f>
        <v>0</v>
      </c>
      <c r="N20" s="62">
        <f ca="1">TblMili[[#This Row],[Unit 2]]</f>
        <v>0</v>
      </c>
      <c r="O20" s="62">
        <f ca="1">TblMili[[#This Row],[Unit 3]]</f>
        <v>0</v>
      </c>
      <c r="P20" s="62">
        <f ca="1">TblMili[[#This Row],[Unit 4]]</f>
        <v>0</v>
      </c>
      <c r="Q20" s="62">
        <f ca="1">TblMili[[#This Row],[Spies]]</f>
        <v>0</v>
      </c>
      <c r="R20" s="62">
        <f ca="1">TblMili[[#This Row],[Wizards]]</f>
        <v>0</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4036</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97">
        <f ca="1">MAX(-5%*TblPop[[#This Row],[Peasants]]-TblPop[[#This Row],[Draft Growth]],MIN(OFFSET(TblPop[[#This Row],[Net max]],1,0)-TblPop[[#This Row],[Peasants]]-TblPop[[#This Row],[Military]]-TblPop[[#This Row],[Draft Growth]],TblPop[[#This Row],[Modded Birth]]-TblPop[[#This Row],[Draft Growth]]))</f>
        <v>142</v>
      </c>
      <c r="X20" s="97">
        <f ca="1">ROUND(TblPop[[#This Row],[Raw Birth]]*(1+TblPop[[#This Row],[Growth]]),0)</f>
        <v>164</v>
      </c>
      <c r="Y20" s="97">
        <f ca="1">(TblPop[[#This Row],[Peasants]]-TblPop[[#This Row],[Draft Growth]])*raw_pop_growth</f>
        <v>64.649999999999991</v>
      </c>
      <c r="Z20" s="97">
        <f ca="1">IF(TblPop[[#This Row],[Military%]]&lt;TblMili[[#This Row],[Draftrate]],ROUND(TblPop[[#This Row],[Peasants]]*Constants!$B$55,0), 0)</f>
        <v>22</v>
      </c>
      <c r="AA20" s="145"/>
      <c r="AB20" s="146">
        <f ca="1">Overview!$I$16 + IF(Magic!AE20&gt;0,Constants!$F$78) + ROUND(6*(Construction!BM21+Construction!CK20)/IF(Explore!S21&gt;0,Construction!F21-20,Construction!F21),4) + tech_6_5_2*Techs!BJ20 + tech_8_4*Techs!BT20</f>
        <v>1.5291999999999999</v>
      </c>
      <c r="AC20" s="142">
        <f ca="1">(Overview!$I$15 + Imps!Z20+ tech_2_5*Techs!AB20 + tech_3_6*Techs!AM20 + tech_6_1*Techs!BJ20 + tech_6_5*Techs!BF20 + tech_7_3_2*Techs!BN20) * (1 + Production!O20/100*prestige_pop_multiplier) + Production!O20/100*prestige_pop_multiplier</f>
        <v>7.6249999999999998E-2</v>
      </c>
    </row>
    <row r="21" spans="1:29" x14ac:dyDescent="0.2">
      <c r="A21" s="140">
        <f>TblRezone[[#This Row],[Hour]]</f>
        <v>18</v>
      </c>
      <c r="B21" s="141">
        <f ca="1">TblImps[[#This Row],[Time]]</f>
        <v>45430.458333333292</v>
      </c>
      <c r="C21" s="97">
        <f ca="1">OFFSET(TblPop[[#This Row],[Peasants]],-1,0)+OFFSET(TblPop[[#This Row],[Net Peasant]],-1,0)+TblMili[[#This Row],[Release Draft]]</f>
        <v>2319</v>
      </c>
      <c r="D21" s="97">
        <f ca="1">TblMili[[#This Row],[Military]]</f>
        <v>174</v>
      </c>
      <c r="E21" s="97">
        <f ca="1">TblMili[[#This Row],[Draftees]]</f>
        <v>174</v>
      </c>
      <c r="F21" s="97">
        <f ca="1">TblPop[[#This Row],[Peasants]]+TblPop[[#This Row],[Military]]</f>
        <v>2493</v>
      </c>
      <c r="G21" s="142">
        <f ca="1">TblPop[[#This Row],[Military]]/TblPop[[#This Row],[Total]]</f>
        <v>6.9795427196149215E-2</v>
      </c>
      <c r="H21" s="143">
        <f ca="1">MIN(TblPop[[#This Row],[Peasants]],TblPop[[#This Row],[Jobs]])</f>
        <v>2319</v>
      </c>
      <c r="I21" s="142">
        <f ca="1">MIN(OFFSET(TblPop[[#This Row],[Jobs]],1,0)/TblPop[[#This Row],[Peasants]],1)</f>
        <v>1</v>
      </c>
      <c r="J21" s="143">
        <f ca="1">SUM(TblConstr[[#This Row],[Tot Alc]:[Tot GT]],TblConstr[[#This Row],[Tot Shr]:[Tot Doc]],TblConstr[[#This Row],[Dest Alc]:[Dest GT]],TblConstr[[#This Row],[Dest Shr]:[Dest Doc]])*building_employment + TblConstr[[#This Row],[Tot Fac]]*bonus_jobs_facts</f>
        <v>3840</v>
      </c>
      <c r="K21" s="144"/>
      <c r="L21" s="62">
        <f ca="1">TblPop[[#This Row],[Draftees]]</f>
        <v>174</v>
      </c>
      <c r="M21" s="62">
        <f ca="1">TblMili[[#This Row],[Unit 1]]</f>
        <v>0</v>
      </c>
      <c r="N21" s="62">
        <f ca="1">TblMili[[#This Row],[Unit 2]]</f>
        <v>0</v>
      </c>
      <c r="O21" s="62">
        <f ca="1">TblMili[[#This Row],[Unit 3]]</f>
        <v>0</v>
      </c>
      <c r="P21" s="62">
        <f ca="1">TblMili[[#This Row],[Unit 4]]</f>
        <v>0</v>
      </c>
      <c r="Q21" s="62">
        <f ca="1">TblMili[[#This Row],[Spies]]</f>
        <v>0</v>
      </c>
      <c r="R21" s="62">
        <f ca="1">TblMili[[#This Row],[Wizards]]</f>
        <v>0</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4165</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97">
        <f ca="1">MAX(-5%*TblPop[[#This Row],[Peasants]]-TblPop[[#This Row],[Draft Growth]],MIN(OFFSET(TblPop[[#This Row],[Net max]],1,0)-TblPop[[#This Row],[Peasants]]-TblPop[[#This Row],[Military]]-TblPop[[#This Row],[Draft Growth]],TblPop[[#This Row],[Modded Birth]]-TblPop[[#This Row],[Draft Growth]]))</f>
        <v>151</v>
      </c>
      <c r="X21" s="97">
        <f ca="1">ROUND(TblPop[[#This Row],[Raw Birth]]*(1+TblPop[[#This Row],[Growth]]),0)</f>
        <v>174</v>
      </c>
      <c r="Y21" s="97">
        <f ca="1">(TblPop[[#This Row],[Peasants]]-TblPop[[#This Row],[Draft Growth]])*raw_pop_growth</f>
        <v>68.88</v>
      </c>
      <c r="Z21" s="97">
        <f ca="1">IF(TblPop[[#This Row],[Military%]]&lt;TblMili[[#This Row],[Draftrate]],ROUND(TblPop[[#This Row],[Peasants]]*Constants!$B$55,0), 0)</f>
        <v>23</v>
      </c>
      <c r="AA21" s="145"/>
      <c r="AB21" s="146">
        <f ca="1">Overview!$I$16 + IF(Magic!AE21&gt;0,Constants!$F$78) + ROUND(6*(Construction!BM22+Construction!CK21)/IF(Explore!S22&gt;0,Construction!F22-20,Construction!F22),4) + tech_6_5_2*Techs!BJ21 + tech_8_4*Techs!BT21</f>
        <v>1.5255000000000001</v>
      </c>
      <c r="AC21" s="142">
        <f ca="1">(Overview!$I$15 + Imps!Z21+ tech_2_5*Techs!AB21 + tech_3_6*Techs!AM21 + tech_6_1*Techs!BJ21 + tech_6_5*Techs!BF21 + tech_7_3_2*Techs!BN21) * (1 + Production!O21/100*prestige_pop_multiplier) + Production!O21/100*prestige_pop_multiplier</f>
        <v>7.6249999999999998E-2</v>
      </c>
    </row>
    <row r="22" spans="1:29" x14ac:dyDescent="0.2">
      <c r="A22" s="140">
        <f>TblRezone[[#This Row],[Hour]]</f>
        <v>19</v>
      </c>
      <c r="B22" s="141">
        <f ca="1">TblImps[[#This Row],[Time]]</f>
        <v>45430.499999999956</v>
      </c>
      <c r="C22" s="97">
        <f ca="1">OFFSET(TblPop[[#This Row],[Peasants]],-1,0)+OFFSET(TblPop[[#This Row],[Net Peasant]],-1,0)+TblMili[[#This Row],[Release Draft]]</f>
        <v>2470</v>
      </c>
      <c r="D22" s="97">
        <f ca="1">TblMili[[#This Row],[Military]]</f>
        <v>153</v>
      </c>
      <c r="E22" s="97">
        <f ca="1">TblMili[[#This Row],[Draftees]]</f>
        <v>153</v>
      </c>
      <c r="F22" s="97">
        <f ca="1">TblPop[[#This Row],[Peasants]]+TblPop[[#This Row],[Military]]</f>
        <v>2623</v>
      </c>
      <c r="G22" s="142">
        <f ca="1">TblPop[[#This Row],[Military]]/TblPop[[#This Row],[Total]]</f>
        <v>5.8330156309569198E-2</v>
      </c>
      <c r="H22" s="143">
        <f ca="1">MIN(TblPop[[#This Row],[Peasants]],TblPop[[#This Row],[Jobs]])</f>
        <v>2470</v>
      </c>
      <c r="I22" s="142">
        <f ca="1">MIN(OFFSET(TblPop[[#This Row],[Jobs]],1,0)/TblPop[[#This Row],[Peasants]],1)</f>
        <v>1</v>
      </c>
      <c r="J22" s="143">
        <f ca="1">SUM(TblConstr[[#This Row],[Tot Alc]:[Tot GT]],TblConstr[[#This Row],[Tot Shr]:[Tot Doc]],TblConstr[[#This Row],[Dest Alc]:[Dest GT]],TblConstr[[#This Row],[Dest Shr]:[Dest Doc]])*building_employment + TblConstr[[#This Row],[Tot Fac]]*bonus_jobs_facts</f>
        <v>3840</v>
      </c>
      <c r="K22" s="144"/>
      <c r="L22" s="62">
        <f ca="1">TblPop[[#This Row],[Draftees]]</f>
        <v>153</v>
      </c>
      <c r="M22" s="62">
        <f ca="1">TblMili[[#This Row],[Unit 1]]</f>
        <v>0</v>
      </c>
      <c r="N22" s="62">
        <f ca="1">TblMili[[#This Row],[Unit 2]]</f>
        <v>0</v>
      </c>
      <c r="O22" s="62">
        <f ca="1">TblMili[[#This Row],[Unit 3]]</f>
        <v>0</v>
      </c>
      <c r="P22" s="62">
        <f ca="1">TblMili[[#This Row],[Unit 4]]</f>
        <v>0</v>
      </c>
      <c r="Q22" s="62">
        <f ca="1">TblMili[[#This Row],[Spies]]</f>
        <v>0</v>
      </c>
      <c r="R22" s="62">
        <f ca="1">TblMili[[#This Row],[Wizards]]</f>
        <v>0</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4429</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97">
        <f ca="1">MAX(-5%*TblPop[[#This Row],[Peasants]]-TblPop[[#This Row],[Draft Growth]],MIN(OFFSET(TblPop[[#This Row],[Net max]],1,0)-TblPop[[#This Row],[Peasants]]-TblPop[[#This Row],[Military]]-TblPop[[#This Row],[Draft Growth]],TblPop[[#This Row],[Modded Birth]]-TblPop[[#This Row],[Draft Growth]]))</f>
        <v>160</v>
      </c>
      <c r="X22" s="97">
        <f ca="1">ROUND(TblPop[[#This Row],[Raw Birth]]*(1+TblPop[[#This Row],[Growth]]),0)</f>
        <v>185</v>
      </c>
      <c r="Y22" s="97">
        <f ca="1">(TblPop[[#This Row],[Peasants]]-TblPop[[#This Row],[Draft Growth]])*raw_pop_growth</f>
        <v>73.349999999999994</v>
      </c>
      <c r="Z22" s="97">
        <f ca="1">IF(TblPop[[#This Row],[Military%]]&lt;TblMili[[#This Row],[Draftrate]],ROUND(TblPop[[#This Row],[Peasants]]*Constants!$B$55,0), 0)</f>
        <v>25</v>
      </c>
      <c r="AA22" s="145"/>
      <c r="AB22" s="146">
        <f ca="1">Overview!$I$16 + IF(Magic!AE22&gt;0,Constants!$F$78) + ROUND(6*(Construction!BM23+Construction!CK22)/IF(Explore!S23&gt;0,Construction!F23-20,Construction!F23),4) + tech_6_5_2*Techs!BJ22 + tech_8_4*Techs!BT22</f>
        <v>1.5217000000000001</v>
      </c>
      <c r="AC22" s="142">
        <f ca="1">(Overview!$I$15 + Imps!Z22+ tech_2_5*Techs!AB22 + tech_3_6*Techs!AM22 + tech_6_1*Techs!BJ22 + tech_6_5*Techs!BF22 + tech_7_3_2*Techs!BN22) * (1 + Production!O22/100*prestige_pop_multiplier) + Production!O22/100*prestige_pop_multiplier</f>
        <v>7.6249999999999998E-2</v>
      </c>
    </row>
    <row r="23" spans="1:29" x14ac:dyDescent="0.2">
      <c r="A23" s="140">
        <f>TblRezone[[#This Row],[Hour]]</f>
        <v>20</v>
      </c>
      <c r="B23" s="141">
        <f ca="1">TblImps[[#This Row],[Time]]</f>
        <v>45430.541666666621</v>
      </c>
      <c r="C23" s="97">
        <f ca="1">OFFSET(TblPop[[#This Row],[Peasants]],-1,0)+OFFSET(TblPop[[#This Row],[Net Peasant]],-1,0)+TblMili[[#This Row],[Release Draft]]</f>
        <v>2630</v>
      </c>
      <c r="D23" s="97">
        <f ca="1">TblMili[[#This Row],[Military]]</f>
        <v>130</v>
      </c>
      <c r="E23" s="97">
        <f ca="1">TblMili[[#This Row],[Draftees]]</f>
        <v>130</v>
      </c>
      <c r="F23" s="97">
        <f ca="1">TblPop[[#This Row],[Peasants]]+TblPop[[#This Row],[Military]]</f>
        <v>2760</v>
      </c>
      <c r="G23" s="142">
        <f ca="1">TblPop[[#This Row],[Military]]/TblPop[[#This Row],[Total]]</f>
        <v>4.710144927536232E-2</v>
      </c>
      <c r="H23" s="143">
        <f ca="1">MIN(TblPop[[#This Row],[Peasants]],TblPop[[#This Row],[Jobs]])</f>
        <v>2630</v>
      </c>
      <c r="I23" s="142">
        <f ca="1">MIN(OFFSET(TblPop[[#This Row],[Jobs]],1,0)/TblPop[[#This Row],[Peasants]],1)</f>
        <v>1</v>
      </c>
      <c r="J23" s="143">
        <f ca="1">SUM(TblConstr[[#This Row],[Tot Alc]:[Tot GT]],TblConstr[[#This Row],[Tot Shr]:[Tot Doc]],TblConstr[[#This Row],[Dest Alc]:[Dest GT]],TblConstr[[#This Row],[Dest Shr]:[Dest Doc]])*building_employment + TblConstr[[#This Row],[Tot Fac]]*bonus_jobs_facts</f>
        <v>3840</v>
      </c>
      <c r="K23" s="144"/>
      <c r="L23" s="62">
        <f ca="1">TblPop[[#This Row],[Draftees]]</f>
        <v>130</v>
      </c>
      <c r="M23" s="62">
        <f ca="1">TblMili[[#This Row],[Unit 1]]</f>
        <v>0</v>
      </c>
      <c r="N23" s="62">
        <f ca="1">TblMili[[#This Row],[Unit 2]]</f>
        <v>0</v>
      </c>
      <c r="O23" s="62">
        <f ca="1">TblMili[[#This Row],[Unit 3]]</f>
        <v>0</v>
      </c>
      <c r="P23" s="62">
        <f ca="1">TblMili[[#This Row],[Unit 4]]</f>
        <v>0</v>
      </c>
      <c r="Q23" s="62">
        <f ca="1">TblMili[[#This Row],[Spies]]</f>
        <v>0</v>
      </c>
      <c r="R23" s="62">
        <f ca="1">TblMili[[#This Row],[Wizards]]</f>
        <v>0</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4445</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97">
        <f ca="1">MAX(-5%*TblPop[[#This Row],[Peasants]]-TblPop[[#This Row],[Draft Growth]],MIN(OFFSET(TblPop[[#This Row],[Net max]],1,0)-TblPop[[#This Row],[Peasants]]-TblPop[[#This Row],[Military]]-TblPop[[#This Row],[Draft Growth]],TblPop[[#This Row],[Modded Birth]]-TblPop[[#This Row],[Draft Growth]]))</f>
        <v>171</v>
      </c>
      <c r="X23" s="97">
        <f ca="1">ROUND(TblPop[[#This Row],[Raw Birth]]*(1+TblPop[[#This Row],[Growth]]),0)</f>
        <v>197</v>
      </c>
      <c r="Y23" s="97">
        <f ca="1">(TblPop[[#This Row],[Peasants]]-TblPop[[#This Row],[Draft Growth]])*raw_pop_growth</f>
        <v>78.11999999999999</v>
      </c>
      <c r="Z23" s="97">
        <f ca="1">IF(TblPop[[#This Row],[Military%]]&lt;TblMili[[#This Row],[Draftrate]],ROUND(TblPop[[#This Row],[Peasants]]*Constants!$B$55,0), 0)</f>
        <v>26</v>
      </c>
      <c r="AA23" s="145"/>
      <c r="AB23" s="146">
        <f ca="1">Overview!$I$16 + IF(Magic!AE23&gt;0,Constants!$F$78) + ROUND(6*(Construction!BM24+Construction!CK23)/IF(Explore!S24&gt;0,Construction!F24-20,Construction!F24),4) + tech_6_5_2*Techs!BJ23 + tech_8_4*Techs!BT23</f>
        <v>1.5181</v>
      </c>
      <c r="AC23" s="142">
        <f ca="1">(Overview!$I$15 + Imps!Z23+ tech_2_5*Techs!AB23 + tech_3_6*Techs!AM23 + tech_6_1*Techs!BJ23 + tech_6_5*Techs!BF23 + tech_7_3_2*Techs!BN23) * (1 + Production!O23/100*prestige_pop_multiplier) + Production!O23/100*prestige_pop_multiplier</f>
        <v>7.6249999999999998E-2</v>
      </c>
    </row>
    <row r="24" spans="1:29" x14ac:dyDescent="0.2">
      <c r="A24" s="140">
        <f>TblRezone[[#This Row],[Hour]]</f>
        <v>21</v>
      </c>
      <c r="B24" s="141">
        <f ca="1">TblImps[[#This Row],[Time]]</f>
        <v>45430.583333333285</v>
      </c>
      <c r="C24" s="97">
        <f ca="1">OFFSET(TblPop[[#This Row],[Peasants]],-1,0)+OFFSET(TblPop[[#This Row],[Net Peasant]],-1,0)+TblMili[[#This Row],[Release Draft]]</f>
        <v>2801</v>
      </c>
      <c r="D24" s="97">
        <f ca="1">TblMili[[#This Row],[Military]]</f>
        <v>108</v>
      </c>
      <c r="E24" s="97">
        <f ca="1">TblMili[[#This Row],[Draftees]]</f>
        <v>108</v>
      </c>
      <c r="F24" s="97">
        <f ca="1">TblPop[[#This Row],[Peasants]]+TblPop[[#This Row],[Military]]</f>
        <v>2909</v>
      </c>
      <c r="G24" s="142">
        <f ca="1">TblPop[[#This Row],[Military]]/TblPop[[#This Row],[Total]]</f>
        <v>3.7126160192506016E-2</v>
      </c>
      <c r="H24" s="143">
        <f ca="1">MIN(TblPop[[#This Row],[Peasants]],TblPop[[#This Row],[Jobs]])</f>
        <v>2801</v>
      </c>
      <c r="I24" s="142">
        <f ca="1">MIN(OFFSET(TblPop[[#This Row],[Jobs]],1,0)/TblPop[[#This Row],[Peasants]],1)</f>
        <v>1</v>
      </c>
      <c r="J24" s="143">
        <f ca="1">SUM(TblConstr[[#This Row],[Tot Alc]:[Tot GT]],TblConstr[[#This Row],[Tot Shr]:[Tot Doc]],TblConstr[[#This Row],[Dest Alc]:[Dest GT]],TblConstr[[#This Row],[Dest Shr]:[Dest Doc]])*building_employment + TblConstr[[#This Row],[Tot Fac]]*bonus_jobs_facts</f>
        <v>3840</v>
      </c>
      <c r="K24" s="144"/>
      <c r="L24" s="62">
        <f ca="1">TblPop[[#This Row],[Draftees]]</f>
        <v>108</v>
      </c>
      <c r="M24" s="62">
        <f ca="1">TblMili[[#This Row],[Unit 1]]</f>
        <v>0</v>
      </c>
      <c r="N24" s="62">
        <f ca="1">TblMili[[#This Row],[Unit 2]]</f>
        <v>0</v>
      </c>
      <c r="O24" s="62">
        <f ca="1">TblMili[[#This Row],[Unit 3]]</f>
        <v>0</v>
      </c>
      <c r="P24" s="62">
        <f ca="1">TblMili[[#This Row],[Unit 4]]</f>
        <v>0</v>
      </c>
      <c r="Q24" s="62">
        <f ca="1">TblMili[[#This Row],[Spies]]</f>
        <v>0</v>
      </c>
      <c r="R24" s="62">
        <f ca="1">TblMili[[#This Row],[Wizards]]</f>
        <v>0</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4461</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97">
        <f ca="1">MAX(-5%*TblPop[[#This Row],[Peasants]]-TblPop[[#This Row],[Draft Growth]],MIN(OFFSET(TblPop[[#This Row],[Net max]],1,0)-TblPop[[#This Row],[Peasants]]-TblPop[[#This Row],[Military]]-TblPop[[#This Row],[Draft Growth]],TblPop[[#This Row],[Modded Birth]]-TblPop[[#This Row],[Draft Growth]]))</f>
        <v>181</v>
      </c>
      <c r="X24" s="97">
        <f ca="1">ROUND(TblPop[[#This Row],[Raw Birth]]*(1+TblPop[[#This Row],[Growth]]),0)</f>
        <v>209</v>
      </c>
      <c r="Y24" s="97">
        <f ca="1">(TblPop[[#This Row],[Peasants]]-TblPop[[#This Row],[Draft Growth]])*raw_pop_growth</f>
        <v>83.19</v>
      </c>
      <c r="Z24" s="97">
        <f ca="1">IF(TblPop[[#This Row],[Military%]]&lt;TblMili[[#This Row],[Draftrate]],ROUND(TblPop[[#This Row],[Peasants]]*Constants!$B$55,0), 0)</f>
        <v>28</v>
      </c>
      <c r="AA24" s="145"/>
      <c r="AB24" s="146">
        <f ca="1">Overview!$I$16 + IF(Magic!AE24&gt;0,Constants!$F$78) + ROUND(6*(Construction!BM25+Construction!CK24)/IF(Explore!S25&gt;0,Construction!F25-20,Construction!F25),4) + tech_6_5_2*Techs!BJ24 + tech_8_4*Techs!BT24</f>
        <v>1.5144</v>
      </c>
      <c r="AC24" s="142">
        <f ca="1">(Overview!$I$15 + Imps!Z24+ tech_2_5*Techs!AB24 + tech_3_6*Techs!AM24 + tech_6_1*Techs!BJ24 + tech_6_5*Techs!BF24 + tech_7_3_2*Techs!BN24) * (1 + Production!O24/100*prestige_pop_multiplier) + Production!O24/100*prestige_pop_multiplier</f>
        <v>7.6249999999999998E-2</v>
      </c>
    </row>
    <row r="25" spans="1:29" x14ac:dyDescent="0.2">
      <c r="A25" s="140">
        <f>TblRezone[[#This Row],[Hour]]</f>
        <v>22</v>
      </c>
      <c r="B25" s="141">
        <f ca="1">TblImps[[#This Row],[Time]]</f>
        <v>45430.624999999949</v>
      </c>
      <c r="C25" s="97">
        <f ca="1">OFFSET(TblPop[[#This Row],[Peasants]],-1,0)+OFFSET(TblPop[[#This Row],[Net Peasant]],-1,0)+TblMili[[#This Row],[Release Draft]]</f>
        <v>2982</v>
      </c>
      <c r="D25" s="97">
        <f ca="1">TblMili[[#This Row],[Military]]</f>
        <v>124</v>
      </c>
      <c r="E25" s="97">
        <f ca="1">TblMili[[#This Row],[Draftees]]</f>
        <v>124</v>
      </c>
      <c r="F25" s="97">
        <f ca="1">TblPop[[#This Row],[Peasants]]+TblPop[[#This Row],[Military]]</f>
        <v>3106</v>
      </c>
      <c r="G25" s="142">
        <f ca="1">TblPop[[#This Row],[Military]]/TblPop[[#This Row],[Total]]</f>
        <v>3.9922730199613649E-2</v>
      </c>
      <c r="H25" s="143">
        <f ca="1">MIN(TblPop[[#This Row],[Peasants]],TblPop[[#This Row],[Jobs]])</f>
        <v>2982</v>
      </c>
      <c r="I25" s="142">
        <f ca="1">MIN(OFFSET(TblPop[[#This Row],[Jobs]],1,0)/TblPop[[#This Row],[Peasants]],1)</f>
        <v>1</v>
      </c>
      <c r="J25" s="143">
        <f ca="1">SUM(TblConstr[[#This Row],[Tot Alc]:[Tot GT]],TblConstr[[#This Row],[Tot Shr]:[Tot Doc]],TblConstr[[#This Row],[Dest Alc]:[Dest GT]],TblConstr[[#This Row],[Dest Shr]:[Dest Doc]])*building_employment + TblConstr[[#This Row],[Tot Fac]]*bonus_jobs_facts</f>
        <v>3840</v>
      </c>
      <c r="K25" s="144"/>
      <c r="L25" s="62">
        <f ca="1">TblPop[[#This Row],[Draftees]]</f>
        <v>124</v>
      </c>
      <c r="M25" s="62">
        <f ca="1">TblMili[[#This Row],[Unit 1]]</f>
        <v>0</v>
      </c>
      <c r="N25" s="62">
        <f ca="1">TblMili[[#This Row],[Unit 2]]</f>
        <v>0</v>
      </c>
      <c r="O25" s="62">
        <f ca="1">TblMili[[#This Row],[Unit 3]]</f>
        <v>0</v>
      </c>
      <c r="P25" s="62">
        <f ca="1">TblMili[[#This Row],[Unit 4]]</f>
        <v>0</v>
      </c>
      <c r="Q25" s="62">
        <f ca="1">TblMili[[#This Row],[Spies]]</f>
        <v>0</v>
      </c>
      <c r="R25" s="62">
        <f ca="1">TblMili[[#This Row],[Wizards]]</f>
        <v>0</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4477</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97">
        <f ca="1">MAX(-5%*TblPop[[#This Row],[Peasants]]-TblPop[[#This Row],[Draft Growth]],MIN(OFFSET(TblPop[[#This Row],[Net max]],1,0)-TblPop[[#This Row],[Peasants]]-TblPop[[#This Row],[Military]]-TblPop[[#This Row],[Draft Growth]],TblPop[[#This Row],[Modded Birth]]-TblPop[[#This Row],[Draft Growth]]))</f>
        <v>192</v>
      </c>
      <c r="X25" s="97">
        <f ca="1">ROUND(TblPop[[#This Row],[Raw Birth]]*(1+TblPop[[#This Row],[Growth]]),0)</f>
        <v>222</v>
      </c>
      <c r="Y25" s="97">
        <f ca="1">(TblPop[[#This Row],[Peasants]]-TblPop[[#This Row],[Draft Growth]])*raw_pop_growth</f>
        <v>88.56</v>
      </c>
      <c r="Z25" s="97">
        <f ca="1">IF(TblPop[[#This Row],[Military%]]&lt;TblMili[[#This Row],[Draftrate]],ROUND(TblPop[[#This Row],[Peasants]]*Constants!$B$55,0), 0)</f>
        <v>30</v>
      </c>
      <c r="AA25" s="145"/>
      <c r="AB25" s="146">
        <f ca="1">Overview!$I$16 + IF(Magic!AE25&gt;0,Constants!$F$78) + ROUND(6*(Construction!BM26+Construction!CK25)/IF(Explore!S26&gt;0,Construction!F26-20,Construction!F26),4) + tech_6_5_2*Techs!BJ25 + tech_8_4*Techs!BT25</f>
        <v>1.5107999999999999</v>
      </c>
      <c r="AC25" s="142">
        <f ca="1">(Overview!$I$15 + Imps!Z25+ tech_2_5*Techs!AB25 + tech_3_6*Techs!AM25 + tech_6_1*Techs!BJ25 + tech_6_5*Techs!BF25 + tech_7_3_2*Techs!BN25) * (1 + Production!O25/100*prestige_pop_multiplier) + Production!O25/100*prestige_pop_multiplier</f>
        <v>7.6249999999999998E-2</v>
      </c>
    </row>
    <row r="26" spans="1:29" x14ac:dyDescent="0.2">
      <c r="A26" s="140">
        <f>TblRezone[[#This Row],[Hour]]</f>
        <v>23</v>
      </c>
      <c r="B26" s="141">
        <f ca="1">TblImps[[#This Row],[Time]]</f>
        <v>45430.666666666613</v>
      </c>
      <c r="C26" s="97">
        <f ca="1">OFFSET(TblPop[[#This Row],[Peasants]],-1,0)+OFFSET(TblPop[[#This Row],[Net Peasant]],-1,0)+TblMili[[#This Row],[Release Draft]]</f>
        <v>3174</v>
      </c>
      <c r="D26" s="97">
        <f ca="1">TblMili[[#This Row],[Military]]</f>
        <v>146</v>
      </c>
      <c r="E26" s="97">
        <f ca="1">TblMili[[#This Row],[Draftees]]</f>
        <v>146</v>
      </c>
      <c r="F26" s="97">
        <f ca="1">TblPop[[#This Row],[Peasants]]+TblPop[[#This Row],[Military]]</f>
        <v>3320</v>
      </c>
      <c r="G26" s="142">
        <f ca="1">TblPop[[#This Row],[Military]]/TblPop[[#This Row],[Total]]</f>
        <v>4.3975903614457829E-2</v>
      </c>
      <c r="H26" s="143">
        <f ca="1">MIN(TblPop[[#This Row],[Peasants]],TblPop[[#This Row],[Jobs]])</f>
        <v>3174</v>
      </c>
      <c r="I26" s="142">
        <f ca="1">MIN(OFFSET(TblPop[[#This Row],[Jobs]],1,0)/TblPop[[#This Row],[Peasants]],1)</f>
        <v>1</v>
      </c>
      <c r="J26" s="143">
        <f ca="1">SUM(TblConstr[[#This Row],[Tot Alc]:[Tot GT]],TblConstr[[#This Row],[Tot Shr]:[Tot Doc]],TblConstr[[#This Row],[Dest Alc]:[Dest GT]],TblConstr[[#This Row],[Dest Shr]:[Dest Doc]])*building_employment + TblConstr[[#This Row],[Tot Fac]]*bonus_jobs_facts</f>
        <v>3840</v>
      </c>
      <c r="K26" s="144"/>
      <c r="L26" s="62">
        <f ca="1">TblPop[[#This Row],[Draftees]]</f>
        <v>146</v>
      </c>
      <c r="M26" s="62">
        <f ca="1">TblMili[[#This Row],[Unit 1]]</f>
        <v>0</v>
      </c>
      <c r="N26" s="62">
        <f ca="1">TblMili[[#This Row],[Unit 2]]</f>
        <v>0</v>
      </c>
      <c r="O26" s="62">
        <f ca="1">TblMili[[#This Row],[Unit 3]]</f>
        <v>0</v>
      </c>
      <c r="P26" s="62">
        <f ca="1">TblMili[[#This Row],[Unit 4]]</f>
        <v>0</v>
      </c>
      <c r="Q26" s="62">
        <f ca="1">TblMili[[#This Row],[Spies]]</f>
        <v>0</v>
      </c>
      <c r="R26" s="62">
        <f ca="1">TblMili[[#This Row],[Wizards]]</f>
        <v>0</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4493</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97">
        <f ca="1">MAX(-5%*TblPop[[#This Row],[Peasants]]-TblPop[[#This Row],[Draft Growth]],MIN(OFFSET(TblPop[[#This Row],[Net max]],1,0)-TblPop[[#This Row],[Peasants]]-TblPop[[#This Row],[Military]]-TblPop[[#This Row],[Draft Growth]],TblPop[[#This Row],[Modded Birth]]-TblPop[[#This Row],[Draft Growth]]))</f>
        <v>205</v>
      </c>
      <c r="X26" s="97">
        <f ca="1">ROUND(TblPop[[#This Row],[Raw Birth]]*(1+TblPop[[#This Row],[Growth]]),0)</f>
        <v>237</v>
      </c>
      <c r="Y26" s="97">
        <f ca="1">(TblPop[[#This Row],[Peasants]]-TblPop[[#This Row],[Draft Growth]])*raw_pop_growth</f>
        <v>94.259999999999991</v>
      </c>
      <c r="Z26" s="97">
        <f ca="1">IF(TblPop[[#This Row],[Military%]]&lt;TblMili[[#This Row],[Draftrate]],ROUND(TblPop[[#This Row],[Peasants]]*Constants!$B$55,0), 0)</f>
        <v>32</v>
      </c>
      <c r="AA26" s="145"/>
      <c r="AB26" s="146">
        <f ca="1">Overview!$I$16 + IF(Magic!AE26&gt;0,Constants!$F$78) + ROUND(6*(Construction!BM27+Construction!CK26)/IF(Explore!S27&gt;0,Construction!F27-20,Construction!F27),4) + tech_6_5_2*Techs!BJ26 + tech_8_4*Techs!BT26</f>
        <v>1.5107999999999999</v>
      </c>
      <c r="AC26" s="142">
        <f ca="1">(Overview!$I$15 + Imps!Z26+ tech_2_5*Techs!AB26 + tech_3_6*Techs!AM26 + tech_6_1*Techs!BJ26 + tech_6_5*Techs!BF26 + tech_7_3_2*Techs!BN26) * (1 + Production!O26/100*prestige_pop_multiplier) + Production!O26/100*prestige_pop_multiplier</f>
        <v>7.6249999999999998E-2</v>
      </c>
    </row>
    <row r="27" spans="1:29" x14ac:dyDescent="0.2">
      <c r="A27" s="140">
        <f>TblRezone[[#This Row],[Hour]]</f>
        <v>24</v>
      </c>
      <c r="B27" s="141">
        <f ca="1">TblImps[[#This Row],[Time]]</f>
        <v>45430.708333333278</v>
      </c>
      <c r="C27" s="97">
        <f ca="1">OFFSET(TblPop[[#This Row],[Peasants]],-1,0)+OFFSET(TblPop[[#This Row],[Net Peasant]],-1,0)+TblMili[[#This Row],[Release Draft]]</f>
        <v>3379</v>
      </c>
      <c r="D27" s="97">
        <f ca="1">TblMili[[#This Row],[Military]]</f>
        <v>138</v>
      </c>
      <c r="E27" s="97">
        <f ca="1">TblMili[[#This Row],[Draftees]]</f>
        <v>138</v>
      </c>
      <c r="F27" s="97">
        <f ca="1">TblPop[[#This Row],[Peasants]]+TblPop[[#This Row],[Military]]</f>
        <v>3517</v>
      </c>
      <c r="G27" s="142">
        <f ca="1">TblPop[[#This Row],[Military]]/TblPop[[#This Row],[Total]]</f>
        <v>3.9237986920671028E-2</v>
      </c>
      <c r="H27" s="143">
        <f ca="1">MIN(TblPop[[#This Row],[Peasants]],TblPop[[#This Row],[Jobs]])</f>
        <v>3379</v>
      </c>
      <c r="I27" s="142">
        <f ca="1">MIN(OFFSET(TblPop[[#This Row],[Jobs]],1,0)/TblPop[[#This Row],[Peasants]],1)</f>
        <v>1</v>
      </c>
      <c r="J27" s="143">
        <f ca="1">SUM(TblConstr[[#This Row],[Tot Alc]:[Tot GT]],TblConstr[[#This Row],[Tot Shr]:[Tot Doc]],TblConstr[[#This Row],[Dest Alc]:[Dest GT]],TblConstr[[#This Row],[Dest Shr]:[Dest Doc]])*building_employment + TblConstr[[#This Row],[Tot Fac]]*bonus_jobs_facts</f>
        <v>3840</v>
      </c>
      <c r="K27" s="144"/>
      <c r="L27" s="62">
        <f ca="1">TblPop[[#This Row],[Draftees]]</f>
        <v>138</v>
      </c>
      <c r="M27" s="62">
        <f ca="1">TblMili[[#This Row],[Unit 1]]</f>
        <v>0</v>
      </c>
      <c r="N27" s="62">
        <f ca="1">TblMili[[#This Row],[Unit 2]]</f>
        <v>0</v>
      </c>
      <c r="O27" s="62">
        <f ca="1">TblMili[[#This Row],[Unit 3]]</f>
        <v>0</v>
      </c>
      <c r="P27" s="62">
        <f ca="1">TblMili[[#This Row],[Unit 4]]</f>
        <v>0</v>
      </c>
      <c r="Q27" s="62">
        <f ca="1">TblMili[[#This Row],[Spies]]</f>
        <v>0</v>
      </c>
      <c r="R27" s="62">
        <f ca="1">TblMili[[#This Row],[Wizards]]</f>
        <v>0</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4504</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97">
        <f ca="1">MAX(-5%*TblPop[[#This Row],[Peasants]]-TblPop[[#This Row],[Draft Growth]],MIN(OFFSET(TblPop[[#This Row],[Net max]],1,0)-TblPop[[#This Row],[Peasants]]-TblPop[[#This Row],[Military]]-TblPop[[#This Row],[Draft Growth]],TblPop[[#This Row],[Modded Birth]]-TblPop[[#This Row],[Draft Growth]]))</f>
        <v>211</v>
      </c>
      <c r="X27" s="97">
        <f ca="1">ROUND(TblPop[[#This Row],[Raw Birth]]*(1+TblPop[[#This Row],[Growth]]),0)</f>
        <v>245</v>
      </c>
      <c r="Y27" s="97">
        <f ca="1">(TblPop[[#This Row],[Peasants]]-TblPop[[#This Row],[Draft Growth]])*raw_pop_growth</f>
        <v>100.35</v>
      </c>
      <c r="Z27" s="97">
        <f ca="1">IF(TblPop[[#This Row],[Military%]]&lt;TblMili[[#This Row],[Draftrate]],ROUND(TblPop[[#This Row],[Peasants]]*Constants!$B$55,0), 0)</f>
        <v>34</v>
      </c>
      <c r="AA27" s="145"/>
      <c r="AB27" s="146">
        <f ca="1">Overview!$I$16 + IF(Magic!AE27&gt;0,Constants!$F$78) + ROUND(6*(Construction!BM28+Construction!CK27)/IF(Explore!S28&gt;0,Construction!F28-20,Construction!F28),4) + tech_6_5_2*Techs!BJ27 + tech_8_4*Techs!BT27</f>
        <v>1.4431</v>
      </c>
      <c r="AC27" s="142">
        <f ca="1">(Overview!$I$15 + Imps!Z27+ tech_2_5*Techs!AB27 + tech_3_6*Techs!AM27 + tech_6_1*Techs!BJ27 + tech_6_5*Techs!BF27 + tech_7_3_2*Techs!BN27) * (1 + Production!O27/100*prestige_pop_multiplier) + Production!O27/100*prestige_pop_multiplier</f>
        <v>7.6249999999999998E-2</v>
      </c>
    </row>
    <row r="28" spans="1:29" x14ac:dyDescent="0.2">
      <c r="A28" s="140">
        <f>TblRezone[[#This Row],[Hour]]</f>
        <v>25</v>
      </c>
      <c r="B28" s="141">
        <f ca="1">TblImps[[#This Row],[Time]]</f>
        <v>45430.749999999942</v>
      </c>
      <c r="C28" s="97">
        <f ca="1">OFFSET(TblPop[[#This Row],[Peasants]],-1,0)+OFFSET(TblPop[[#This Row],[Net Peasant]],-1,0)+TblMili[[#This Row],[Release Draft]]</f>
        <v>3590</v>
      </c>
      <c r="D28" s="97">
        <f ca="1">TblMili[[#This Row],[Military]]</f>
        <v>172</v>
      </c>
      <c r="E28" s="97">
        <f ca="1">TblMili[[#This Row],[Draftees]]</f>
        <v>172</v>
      </c>
      <c r="F28" s="97">
        <f ca="1">TblPop[[#This Row],[Peasants]]+TblPop[[#This Row],[Military]]</f>
        <v>3762</v>
      </c>
      <c r="G28" s="142">
        <f ca="1">TblPop[[#This Row],[Military]]/TblPop[[#This Row],[Total]]</f>
        <v>4.5720361509835196E-2</v>
      </c>
      <c r="H28" s="143">
        <f ca="1">MIN(TblPop[[#This Row],[Peasants]],TblPop[[#This Row],[Jobs]])</f>
        <v>3590</v>
      </c>
      <c r="I28" s="142">
        <f ca="1">MIN(OFFSET(TblPop[[#This Row],[Jobs]],1,0)/TblPop[[#This Row],[Peasants]],1)</f>
        <v>1</v>
      </c>
      <c r="J28" s="143">
        <f ca="1">SUM(TblConstr[[#This Row],[Tot Alc]:[Tot GT]],TblConstr[[#This Row],[Tot Shr]:[Tot Doc]],TblConstr[[#This Row],[Dest Alc]:[Dest GT]],TblConstr[[#This Row],[Dest Shr]:[Dest Doc]])*building_employment + TblConstr[[#This Row],[Tot Fac]]*bonus_jobs_facts</f>
        <v>5150</v>
      </c>
      <c r="K28" s="144"/>
      <c r="L28" s="62">
        <f ca="1">TblPop[[#This Row],[Draftees]]</f>
        <v>172</v>
      </c>
      <c r="M28" s="62">
        <f ca="1">TblMili[[#This Row],[Unit 1]]</f>
        <v>0</v>
      </c>
      <c r="N28" s="62">
        <f ca="1">TblMili[[#This Row],[Unit 2]]</f>
        <v>0</v>
      </c>
      <c r="O28" s="62">
        <f ca="1">TblMili[[#This Row],[Unit 3]]</f>
        <v>0</v>
      </c>
      <c r="P28" s="62">
        <f ca="1">TblMili[[#This Row],[Unit 4]]</f>
        <v>0</v>
      </c>
      <c r="Q28" s="62">
        <f ca="1">TblMili[[#This Row],[Spies]]</f>
        <v>0</v>
      </c>
      <c r="R28" s="62">
        <f ca="1">TblMili[[#This Row],[Wizards]]</f>
        <v>0</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4827</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97">
        <f ca="1">MAX(-5%*TblPop[[#This Row],[Peasants]]-TblPop[[#This Row],[Draft Growth]],MIN(OFFSET(TblPop[[#This Row],[Net max]],1,0)-TblPop[[#This Row],[Peasants]]-TblPop[[#This Row],[Military]]-TblPop[[#This Row],[Draft Growth]],TblPop[[#This Row],[Modded Birth]]-TblPop[[#This Row],[Draft Growth]]))</f>
        <v>224</v>
      </c>
      <c r="X28" s="97">
        <f ca="1">ROUND(TblPop[[#This Row],[Raw Birth]]*(1+TblPop[[#This Row],[Growth]]),0)</f>
        <v>260</v>
      </c>
      <c r="Y28" s="97">
        <f ca="1">(TblPop[[#This Row],[Peasants]]-TblPop[[#This Row],[Draft Growth]])*raw_pop_growth</f>
        <v>106.61999999999999</v>
      </c>
      <c r="Z28" s="97">
        <f ca="1">IF(TblPop[[#This Row],[Military%]]&lt;TblMili[[#This Row],[Draftrate]],ROUND(TblPop[[#This Row],[Peasants]]*Constants!$B$55,0), 0)</f>
        <v>36</v>
      </c>
      <c r="AA28" s="145"/>
      <c r="AB28" s="146">
        <f ca="1">Overview!$I$16 + IF(Magic!AE28&gt;0,Constants!$F$78) + ROUND(6*(Construction!BM29+Construction!CK28)/IF(Explore!S29&gt;0,Construction!F29-20,Construction!F29),4) + tech_6_5_2*Techs!BJ28 + tech_8_4*Techs!BT28</f>
        <v>1.4431</v>
      </c>
      <c r="AC28" s="142">
        <f ca="1">(Overview!$I$15 + Imps!Z28+ tech_2_5*Techs!AB28 + tech_3_6*Techs!AM28 + tech_6_1*Techs!BJ28 + tech_6_5*Techs!BF28 + tech_7_3_2*Techs!BN28) * (1 + Production!O28/100*prestige_pop_multiplier) + Production!O28/100*prestige_pop_multiplier</f>
        <v>7.6249999999999998E-2</v>
      </c>
    </row>
    <row r="29" spans="1:29" x14ac:dyDescent="0.2">
      <c r="A29" s="140">
        <f>TblRezone[[#This Row],[Hour]]</f>
        <v>26</v>
      </c>
      <c r="B29" s="141">
        <f ca="1">TblImps[[#This Row],[Time]]</f>
        <v>45430.791666666606</v>
      </c>
      <c r="C29" s="97">
        <f ca="1">OFFSET(TblPop[[#This Row],[Peasants]],-1,0)+OFFSET(TblPop[[#This Row],[Net Peasant]],-1,0)+TblMili[[#This Row],[Release Draft]]</f>
        <v>3814</v>
      </c>
      <c r="D29" s="97">
        <f ca="1">TblMili[[#This Row],[Military]]</f>
        <v>208</v>
      </c>
      <c r="E29" s="97">
        <f ca="1">TblMili[[#This Row],[Draftees]]</f>
        <v>208</v>
      </c>
      <c r="F29" s="97">
        <f ca="1">TblPop[[#This Row],[Peasants]]+TblPop[[#This Row],[Military]]</f>
        <v>4022</v>
      </c>
      <c r="G29" s="142">
        <f ca="1">TblPop[[#This Row],[Military]]/TblPop[[#This Row],[Total]]</f>
        <v>5.171556439582297E-2</v>
      </c>
      <c r="H29" s="143">
        <f ca="1">MIN(TblPop[[#This Row],[Peasants]],TblPop[[#This Row],[Jobs]])</f>
        <v>3814</v>
      </c>
      <c r="I29" s="142">
        <f ca="1">MIN(OFFSET(TblPop[[#This Row],[Jobs]],1,0)/TblPop[[#This Row],[Peasants]],1)</f>
        <v>1</v>
      </c>
      <c r="J29" s="143">
        <f ca="1">SUM(TblConstr[[#This Row],[Tot Alc]:[Tot GT]],TblConstr[[#This Row],[Tot Shr]:[Tot Doc]],TblConstr[[#This Row],[Dest Alc]:[Dest GT]],TblConstr[[#This Row],[Dest Shr]:[Dest Doc]])*building_employment + TblConstr[[#This Row],[Tot Fac]]*bonus_jobs_facts</f>
        <v>5150</v>
      </c>
      <c r="K29" s="144"/>
      <c r="L29" s="62">
        <f ca="1">TblPop[[#This Row],[Draftees]]</f>
        <v>208</v>
      </c>
      <c r="M29" s="62">
        <f ca="1">TblMili[[#This Row],[Unit 1]]</f>
        <v>0</v>
      </c>
      <c r="N29" s="62">
        <f ca="1">TblMili[[#This Row],[Unit 2]]</f>
        <v>0</v>
      </c>
      <c r="O29" s="62">
        <f ca="1">TblMili[[#This Row],[Unit 3]]</f>
        <v>0</v>
      </c>
      <c r="P29" s="62">
        <f ca="1">TblMili[[#This Row],[Unit 4]]</f>
        <v>0</v>
      </c>
      <c r="Q29" s="62">
        <f ca="1">TblMili[[#This Row],[Spies]]</f>
        <v>0</v>
      </c>
      <c r="R29" s="62">
        <f ca="1">TblMili[[#This Row],[Wizards]]</f>
        <v>0</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4827</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97">
        <f ca="1">MAX(-5%*TblPop[[#This Row],[Peasants]]-TblPop[[#This Row],[Draft Growth]],MIN(OFFSET(TblPop[[#This Row],[Net max]],1,0)-TblPop[[#This Row],[Peasants]]-TblPop[[#This Row],[Military]]-TblPop[[#This Row],[Draft Growth]],TblPop[[#This Row],[Modded Birth]]-TblPop[[#This Row],[Draft Growth]]))</f>
        <v>239</v>
      </c>
      <c r="X29" s="97">
        <f ca="1">ROUND(TblPop[[#This Row],[Raw Birth]]*(1+TblPop[[#This Row],[Growth]]),0)</f>
        <v>277</v>
      </c>
      <c r="Y29" s="97">
        <f ca="1">(TblPop[[#This Row],[Peasants]]-TblPop[[#This Row],[Draft Growth]])*raw_pop_growth</f>
        <v>113.28</v>
      </c>
      <c r="Z29" s="97">
        <f ca="1">IF(TblPop[[#This Row],[Military%]]&lt;TblMili[[#This Row],[Draftrate]],ROUND(TblPop[[#This Row],[Peasants]]*Constants!$B$55,0), 0)</f>
        <v>38</v>
      </c>
      <c r="AA29" s="145"/>
      <c r="AB29" s="146">
        <f ca="1">Overview!$I$16 + IF(Magic!AE29&gt;0,Constants!$F$78) + ROUND(6*(Construction!BM30+Construction!CK29)/IF(Explore!S30&gt;0,Construction!F30-20,Construction!F30),4) + tech_6_5_2*Techs!BJ29 + tech_8_4*Techs!BT29</f>
        <v>1.4431</v>
      </c>
      <c r="AC29" s="142">
        <f ca="1">(Overview!$I$15 + Imps!Z29+ tech_2_5*Techs!AB29 + tech_3_6*Techs!AM29 + tech_6_1*Techs!BJ29 + tech_6_5*Techs!BF29 + tech_7_3_2*Techs!BN29) * (1 + Production!O29/100*prestige_pop_multiplier) + Production!O29/100*prestige_pop_multiplier</f>
        <v>7.6249999999999998E-2</v>
      </c>
    </row>
    <row r="30" spans="1:29" x14ac:dyDescent="0.2">
      <c r="A30" s="140">
        <f>TblRezone[[#This Row],[Hour]]</f>
        <v>27</v>
      </c>
      <c r="B30" s="141">
        <f ca="1">TblImps[[#This Row],[Time]]</f>
        <v>45430.83333333327</v>
      </c>
      <c r="C30" s="97">
        <f ca="1">OFFSET(TblPop[[#This Row],[Peasants]],-1,0)+OFFSET(TblPop[[#This Row],[Net Peasant]],-1,0)+TblMili[[#This Row],[Release Draft]]</f>
        <v>4053</v>
      </c>
      <c r="D30" s="97">
        <f ca="1">TblMili[[#This Row],[Military]]</f>
        <v>246</v>
      </c>
      <c r="E30" s="97">
        <f ca="1">TblMili[[#This Row],[Draftees]]</f>
        <v>246</v>
      </c>
      <c r="F30" s="97">
        <f ca="1">TblPop[[#This Row],[Peasants]]+TblPop[[#This Row],[Military]]</f>
        <v>4299</v>
      </c>
      <c r="G30" s="142">
        <f ca="1">TblPop[[#This Row],[Military]]/TblPop[[#This Row],[Total]]</f>
        <v>5.7222609909281227E-2</v>
      </c>
      <c r="H30" s="143">
        <f ca="1">MIN(TblPop[[#This Row],[Peasants]],TblPop[[#This Row],[Jobs]])</f>
        <v>4053</v>
      </c>
      <c r="I30" s="142">
        <f ca="1">MIN(OFFSET(TblPop[[#This Row],[Jobs]],1,0)/TblPop[[#This Row],[Peasants]],1)</f>
        <v>1</v>
      </c>
      <c r="J30" s="143">
        <f ca="1">SUM(TblConstr[[#This Row],[Tot Alc]:[Tot GT]],TblConstr[[#This Row],[Tot Shr]:[Tot Doc]],TblConstr[[#This Row],[Dest Alc]:[Dest GT]],TblConstr[[#This Row],[Dest Shr]:[Dest Doc]])*building_employment + TblConstr[[#This Row],[Tot Fac]]*bonus_jobs_facts</f>
        <v>5150</v>
      </c>
      <c r="K30" s="144"/>
      <c r="L30" s="62">
        <f ca="1">TblPop[[#This Row],[Draftees]]</f>
        <v>246</v>
      </c>
      <c r="M30" s="62">
        <f ca="1">TblMili[[#This Row],[Unit 1]]</f>
        <v>0</v>
      </c>
      <c r="N30" s="62">
        <f ca="1">TblMili[[#This Row],[Unit 2]]</f>
        <v>0</v>
      </c>
      <c r="O30" s="62">
        <f ca="1">TblMili[[#This Row],[Unit 3]]</f>
        <v>0</v>
      </c>
      <c r="P30" s="62">
        <f ca="1">TblMili[[#This Row],[Unit 4]]</f>
        <v>0</v>
      </c>
      <c r="Q30" s="62">
        <f ca="1">TblMili[[#This Row],[Spies]]</f>
        <v>0</v>
      </c>
      <c r="R30" s="62">
        <f ca="1">TblMili[[#This Row],[Wizards]]</f>
        <v>0</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4827</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97">
        <f ca="1">MAX(-5%*TblPop[[#This Row],[Peasants]]-TblPop[[#This Row],[Draft Growth]],MIN(OFFSET(TblPop[[#This Row],[Net max]],1,0)-TblPop[[#This Row],[Peasants]]-TblPop[[#This Row],[Military]]-TblPop[[#This Row],[Draft Growth]],TblPop[[#This Row],[Modded Birth]]-TblPop[[#This Row],[Draft Growth]]))</f>
        <v>253</v>
      </c>
      <c r="X30" s="97">
        <f ca="1">ROUND(TblPop[[#This Row],[Raw Birth]]*(1+TblPop[[#This Row],[Growth]]),0)</f>
        <v>294</v>
      </c>
      <c r="Y30" s="97">
        <f ca="1">(TblPop[[#This Row],[Peasants]]-TblPop[[#This Row],[Draft Growth]])*raw_pop_growth</f>
        <v>120.36</v>
      </c>
      <c r="Z30" s="97">
        <f ca="1">IF(TblPop[[#This Row],[Military%]]&lt;TblMili[[#This Row],[Draftrate]],ROUND(TblPop[[#This Row],[Peasants]]*Constants!$B$55,0), 0)</f>
        <v>41</v>
      </c>
      <c r="AA30" s="145"/>
      <c r="AB30" s="146">
        <f ca="1">Overview!$I$16 + IF(Magic!AE30&gt;0,Constants!$F$78) + ROUND(6*(Construction!BM31+Construction!CK30)/IF(Explore!S31&gt;0,Construction!F31-20,Construction!F31),4) + tech_6_5_2*Techs!BJ30 + tech_8_4*Techs!BT30</f>
        <v>1.4431</v>
      </c>
      <c r="AC30" s="142">
        <f ca="1">(Overview!$I$15 + Imps!Z30+ tech_2_5*Techs!AB30 + tech_3_6*Techs!AM30 + tech_6_1*Techs!BJ30 + tech_6_5*Techs!BF30 + tech_7_3_2*Techs!BN30) * (1 + Production!O30/100*prestige_pop_multiplier) + Production!O30/100*prestige_pop_multiplier</f>
        <v>7.6249999999999998E-2</v>
      </c>
    </row>
    <row r="31" spans="1:29" x14ac:dyDescent="0.2">
      <c r="A31" s="140">
        <f>TblRezone[[#This Row],[Hour]]</f>
        <v>28</v>
      </c>
      <c r="B31" s="141">
        <f ca="1">TblImps[[#This Row],[Time]]</f>
        <v>45430.874999999935</v>
      </c>
      <c r="C31" s="97">
        <f ca="1">OFFSET(TblPop[[#This Row],[Peasants]],-1,0)+OFFSET(TblPop[[#This Row],[Net Peasant]],-1,0)+TblMili[[#This Row],[Release Draft]]</f>
        <v>4306</v>
      </c>
      <c r="D31" s="97">
        <f ca="1">TblMili[[#This Row],[Military]]</f>
        <v>287</v>
      </c>
      <c r="E31" s="97">
        <f ca="1">TblMili[[#This Row],[Draftees]]</f>
        <v>287</v>
      </c>
      <c r="F31" s="97">
        <f ca="1">TblPop[[#This Row],[Peasants]]+TblPop[[#This Row],[Military]]</f>
        <v>4593</v>
      </c>
      <c r="G31" s="142">
        <f ca="1">TblPop[[#This Row],[Military]]/TblPop[[#This Row],[Total]]</f>
        <v>6.2486392336163731E-2</v>
      </c>
      <c r="H31" s="143">
        <f ca="1">MIN(TblPop[[#This Row],[Peasants]],TblPop[[#This Row],[Jobs]])</f>
        <v>4306</v>
      </c>
      <c r="I31" s="142">
        <f ca="1">MIN(OFFSET(TblPop[[#This Row],[Jobs]],1,0)/TblPop[[#This Row],[Peasants]],1)</f>
        <v>1</v>
      </c>
      <c r="J31" s="143">
        <f ca="1">SUM(TblConstr[[#This Row],[Tot Alc]:[Tot GT]],TblConstr[[#This Row],[Tot Shr]:[Tot Doc]],TblConstr[[#This Row],[Dest Alc]:[Dest GT]],TblConstr[[#This Row],[Dest Shr]:[Dest Doc]])*building_employment + TblConstr[[#This Row],[Tot Fac]]*bonus_jobs_facts</f>
        <v>5150</v>
      </c>
      <c r="K31" s="144"/>
      <c r="L31" s="62">
        <f ca="1">TblPop[[#This Row],[Draftees]]</f>
        <v>287</v>
      </c>
      <c r="M31" s="62">
        <f ca="1">TblMili[[#This Row],[Unit 1]]</f>
        <v>0</v>
      </c>
      <c r="N31" s="62">
        <f ca="1">TblMili[[#This Row],[Unit 2]]</f>
        <v>0</v>
      </c>
      <c r="O31" s="62">
        <f ca="1">TblMili[[#This Row],[Unit 3]]</f>
        <v>0</v>
      </c>
      <c r="P31" s="62">
        <f ca="1">TblMili[[#This Row],[Unit 4]]</f>
        <v>0</v>
      </c>
      <c r="Q31" s="62">
        <f ca="1">TblMili[[#This Row],[Spies]]</f>
        <v>0</v>
      </c>
      <c r="R31" s="62">
        <f ca="1">TblMili[[#This Row],[Wizards]]</f>
        <v>0</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4827</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97">
        <f ca="1">MAX(-5%*TblPop[[#This Row],[Peasants]]-TblPop[[#This Row],[Draft Growth]],MIN(OFFSET(TblPop[[#This Row],[Net max]],1,0)-TblPop[[#This Row],[Peasants]]-TblPop[[#This Row],[Military]]-TblPop[[#This Row],[Draft Growth]],TblPop[[#This Row],[Modded Birth]]-TblPop[[#This Row],[Draft Growth]]))</f>
        <v>191</v>
      </c>
      <c r="X31" s="97">
        <f ca="1">ROUND(TblPop[[#This Row],[Raw Birth]]*(1+TblPop[[#This Row],[Growth]]),0)</f>
        <v>312</v>
      </c>
      <c r="Y31" s="97">
        <f ca="1">(TblPop[[#This Row],[Peasants]]-TblPop[[#This Row],[Draft Growth]])*raw_pop_growth</f>
        <v>127.89</v>
      </c>
      <c r="Z31" s="97">
        <f ca="1">IF(TblPop[[#This Row],[Military%]]&lt;TblMili[[#This Row],[Draftrate]],ROUND(TblPop[[#This Row],[Peasants]]*Constants!$B$55,0), 0)</f>
        <v>43</v>
      </c>
      <c r="AA31" s="145"/>
      <c r="AB31" s="146">
        <f ca="1">Overview!$I$16 + IF(Magic!AE31&gt;0,Constants!$F$78) + ROUND(6*(Construction!BM32+Construction!CK31)/IF(Explore!S32&gt;0,Construction!F32-20,Construction!F32),4) + tech_6_5_2*Techs!BJ31 + tech_8_4*Techs!BT31</f>
        <v>1.4431</v>
      </c>
      <c r="AC31" s="142">
        <f ca="1">(Overview!$I$15 + Imps!Z31+ tech_2_5*Techs!AB31 + tech_3_6*Techs!AM31 + tech_6_1*Techs!BJ31 + tech_6_5*Techs!BF31 + tech_7_3_2*Techs!BN31) * (1 + Production!O31/100*prestige_pop_multiplier) + Production!O31/100*prestige_pop_multiplier</f>
        <v>7.6249999999999998E-2</v>
      </c>
    </row>
    <row r="32" spans="1:29" x14ac:dyDescent="0.2">
      <c r="A32" s="140">
        <f>TblRezone[[#This Row],[Hour]]</f>
        <v>29</v>
      </c>
      <c r="B32" s="141">
        <f ca="1">TblImps[[#This Row],[Time]]</f>
        <v>45430.916666666599</v>
      </c>
      <c r="C32" s="97">
        <f ca="1">OFFSET(TblPop[[#This Row],[Peasants]],-1,0)+OFFSET(TblPop[[#This Row],[Net Peasant]],-1,0)+TblMili[[#This Row],[Release Draft]]</f>
        <v>4497</v>
      </c>
      <c r="D32" s="97">
        <f ca="1">TblMili[[#This Row],[Military]]</f>
        <v>2</v>
      </c>
      <c r="E32" s="97">
        <f ca="1">TblMili[[#This Row],[Draftees]]</f>
        <v>2</v>
      </c>
      <c r="F32" s="97">
        <f ca="1">TblPop[[#This Row],[Peasants]]+TblPop[[#This Row],[Military]]</f>
        <v>4499</v>
      </c>
      <c r="G32" s="142">
        <f ca="1">TblPop[[#This Row],[Military]]/TblPop[[#This Row],[Total]]</f>
        <v>4.4454323182929539E-4</v>
      </c>
      <c r="H32" s="143">
        <f ca="1">MIN(TblPop[[#This Row],[Peasants]],TblPop[[#This Row],[Jobs]])</f>
        <v>4497</v>
      </c>
      <c r="I32" s="142">
        <f ca="1">MIN(OFFSET(TblPop[[#This Row],[Jobs]],1,0)/TblPop[[#This Row],[Peasants]],1)</f>
        <v>1</v>
      </c>
      <c r="J32" s="143">
        <f ca="1">SUM(TblConstr[[#This Row],[Tot Alc]:[Tot GT]],TblConstr[[#This Row],[Tot Shr]:[Tot Doc]],TblConstr[[#This Row],[Dest Alc]:[Dest GT]],TblConstr[[#This Row],[Dest Shr]:[Dest Doc]])*building_employment + TblConstr[[#This Row],[Tot Fac]]*bonus_jobs_facts</f>
        <v>5150</v>
      </c>
      <c r="K32" s="144"/>
      <c r="L32" s="62">
        <f ca="1">TblPop[[#This Row],[Draftees]]</f>
        <v>2</v>
      </c>
      <c r="M32" s="62">
        <f ca="1">TblMili[[#This Row],[Unit 1]]</f>
        <v>0</v>
      </c>
      <c r="N32" s="62">
        <f ca="1">TblMili[[#This Row],[Unit 2]]</f>
        <v>0</v>
      </c>
      <c r="O32" s="62">
        <f ca="1">TblMili[[#This Row],[Unit 3]]</f>
        <v>0</v>
      </c>
      <c r="P32" s="62">
        <f ca="1">TblMili[[#This Row],[Unit 4]]</f>
        <v>0</v>
      </c>
      <c r="Q32" s="62">
        <f ca="1">TblMili[[#This Row],[Spies]]</f>
        <v>0</v>
      </c>
      <c r="R32" s="62">
        <f ca="1">TblMili[[#This Row],[Wizards]]</f>
        <v>0</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4827</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97">
        <f ca="1">MAX(-5%*TblPop[[#This Row],[Peasants]]-TblPop[[#This Row],[Draft Growth]],MIN(OFFSET(TblPop[[#This Row],[Net max]],1,0)-TblPop[[#This Row],[Peasants]]-TblPop[[#This Row],[Military]]-TblPop[[#This Row],[Draft Growth]],TblPop[[#This Row],[Modded Birth]]-TblPop[[#This Row],[Draft Growth]]))</f>
        <v>257</v>
      </c>
      <c r="X32" s="97">
        <f ca="1">ROUND(TblPop[[#This Row],[Raw Birth]]*(1+TblPop[[#This Row],[Growth]]),0)</f>
        <v>302</v>
      </c>
      <c r="Y32" s="97">
        <f ca="1">(TblPop[[#This Row],[Peasants]]-TblPop[[#This Row],[Draft Growth]])*raw_pop_growth</f>
        <v>133.56</v>
      </c>
      <c r="Z32" s="97">
        <f ca="1">IF(TblPop[[#This Row],[Military%]]&lt;TblMili[[#This Row],[Draftrate]],ROUND(TblPop[[#This Row],[Peasants]]*Constants!$B$55,0), 0)</f>
        <v>45</v>
      </c>
      <c r="AA32" s="145"/>
      <c r="AB32" s="146">
        <f ca="1">Overview!$I$16 + IF(Magic!AE32&gt;0,Constants!$F$78) + ROUND(6*(Construction!BM33+Construction!CK32)/IF(Explore!S33&gt;0,Construction!F33-20,Construction!F33),4) + tech_6_5_2*Techs!BJ32 + tech_8_4*Techs!BT32</f>
        <v>1.2642</v>
      </c>
      <c r="AC32" s="142">
        <f ca="1">(Overview!$I$15 + Imps!Z32+ tech_2_5*Techs!AB32 + tech_3_6*Techs!AM32 + tech_6_1*Techs!BJ32 + tech_6_5*Techs!BF32 + tech_7_3_2*Techs!BN32) * (1 + Production!O32/100*prestige_pop_multiplier) + Production!O32/100*prestige_pop_multiplier</f>
        <v>7.6249999999999998E-2</v>
      </c>
    </row>
    <row r="33" spans="1:29" x14ac:dyDescent="0.2">
      <c r="A33" s="140">
        <f>TblRezone[[#This Row],[Hour]]</f>
        <v>30</v>
      </c>
      <c r="B33" s="141">
        <f ca="1">TblImps[[#This Row],[Time]]</f>
        <v>45430.958333333263</v>
      </c>
      <c r="C33" s="97">
        <f ca="1">OFFSET(TblPop[[#This Row],[Peasants]],-1,0)+OFFSET(TblPop[[#This Row],[Net Peasant]],-1,0)+TblMili[[#This Row],[Release Draft]]</f>
        <v>4754</v>
      </c>
      <c r="D33" s="97">
        <f ca="1">TblMili[[#This Row],[Military]]</f>
        <v>2</v>
      </c>
      <c r="E33" s="97">
        <f ca="1">TblMili[[#This Row],[Draftees]]</f>
        <v>2</v>
      </c>
      <c r="F33" s="97">
        <f ca="1">TblPop[[#This Row],[Peasants]]+TblPop[[#This Row],[Military]]</f>
        <v>4756</v>
      </c>
      <c r="G33" s="142">
        <f ca="1">TblPop[[#This Row],[Military]]/TblPop[[#This Row],[Total]]</f>
        <v>4.2052144659377626E-4</v>
      </c>
      <c r="H33" s="143">
        <f ca="1">MIN(TblPop[[#This Row],[Peasants]],TblPop[[#This Row],[Jobs]])</f>
        <v>4754</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5670</v>
      </c>
      <c r="K33" s="144"/>
      <c r="L33" s="62">
        <f ca="1">TblPop[[#This Row],[Draftees]]</f>
        <v>2</v>
      </c>
      <c r="M33" s="62">
        <f ca="1">TblMili[[#This Row],[Unit 1]]</f>
        <v>0</v>
      </c>
      <c r="N33" s="62">
        <f ca="1">TblMili[[#This Row],[Unit 2]]</f>
        <v>0</v>
      </c>
      <c r="O33" s="62">
        <f ca="1">TblMili[[#This Row],[Unit 3]]</f>
        <v>0</v>
      </c>
      <c r="P33" s="62">
        <f ca="1">TblMili[[#This Row],[Unit 4]]</f>
        <v>0</v>
      </c>
      <c r="Q33" s="62">
        <f ca="1">TblMili[[#This Row],[Spies]]</f>
        <v>0</v>
      </c>
      <c r="R33" s="62">
        <f ca="1">TblMili[[#This Row],[Wizards]]</f>
        <v>0</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5204</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97">
        <f ca="1">MAX(-5%*TblPop[[#This Row],[Peasants]]-TblPop[[#This Row],[Draft Growth]],MIN(OFFSET(TblPop[[#This Row],[Net max]],1,0)-TblPop[[#This Row],[Peasants]]-TblPop[[#This Row],[Military]]-TblPop[[#This Row],[Draft Growth]],TblPop[[#This Row],[Modded Birth]]-TblPop[[#This Row],[Draft Growth]]))</f>
        <v>269</v>
      </c>
      <c r="X33" s="97">
        <f ca="1">ROUND(TblPop[[#This Row],[Raw Birth]]*(1+TblPop[[#This Row],[Growth]]),0)</f>
        <v>317</v>
      </c>
      <c r="Y33" s="97">
        <f ca="1">(TblPop[[#This Row],[Peasants]]-TblPop[[#This Row],[Draft Growth]])*raw_pop_growth</f>
        <v>141.18</v>
      </c>
      <c r="Z33" s="97">
        <f ca="1">IF(TblPop[[#This Row],[Military%]]&lt;TblMili[[#This Row],[Draftrate]],ROUND(TblPop[[#This Row],[Peasants]]*Constants!$B$55,0), 0)</f>
        <v>48</v>
      </c>
      <c r="AA33" s="145"/>
      <c r="AB33" s="146">
        <f ca="1">Overview!$I$16 + IF(Magic!AE33&gt;0,Constants!$F$78) + ROUND(6*(Construction!BM34+Construction!CK33)/IF(Explore!S34&gt;0,Construction!F34-20,Construction!F34),4) + tech_6_5_2*Techs!BJ33 + tech_8_4*Techs!BT33</f>
        <v>1.2421</v>
      </c>
      <c r="AC33" s="142">
        <f ca="1">(Overview!$I$15 + Imps!Z33+ tech_2_5*Techs!AB33 + tech_3_6*Techs!AM33 + tech_6_1*Techs!BJ33 + tech_6_5*Techs!BF33 + tech_7_3_2*Techs!BN33) * (1 + Production!O33/100*prestige_pop_multiplier) + Production!O33/100*prestige_pop_multiplier</f>
        <v>7.6249999999999998E-2</v>
      </c>
    </row>
    <row r="34" spans="1:29" x14ac:dyDescent="0.2">
      <c r="A34" s="140">
        <f>TblRezone[[#This Row],[Hour]]</f>
        <v>31</v>
      </c>
      <c r="B34" s="141">
        <f ca="1">TblImps[[#This Row],[Time]]</f>
        <v>45430.999999999927</v>
      </c>
      <c r="C34" s="97">
        <f ca="1">OFFSET(TblPop[[#This Row],[Peasants]],-1,0)+OFFSET(TblPop[[#This Row],[Net Peasant]],-1,0)+TblMili[[#This Row],[Release Draft]]</f>
        <v>5023</v>
      </c>
      <c r="D34" s="97">
        <f ca="1">TblMili[[#This Row],[Military]]</f>
        <v>0</v>
      </c>
      <c r="E34" s="97">
        <f ca="1">TblMili[[#This Row],[Draftees]]</f>
        <v>0</v>
      </c>
      <c r="F34" s="97">
        <f ca="1">TblPop[[#This Row],[Peasants]]+TblPop[[#This Row],[Military]]</f>
        <v>5023</v>
      </c>
      <c r="G34" s="142">
        <f ca="1">TblPop[[#This Row],[Military]]/TblPop[[#This Row],[Total]]</f>
        <v>0</v>
      </c>
      <c r="H34" s="143">
        <f ca="1">MIN(TblPop[[#This Row],[Peasants]],TblPop[[#This Row],[Jobs]])</f>
        <v>5023</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5695</v>
      </c>
      <c r="K34" s="144"/>
      <c r="L34" s="62">
        <f ca="1">TblPop[[#This Row],[Draftees]]</f>
        <v>0</v>
      </c>
      <c r="M34" s="62">
        <f ca="1">TblMili[[#This Row],[Unit 1]]</f>
        <v>0</v>
      </c>
      <c r="N34" s="62">
        <f ca="1">TblMili[[#This Row],[Unit 2]]</f>
        <v>0</v>
      </c>
      <c r="O34" s="62">
        <f ca="1">TblMili[[#This Row],[Unit 3]]</f>
        <v>0</v>
      </c>
      <c r="P34" s="62">
        <f ca="1">TblMili[[#This Row],[Unit 4]]</f>
        <v>0</v>
      </c>
      <c r="Q34" s="62">
        <f ca="1">TblMili[[#This Row],[Spies]]</f>
        <v>0</v>
      </c>
      <c r="R34" s="62">
        <f ca="1">TblMili[[#This Row],[Wizards]]</f>
        <v>0</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6016</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97">
        <f ca="1">MAX(-5%*TblPop[[#This Row],[Peasants]]-TblPop[[#This Row],[Draft Growth]],MIN(OFFSET(TblPop[[#This Row],[Net max]],1,0)-TblPop[[#This Row],[Peasants]]-TblPop[[#This Row],[Military]]-TblPop[[#This Row],[Draft Growth]],TblPop[[#This Row],[Modded Birth]]-TblPop[[#This Row],[Draft Growth]]))</f>
        <v>281</v>
      </c>
      <c r="X34" s="97">
        <f ca="1">ROUND(TblPop[[#This Row],[Raw Birth]]*(1+TblPop[[#This Row],[Growth]]),0)</f>
        <v>331</v>
      </c>
      <c r="Y34" s="97">
        <f ca="1">(TblPop[[#This Row],[Peasants]]-TblPop[[#This Row],[Draft Growth]])*raw_pop_growth</f>
        <v>149.19</v>
      </c>
      <c r="Z34" s="97">
        <f ca="1">IF(TblPop[[#This Row],[Military%]]&lt;TblMili[[#This Row],[Draftrate]],ROUND(TblPop[[#This Row],[Peasants]]*Constants!$B$55,0), 0)</f>
        <v>50</v>
      </c>
      <c r="AA34" s="145"/>
      <c r="AB34" s="146">
        <f ca="1">Overview!$I$16 + IF(Magic!AE34&gt;0,Constants!$F$78) + ROUND(6*(Construction!BM35+Construction!CK34)/IF(Explore!S35&gt;0,Construction!F35-20,Construction!F35),4) + tech_6_5_2*Techs!BJ34 + tech_8_4*Techs!BT34</f>
        <v>1.2194</v>
      </c>
      <c r="AC34" s="142">
        <f ca="1">(Overview!$I$15 + Imps!Z34+ tech_2_5*Techs!AB34 + tech_3_6*Techs!AM34 + tech_6_1*Techs!BJ34 + tech_6_5*Techs!BF34 + tech_7_3_2*Techs!BN34) * (1 + Production!O34/100*prestige_pop_multiplier) + Production!O34/100*prestige_pop_multiplier</f>
        <v>7.6249999999999998E-2</v>
      </c>
    </row>
    <row r="35" spans="1:29" x14ac:dyDescent="0.2">
      <c r="A35" s="140">
        <f>TblRezone[[#This Row],[Hour]]</f>
        <v>32</v>
      </c>
      <c r="B35" s="141">
        <f ca="1">TblImps[[#This Row],[Time]]</f>
        <v>45431.041666666591</v>
      </c>
      <c r="C35" s="97">
        <f ca="1">OFFSET(TblPop[[#This Row],[Peasants]],-1,0)+OFFSET(TblPop[[#This Row],[Net Peasant]],-1,0)+TblMili[[#This Row],[Release Draft]]</f>
        <v>5304</v>
      </c>
      <c r="D35" s="97">
        <f ca="1">TblMili[[#This Row],[Military]]</f>
        <v>0</v>
      </c>
      <c r="E35" s="97">
        <f ca="1">TblMili[[#This Row],[Draftees]]</f>
        <v>0</v>
      </c>
      <c r="F35" s="97">
        <f ca="1">TblPop[[#This Row],[Peasants]]+TblPop[[#This Row],[Military]]</f>
        <v>5304</v>
      </c>
      <c r="G35" s="142">
        <f ca="1">TblPop[[#This Row],[Military]]/TblPop[[#This Row],[Total]]</f>
        <v>0</v>
      </c>
      <c r="H35" s="143">
        <f ca="1">MIN(TblPop[[#This Row],[Peasants]],TblPop[[#This Row],[Jobs]])</f>
        <v>5304</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5720</v>
      </c>
      <c r="K35" s="144"/>
      <c r="L35" s="62">
        <f ca="1">TblPop[[#This Row],[Draftees]]</f>
        <v>0</v>
      </c>
      <c r="M35" s="62">
        <f ca="1">TblMili[[#This Row],[Unit 1]]</f>
        <v>0</v>
      </c>
      <c r="N35" s="62">
        <f ca="1">TblMili[[#This Row],[Unit 2]]</f>
        <v>0</v>
      </c>
      <c r="O35" s="62">
        <f ca="1">TblMili[[#This Row],[Unit 3]]</f>
        <v>0</v>
      </c>
      <c r="P35" s="62">
        <f ca="1">TblMili[[#This Row],[Unit 4]]</f>
        <v>0</v>
      </c>
      <c r="Q35" s="62">
        <f ca="1">TblMili[[#This Row],[Spies]]</f>
        <v>0</v>
      </c>
      <c r="R35" s="62">
        <f ca="1">TblMili[[#This Row],[Wizards]]</f>
        <v>0</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6199</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97">
        <f ca="1">MAX(-5%*TblPop[[#This Row],[Peasants]]-TblPop[[#This Row],[Draft Growth]],MIN(OFFSET(TblPop[[#This Row],[Net max]],1,0)-TblPop[[#This Row],[Peasants]]-TblPop[[#This Row],[Military]]-TblPop[[#This Row],[Draft Growth]],TblPop[[#This Row],[Modded Birth]]-TblPop[[#This Row],[Draft Growth]]))</f>
        <v>293</v>
      </c>
      <c r="X35" s="97">
        <f ca="1">ROUND(TblPop[[#This Row],[Raw Birth]]*(1+TblPop[[#This Row],[Growth]]),0)</f>
        <v>346</v>
      </c>
      <c r="Y35" s="97">
        <f ca="1">(TblPop[[#This Row],[Peasants]]-TblPop[[#This Row],[Draft Growth]])*raw_pop_growth</f>
        <v>157.53</v>
      </c>
      <c r="Z35" s="97">
        <f ca="1">IF(TblPop[[#This Row],[Military%]]&lt;TblMili[[#This Row],[Draftrate]],ROUND(TblPop[[#This Row],[Peasants]]*Constants!$B$55,0), 0)</f>
        <v>53</v>
      </c>
      <c r="AA35" s="145"/>
      <c r="AB35" s="146">
        <f ca="1">Overview!$I$16 + IF(Magic!AE35&gt;0,Constants!$F$78) + ROUND(6*(Construction!BM36+Construction!CK35)/IF(Explore!S36&gt;0,Construction!F36-20,Construction!F36),4) + tech_6_5_2*Techs!BJ35 + tech_8_4*Techs!BT35</f>
        <v>1.198</v>
      </c>
      <c r="AC35" s="142">
        <f ca="1">(Overview!$I$15 + Imps!Z35+ tech_2_5*Techs!AB35 + tech_3_6*Techs!AM35 + tech_6_1*Techs!BJ35 + tech_6_5*Techs!BF35 + tech_7_3_2*Techs!BN35) * (1 + Production!O35/100*prestige_pop_multiplier) + Production!O35/100*prestige_pop_multiplier</f>
        <v>7.6249999999999998E-2</v>
      </c>
    </row>
    <row r="36" spans="1:29" x14ac:dyDescent="0.2">
      <c r="A36" s="140">
        <f>TblRezone[[#This Row],[Hour]]</f>
        <v>33</v>
      </c>
      <c r="B36" s="141">
        <f ca="1">TblImps[[#This Row],[Time]]</f>
        <v>45431.083333333256</v>
      </c>
      <c r="C36" s="97">
        <f ca="1">OFFSET(TblPop[[#This Row],[Peasants]],-1,0)+OFFSET(TblPop[[#This Row],[Net Peasant]],-1,0)+TblMili[[#This Row],[Release Draft]]</f>
        <v>5597</v>
      </c>
      <c r="D36" s="97">
        <f ca="1">TblMili[[#This Row],[Military]]</f>
        <v>3</v>
      </c>
      <c r="E36" s="97">
        <f ca="1">TblMili[[#This Row],[Draftees]]</f>
        <v>3</v>
      </c>
      <c r="F36" s="97">
        <f ca="1">TblPop[[#This Row],[Peasants]]+TblPop[[#This Row],[Military]]</f>
        <v>5600</v>
      </c>
      <c r="G36" s="142">
        <f ca="1">TblPop[[#This Row],[Military]]/TblPop[[#This Row],[Total]]</f>
        <v>5.3571428571428574E-4</v>
      </c>
      <c r="H36" s="143">
        <f ca="1">MIN(TblPop[[#This Row],[Peasants]],TblPop[[#This Row],[Jobs]])</f>
        <v>5597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5745</v>
      </c>
      <c r="K36" s="144"/>
      <c r="L36" s="62">
        <f ca="1">TblPop[[#This Row],[Draftees]]</f>
        <v>3</v>
      </c>
      <c r="M36" s="62">
        <f ca="1">TblMili[[#This Row],[Unit 1]]</f>
        <v>0</v>
      </c>
      <c r="N36" s="62">
        <f ca="1">TblMili[[#This Row],[Unit 2]]</f>
        <v>0</v>
      </c>
      <c r="O36" s="62">
        <f ca="1">TblMili[[#This Row],[Unit 3]]</f>
        <v>0</v>
      </c>
      <c r="P36" s="62">
        <f ca="1">TblMili[[#This Row],[Unit 4]]</f>
        <v>0</v>
      </c>
      <c r="Q36" s="62">
        <f ca="1">TblMili[[#This Row],[Spies]]</f>
        <v>0</v>
      </c>
      <c r="R36" s="62">
        <f ca="1">TblMili[[#This Row],[Wizards]]</f>
        <v>0</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6393</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97">
        <f ca="1">MAX(-5%*TblPop[[#This Row],[Peasants]]-TblPop[[#This Row],[Draft Growth]],MIN(OFFSET(TblPop[[#This Row],[Net max]],1,0)-TblPop[[#This Row],[Peasants]]-TblPop[[#This Row],[Military]]-TblPop[[#This Row],[Draft Growth]],TblPop[[#This Row],[Modded Birth]]-TblPop[[#This Row],[Draft Growth]]))</f>
        <v>309</v>
      </c>
      <c r="X36" s="97">
        <f ca="1">ROUND(TblPop[[#This Row],[Raw Birth]]*(1+TblPop[[#This Row],[Growth]]),0)</f>
        <v>365</v>
      </c>
      <c r="Y36" s="97">
        <f ca="1">(TblPop[[#This Row],[Peasants]]-TblPop[[#This Row],[Draft Growth]])*raw_pop_growth</f>
        <v>166.23</v>
      </c>
      <c r="Z36" s="97">
        <f ca="1">IF(TblPop[[#This Row],[Military%]]&lt;TblMili[[#This Row],[Draftrate]],ROUND(TblPop[[#This Row],[Peasants]]*Constants!$B$55,0), 0)</f>
        <v>56</v>
      </c>
      <c r="AA36" s="145"/>
      <c r="AB36" s="146">
        <f ca="1">Overview!$I$16 + IF(Magic!AE36&gt;0,Constants!$F$78) + ROUND(6*(Construction!BM37+Construction!CK36)/IF(Explore!S37&gt;0,Construction!F37-20,Construction!F37),4) + tech_6_5_2*Techs!BJ36 + tech_8_4*Techs!BT36</f>
        <v>1.1928999999999998</v>
      </c>
      <c r="AC36" s="142">
        <f ca="1">(Overview!$I$15 + Imps!Z36+ tech_2_5*Techs!AB36 + tech_3_6*Techs!AM36 + tech_6_1*Techs!BJ36 + tech_6_5*Techs!BF36 + tech_7_3_2*Techs!BN36) * (1 + Production!O36/100*prestige_pop_multiplier) + Production!O36/100*prestige_pop_multiplier</f>
        <v>7.6249999999999998E-2</v>
      </c>
    </row>
    <row r="37" spans="1:29" x14ac:dyDescent="0.2">
      <c r="A37" s="140">
        <f>TblRezone[[#This Row],[Hour]]</f>
        <v>34</v>
      </c>
      <c r="B37" s="141">
        <f ca="1">TblImps[[#This Row],[Time]]</f>
        <v>45431.12499999992</v>
      </c>
      <c r="C37" s="97">
        <f ca="1">OFFSET(TblPop[[#This Row],[Peasants]],-1,0)+OFFSET(TblPop[[#This Row],[Net Peasant]],-1,0)+TblMili[[#This Row],[Release Draft]]</f>
        <v>5906</v>
      </c>
      <c r="D37" s="97">
        <f ca="1">TblMili[[#This Row],[Military]]</f>
        <v>4</v>
      </c>
      <c r="E37" s="97">
        <f ca="1">TblMili[[#This Row],[Draftees]]</f>
        <v>4</v>
      </c>
      <c r="F37" s="97">
        <f ca="1">TblPop[[#This Row],[Peasants]]+TblPop[[#This Row],[Military]]</f>
        <v>5910</v>
      </c>
      <c r="G37" s="142">
        <f ca="1">TblPop[[#This Row],[Military]]/TblPop[[#This Row],[Total]]</f>
        <v>6.7681895093062606E-4</v>
      </c>
      <c r="H37" s="143">
        <f ca="1">MIN(TblPop[[#This Row],[Peasants]],TblPop[[#This Row],[Jobs]])</f>
        <v>5770</v>
      </c>
      <c r="I37" s="142">
        <f ca="1">MIN(OFFSET(TblPop[[#This Row],[Jobs]],1,0)/TblPop[[#This Row],[Peasants]],1)</f>
        <v>0.98120555367422957</v>
      </c>
      <c r="J37" s="143">
        <f ca="1">SUM(TblConstr[[#This Row],[Tot Alc]:[Tot GT]],TblConstr[[#This Row],[Tot Shr]:[Tot Doc]],TblConstr[[#This Row],[Dest Alc]:[Dest GT]],TblConstr[[#This Row],[Dest Shr]:[Dest Doc]])*building_employment + TblConstr[[#This Row],[Tot Fac]]*bonus_jobs_facts</f>
        <v>5770</v>
      </c>
      <c r="K37" s="144"/>
      <c r="L37" s="62">
        <f ca="1">TblPop[[#This Row],[Draftees]]</f>
        <v>4</v>
      </c>
      <c r="M37" s="62">
        <f ca="1">TblMili[[#This Row],[Unit 1]]</f>
        <v>0</v>
      </c>
      <c r="N37" s="62">
        <f ca="1">TblMili[[#This Row],[Unit 2]]</f>
        <v>0</v>
      </c>
      <c r="O37" s="62">
        <f ca="1">TblMili[[#This Row],[Unit 3]]</f>
        <v>0</v>
      </c>
      <c r="P37" s="62">
        <f ca="1">TblMili[[#This Row],[Unit 4]]</f>
        <v>0</v>
      </c>
      <c r="Q37" s="62">
        <f ca="1">TblMili[[#This Row],[Spies]]</f>
        <v>0</v>
      </c>
      <c r="R37" s="62">
        <f ca="1">TblMili[[#This Row],[Wizards]]</f>
        <v>0</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6538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97">
        <f ca="1">MAX(-5%*TblPop[[#This Row],[Peasants]]-TblPop[[#This Row],[Draft Growth]],MIN(OFFSET(TblPop[[#This Row],[Net max]],1,0)-TblPop[[#This Row],[Peasants]]-TblPop[[#This Row],[Military]]-TblPop[[#This Row],[Draft Growth]],TblPop[[#This Row],[Modded Birth]]-TblPop[[#This Row],[Draft Growth]]))</f>
        <v>325</v>
      </c>
      <c r="X37" s="97">
        <f ca="1">ROUND(TblPop[[#This Row],[Raw Birth]]*(1+TblPop[[#This Row],[Growth]]),0)</f>
        <v>384</v>
      </c>
      <c r="Y37" s="97">
        <f ca="1">(TblPop[[#This Row],[Peasants]]-TblPop[[#This Row],[Draft Growth]])*raw_pop_growth</f>
        <v>175.41</v>
      </c>
      <c r="Z37" s="97">
        <f ca="1">IF(TblPop[[#This Row],[Military%]]&lt;TblMili[[#This Row],[Draftrate]],ROUND(TblPop[[#This Row],[Peasants]]*Constants!$B$55,0), 0)</f>
        <v>59</v>
      </c>
      <c r="AA37" s="145"/>
      <c r="AB37" s="146">
        <f ca="1">Overview!$I$16 + IF(Magic!AE37&gt;0,Constants!$F$78) + ROUND(6*(Construction!BM38+Construction!CK37)/IF(Explore!S38&gt;0,Construction!F38-20,Construction!F38),4) + tech_6_5_2*Techs!BJ37 + tech_8_4*Techs!BT37</f>
        <v>1.1895</v>
      </c>
      <c r="AC37" s="142">
        <f ca="1">(Overview!$I$15 + Imps!Z37+ tech_2_5*Techs!AB37 + tech_3_6*Techs!AM37 + tech_6_1*Techs!BJ37 + tech_6_5*Techs!BF37 + tech_7_3_2*Techs!BN37) * (1 + Production!O37/100*prestige_pop_multiplier) + Production!O37/100*prestige_pop_multiplier</f>
        <v>7.6249999999999998E-2</v>
      </c>
    </row>
    <row r="38" spans="1:29" x14ac:dyDescent="0.2">
      <c r="A38" s="140">
        <f>TblRezone[[#This Row],[Hour]]</f>
        <v>35</v>
      </c>
      <c r="B38" s="141">
        <f ca="1">TblImps[[#This Row],[Time]]</f>
        <v>45431.166666666584</v>
      </c>
      <c r="C38" s="97">
        <f ca="1">OFFSET(TblPop[[#This Row],[Peasants]],-1,0)+OFFSET(TblPop[[#This Row],[Net Peasant]],-1,0)+TblMili[[#This Row],[Release Draft]]</f>
        <v>6231</v>
      </c>
      <c r="D38" s="97">
        <f ca="1">TblMili[[#This Row],[Military]]</f>
        <v>3</v>
      </c>
      <c r="E38" s="97">
        <f ca="1">TblMili[[#This Row],[Draftees]]</f>
        <v>3</v>
      </c>
      <c r="F38" s="97">
        <f ca="1">TblPop[[#This Row],[Peasants]]+TblPop[[#This Row],[Military]]</f>
        <v>6234</v>
      </c>
      <c r="G38" s="142">
        <f ca="1">TblPop[[#This Row],[Military]]/TblPop[[#This Row],[Total]]</f>
        <v>4.8123195380173246E-4</v>
      </c>
      <c r="H38" s="143">
        <f ca="1">MIN(TblPop[[#This Row],[Peasants]],TblPop[[#This Row],[Jobs]])</f>
        <v>5795</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5795</v>
      </c>
      <c r="K38" s="144"/>
      <c r="L38" s="62">
        <f ca="1">TblPop[[#This Row],[Draftees]]</f>
        <v>3</v>
      </c>
      <c r="M38" s="62">
        <f ca="1">TblMili[[#This Row],[Unit 1]]</f>
        <v>0</v>
      </c>
      <c r="N38" s="62">
        <f ca="1">TblMili[[#This Row],[Unit 2]]</f>
        <v>0</v>
      </c>
      <c r="O38" s="62">
        <f ca="1">TblMili[[#This Row],[Unit 3]]</f>
        <v>0</v>
      </c>
      <c r="P38" s="62">
        <f ca="1">TblMili[[#This Row],[Unit 4]]</f>
        <v>0</v>
      </c>
      <c r="Q38" s="62">
        <f ca="1">TblMili[[#This Row],[Spies]]</f>
        <v>0</v>
      </c>
      <c r="R38" s="62">
        <f ca="1">TblMili[[#This Row],[Wizards]]</f>
        <v>0</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6581</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97">
        <f ca="1">MAX(-5%*TblPop[[#This Row],[Peasants]]-TblPop[[#This Row],[Draft Growth]],MIN(OFFSET(TblPop[[#This Row],[Net max]],1,0)-TblPop[[#This Row],[Peasants]]-TblPop[[#This Row],[Military]]-TblPop[[#This Row],[Draft Growth]],TblPop[[#This Row],[Modded Birth]]-TblPop[[#This Row],[Draft Growth]]))</f>
        <v>340</v>
      </c>
      <c r="X38" s="97">
        <f ca="1">ROUND(TblPop[[#This Row],[Raw Birth]]*(1+TblPop[[#This Row],[Growth]]),0)</f>
        <v>402</v>
      </c>
      <c r="Y38" s="97">
        <f ca="1">(TblPop[[#This Row],[Peasants]]-TblPop[[#This Row],[Draft Growth]])*raw_pop_growth</f>
        <v>185.07</v>
      </c>
      <c r="Z38" s="97">
        <f ca="1">IF(TblPop[[#This Row],[Military%]]&lt;TblMili[[#This Row],[Draftrate]],ROUND(TblPop[[#This Row],[Peasants]]*Constants!$B$55,0), 0)</f>
        <v>62</v>
      </c>
      <c r="AA38" s="145"/>
      <c r="AB38" s="146">
        <f ca="1">Overview!$I$16 + IF(Magic!AE38&gt;0,Constants!$F$78) + ROUND(6*(Construction!BM39+Construction!CK38)/IF(Explore!S39&gt;0,Construction!F39-20,Construction!F39),4) + tech_6_5_2*Techs!BJ38 + tech_8_4*Techs!BT38</f>
        <v>1.173</v>
      </c>
      <c r="AC38" s="142">
        <f ca="1">(Overview!$I$15 + Imps!Z38+ tech_2_5*Techs!AB38 + tech_3_6*Techs!AM38 + tech_6_1*Techs!BJ38 + tech_6_5*Techs!BF38 + tech_7_3_2*Techs!BN38) * (1 + Production!O38/100*prestige_pop_multiplier) + Production!O38/100*prestige_pop_multiplier</f>
        <v>7.6249999999999998E-2</v>
      </c>
    </row>
    <row r="39" spans="1:29" ht="13.5" customHeight="1" x14ac:dyDescent="0.2">
      <c r="A39" s="140">
        <f>TblRezone[[#This Row],[Hour]]</f>
        <v>36</v>
      </c>
      <c r="B39" s="141">
        <f ca="1">TblImps[[#This Row],[Time]]</f>
        <v>45431.208333333248</v>
      </c>
      <c r="C39" s="97">
        <f ca="1">OFFSET(TblPop[[#This Row],[Peasants]],-1,0)+OFFSET(TblPop[[#This Row],[Net Peasant]],-1,0)+TblMili[[#This Row],[Release Draft]]</f>
        <v>6571</v>
      </c>
      <c r="D39" s="97">
        <f ca="1">TblMili[[#This Row],[Military]]</f>
        <v>0</v>
      </c>
      <c r="E39" s="97">
        <f ca="1">TblMili[[#This Row],[Draftees]]</f>
        <v>0</v>
      </c>
      <c r="F39" s="97">
        <f ca="1">TblPop[[#This Row],[Peasants]]+TblPop[[#This Row],[Military]]</f>
        <v>6571</v>
      </c>
      <c r="G39" s="142">
        <f ca="1">TblPop[[#This Row],[Military]]/TblPop[[#This Row],[Total]]</f>
        <v>0</v>
      </c>
      <c r="H39" s="143">
        <f ca="1">MIN(TblPop[[#This Row],[Peasants]],TblPop[[#This Row],[Jobs]])</f>
        <v>6235</v>
      </c>
      <c r="I39" s="142">
        <f ca="1">MIN(OFFSET(TblPop[[#This Row],[Jobs]],1,0)/TblPop[[#This Row],[Peasants]],1)</f>
        <v>0.94886623040633089</v>
      </c>
      <c r="J39" s="143">
        <f ca="1">SUM(TblConstr[[#This Row],[Tot Alc]:[Tot GT]],TblConstr[[#This Row],[Tot Shr]:[Tot Doc]],TblConstr[[#This Row],[Dest Alc]:[Dest GT]],TblConstr[[#This Row],[Dest Shr]:[Dest Doc]])*building_employment + TblConstr[[#This Row],[Tot Fac]]*bonus_jobs_facts</f>
        <v>6235</v>
      </c>
      <c r="K39" s="144"/>
      <c r="L39" s="62">
        <f ca="1">TblPop[[#This Row],[Draftees]]</f>
        <v>0</v>
      </c>
      <c r="M39" s="62">
        <f ca="1">TblMili[[#This Row],[Unit 1]]</f>
        <v>0</v>
      </c>
      <c r="N39" s="62">
        <f ca="1">TblMili[[#This Row],[Unit 2]]</f>
        <v>0</v>
      </c>
      <c r="O39" s="62">
        <f ca="1">TblMili[[#This Row],[Unit 3]]</f>
        <v>0</v>
      </c>
      <c r="P39" s="62">
        <f ca="1">TblMili[[#This Row],[Unit 4]]</f>
        <v>0</v>
      </c>
      <c r="Q39" s="62">
        <f ca="1">TblMili[[#This Row],[Spies]]</f>
        <v>0</v>
      </c>
      <c r="R39" s="62">
        <f ca="1">TblMili[[#This Row],[Wizards]]</f>
        <v>0</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6657</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97">
        <f ca="1">MAX(-5%*TblPop[[#This Row],[Peasants]]-TblPop[[#This Row],[Draft Growth]],MIN(OFFSET(TblPop[[#This Row],[Net max]],1,0)-TblPop[[#This Row],[Peasants]]-TblPop[[#This Row],[Military]]-TblPop[[#This Row],[Draft Growth]],TblPop[[#This Row],[Modded Birth]]-TblPop[[#This Row],[Draft Growth]]))</f>
        <v>127</v>
      </c>
      <c r="X39" s="97">
        <f ca="1">ROUND(TblPop[[#This Row],[Raw Birth]]*(1+TblPop[[#This Row],[Growth]]),0)</f>
        <v>424</v>
      </c>
      <c r="Y39" s="97">
        <f ca="1">(TblPop[[#This Row],[Peasants]]-TblPop[[#This Row],[Draft Growth]])*raw_pop_growth</f>
        <v>195.15</v>
      </c>
      <c r="Z39" s="97">
        <f ca="1">IF(TblPop[[#This Row],[Military%]]&lt;TblMili[[#This Row],[Draftrate]],ROUND(TblPop[[#This Row],[Peasants]]*Constants!$B$55,0), 0)</f>
        <v>66</v>
      </c>
      <c r="AA39" s="145"/>
      <c r="AB39" s="146">
        <f ca="1">Overview!$I$16 + IF(Magic!AE39&gt;0,Constants!$F$78) + ROUND(6*(Construction!BM40+Construction!CK39)/IF(Explore!S40&gt;0,Construction!F40-20,Construction!F40),4) + tech_6_5_2*Techs!BJ39 + tech_8_4*Techs!BT39</f>
        <v>1.173</v>
      </c>
      <c r="AC39" s="142">
        <f ca="1">(Overview!$I$15 + Imps!Z39+ tech_2_5*Techs!AB39 + tech_3_6*Techs!AM39 + tech_6_1*Techs!BJ39 + tech_6_5*Techs!BF39 + tech_7_3_2*Techs!BN39) * (1 + Production!O39/100*prestige_pop_multiplier) + Production!O39/100*prestige_pop_multiplier</f>
        <v>7.6249999999999998E-2</v>
      </c>
    </row>
    <row r="40" spans="1:29" x14ac:dyDescent="0.2">
      <c r="A40" s="140">
        <f>TblRezone[[#This Row],[Hour]]</f>
        <v>37</v>
      </c>
      <c r="B40" s="141">
        <f ca="1">TblImps[[#This Row],[Time]]</f>
        <v>45431.249999999913</v>
      </c>
      <c r="C40" s="97">
        <f ca="1">OFFSET(TblPop[[#This Row],[Peasants]],-1,0)+OFFSET(TblPop[[#This Row],[Net Peasant]],-1,0)+TblMili[[#This Row],[Release Draft]]</f>
        <v>6698</v>
      </c>
      <c r="D40" s="97">
        <f ca="1">TblMili[[#This Row],[Military]]</f>
        <v>1</v>
      </c>
      <c r="E40" s="97">
        <f ca="1">TblMili[[#This Row],[Draftees]]</f>
        <v>1</v>
      </c>
      <c r="F40" s="97">
        <f ca="1">TblPop[[#This Row],[Peasants]]+TblPop[[#This Row],[Military]]</f>
        <v>6699</v>
      </c>
      <c r="G40" s="142">
        <f ca="1">TblPop[[#This Row],[Military]]/TblPop[[#This Row],[Total]]</f>
        <v>1.4927601134497685E-4</v>
      </c>
      <c r="H40" s="143">
        <f ca="1">MIN(TblPop[[#This Row],[Peasants]],TblPop[[#This Row],[Jobs]])</f>
        <v>6235</v>
      </c>
      <c r="I40" s="142">
        <f ca="1">MIN(OFFSET(TblPop[[#This Row],[Jobs]],1,0)/TblPop[[#This Row],[Peasants]],1)</f>
        <v>0.93087488802627649</v>
      </c>
      <c r="J40" s="143">
        <f ca="1">SUM(TblConstr[[#This Row],[Tot Alc]:[Tot GT]],TblConstr[[#This Row],[Tot Shr]:[Tot Doc]],TblConstr[[#This Row],[Dest Alc]:[Dest GT]],TblConstr[[#This Row],[Dest Shr]:[Dest Doc]])*building_employment + TblConstr[[#This Row],[Tot Fac]]*bonus_jobs_facts</f>
        <v>6235</v>
      </c>
      <c r="K40" s="144"/>
      <c r="L40" s="62">
        <f ca="1">TblPop[[#This Row],[Draftees]]</f>
        <v>1</v>
      </c>
      <c r="M40" s="62">
        <f ca="1">TblMili[[#This Row],[Unit 1]]</f>
        <v>0</v>
      </c>
      <c r="N40" s="62">
        <f ca="1">TblMili[[#This Row],[Unit 2]]</f>
        <v>0</v>
      </c>
      <c r="O40" s="62">
        <f ca="1">TblMili[[#This Row],[Unit 3]]</f>
        <v>0</v>
      </c>
      <c r="P40" s="62">
        <f ca="1">TblMili[[#This Row],[Unit 4]]</f>
        <v>0</v>
      </c>
      <c r="Q40" s="62">
        <f ca="1">TblMili[[#This Row],[Spies]]</f>
        <v>0</v>
      </c>
      <c r="R40" s="62">
        <f ca="1">TblMili[[#This Row],[Wizards]]</f>
        <v>0</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6764</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97">
        <f ca="1">MAX(-5%*TblPop[[#This Row],[Peasants]]-TblPop[[#This Row],[Draft Growth]],MIN(OFFSET(TblPop[[#This Row],[Net max]],1,0)-TblPop[[#This Row],[Peasants]]-TblPop[[#This Row],[Military]]-TblPop[[#This Row],[Draft Growth]],TblPop[[#This Row],[Modded Birth]]-TblPop[[#This Row],[Draft Growth]]))</f>
        <v>-2</v>
      </c>
      <c r="X40" s="97">
        <f ca="1">ROUND(TblPop[[#This Row],[Raw Birth]]*(1+TblPop[[#This Row],[Growth]]),0)</f>
        <v>432</v>
      </c>
      <c r="Y40" s="97">
        <f ca="1">(TblPop[[#This Row],[Peasants]]-TblPop[[#This Row],[Draft Growth]])*raw_pop_growth</f>
        <v>198.93</v>
      </c>
      <c r="Z40" s="97">
        <f ca="1">IF(TblPop[[#This Row],[Military%]]&lt;TblMili[[#This Row],[Draftrate]],ROUND(TblPop[[#This Row],[Peasants]]*Constants!$B$55,0), 0)</f>
        <v>67</v>
      </c>
      <c r="AA40" s="145"/>
      <c r="AB40" s="146">
        <f ca="1">Overview!$I$16 + IF(Magic!AE40&gt;0,Constants!$F$78) + ROUND(6*(Construction!BM41+Construction!CK40)/IF(Explore!S41&gt;0,Construction!F41-20,Construction!F41),4) + tech_6_5_2*Techs!BJ40 + tech_8_4*Techs!BT40</f>
        <v>1.173</v>
      </c>
      <c r="AC40" s="142">
        <f ca="1">(Overview!$I$15 + Imps!Z40+ tech_2_5*Techs!AB40 + tech_3_6*Techs!AM40 + tech_6_1*Techs!BJ40 + tech_6_5*Techs!BF40 + tech_7_3_2*Techs!BN40) * (1 + Production!O40/100*prestige_pop_multiplier) + Production!O40/100*prestige_pop_multiplier</f>
        <v>7.6249999999999998E-2</v>
      </c>
    </row>
    <row r="41" spans="1:29" x14ac:dyDescent="0.2">
      <c r="A41" s="140">
        <f>TblRezone[[#This Row],[Hour]]</f>
        <v>38</v>
      </c>
      <c r="B41" s="141">
        <f ca="1">TblImps[[#This Row],[Time]]</f>
        <v>45431.291666666577</v>
      </c>
      <c r="C41" s="97">
        <f ca="1">OFFSET(TblPop[[#This Row],[Peasants]],-1,0)+OFFSET(TblPop[[#This Row],[Net Peasant]],-1,0)+TblMili[[#This Row],[Release Draft]]</f>
        <v>6696</v>
      </c>
      <c r="D41" s="97">
        <f ca="1">TblMili[[#This Row],[Military]]</f>
        <v>3</v>
      </c>
      <c r="E41" s="97">
        <f ca="1">TblMili[[#This Row],[Draftees]]</f>
        <v>3</v>
      </c>
      <c r="F41" s="97">
        <f ca="1">TblPop[[#This Row],[Peasants]]+TblPop[[#This Row],[Military]]</f>
        <v>6699</v>
      </c>
      <c r="G41" s="142">
        <f ca="1">TblPop[[#This Row],[Military]]/TblPop[[#This Row],[Total]]</f>
        <v>4.4782803403493058E-4</v>
      </c>
      <c r="H41" s="143">
        <f ca="1">MIN(TblPop[[#This Row],[Peasants]],TblPop[[#This Row],[Jobs]])</f>
        <v>6235</v>
      </c>
      <c r="I41" s="142">
        <f ca="1">MIN(OFFSET(TblPop[[#This Row],[Jobs]],1,0)/TblPop[[#This Row],[Peasants]],1)</f>
        <v>0.9311529271206691</v>
      </c>
      <c r="J41" s="143">
        <f ca="1">SUM(TblConstr[[#This Row],[Tot Alc]:[Tot GT]],TblConstr[[#This Row],[Tot Shr]:[Tot Doc]],TblConstr[[#This Row],[Dest Alc]:[Dest GT]],TblConstr[[#This Row],[Dest Shr]:[Dest Doc]])*building_employment + TblConstr[[#This Row],[Tot Fac]]*bonus_jobs_facts</f>
        <v>6235</v>
      </c>
      <c r="K41" s="144"/>
      <c r="L41" s="62">
        <f ca="1">TblPop[[#This Row],[Draftees]]</f>
        <v>3</v>
      </c>
      <c r="M41" s="62">
        <f ca="1">TblMili[[#This Row],[Unit 1]]</f>
        <v>0</v>
      </c>
      <c r="N41" s="62">
        <f ca="1">TblMili[[#This Row],[Unit 2]]</f>
        <v>0</v>
      </c>
      <c r="O41" s="62">
        <f ca="1">TblMili[[#This Row],[Unit 3]]</f>
        <v>0</v>
      </c>
      <c r="P41" s="62">
        <f ca="1">TblMili[[#This Row],[Unit 4]]</f>
        <v>0</v>
      </c>
      <c r="Q41" s="62">
        <f ca="1">TblMili[[#This Row],[Spies]]</f>
        <v>0</v>
      </c>
      <c r="R41" s="62">
        <f ca="1">TblMili[[#This Row],[Wizards]]</f>
        <v>0</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6764</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97">
        <f ca="1">MAX(-5%*TblPop[[#This Row],[Peasants]]-TblPop[[#This Row],[Draft Growth]],MIN(OFFSET(TblPop[[#This Row],[Net max]],1,0)-TblPop[[#This Row],[Peasants]]-TblPop[[#This Row],[Military]]-TblPop[[#This Row],[Draft Growth]],TblPop[[#This Row],[Modded Birth]]-TblPop[[#This Row],[Draft Growth]]))</f>
        <v>-2</v>
      </c>
      <c r="X41" s="97">
        <f ca="1">ROUND(TblPop[[#This Row],[Raw Birth]]*(1+TblPop[[#This Row],[Growth]]),0)</f>
        <v>432</v>
      </c>
      <c r="Y41" s="97">
        <f ca="1">(TblPop[[#This Row],[Peasants]]-TblPop[[#This Row],[Draft Growth]])*raw_pop_growth</f>
        <v>198.87</v>
      </c>
      <c r="Z41" s="97">
        <f ca="1">IF(TblPop[[#This Row],[Military%]]&lt;TblMili[[#This Row],[Draftrate]],ROUND(TblPop[[#This Row],[Peasants]]*Constants!$B$55,0), 0)</f>
        <v>67</v>
      </c>
      <c r="AA41" s="145"/>
      <c r="AB41" s="146">
        <f ca="1">Overview!$I$16 + IF(Magic!AE41&gt;0,Constants!$F$78) + ROUND(6*(Construction!BM42+Construction!CK41)/IF(Explore!S42&gt;0,Construction!F42-20,Construction!F42),4) + tech_6_5_2*Techs!BJ41 + tech_8_4*Techs!BT41</f>
        <v>1.173</v>
      </c>
      <c r="AC41" s="142">
        <f ca="1">(Overview!$I$15 + Imps!Z41+ tech_2_5*Techs!AB41 + tech_3_6*Techs!AM41 + tech_6_1*Techs!BJ41 + tech_6_5*Techs!BF41 + tech_7_3_2*Techs!BN41) * (1 + Production!O41/100*prestige_pop_multiplier) + Production!O41/100*prestige_pop_multiplier</f>
        <v>7.6249999999999998E-2</v>
      </c>
    </row>
    <row r="42" spans="1:29" x14ac:dyDescent="0.2">
      <c r="A42" s="140">
        <f>TblRezone[[#This Row],[Hour]]</f>
        <v>39</v>
      </c>
      <c r="B42" s="141">
        <f ca="1">TblImps[[#This Row],[Time]]</f>
        <v>45431.333333333241</v>
      </c>
      <c r="C42" s="97">
        <f ca="1">OFFSET(TblPop[[#This Row],[Peasants]],-1,0)+OFFSET(TblPop[[#This Row],[Net Peasant]],-1,0)+TblMili[[#This Row],[Release Draft]]</f>
        <v>6694</v>
      </c>
      <c r="D42" s="97">
        <f ca="1">TblMili[[#This Row],[Military]]</f>
        <v>0</v>
      </c>
      <c r="E42" s="97">
        <f ca="1">TblMili[[#This Row],[Draftees]]</f>
        <v>0</v>
      </c>
      <c r="F42" s="97">
        <f ca="1">TblPop[[#This Row],[Peasants]]+TblPop[[#This Row],[Military]]</f>
        <v>6694</v>
      </c>
      <c r="G42" s="142">
        <f ca="1">TblPop[[#This Row],[Military]]/TblPop[[#This Row],[Total]]</f>
        <v>0</v>
      </c>
      <c r="H42" s="143">
        <f ca="1">MIN(TblPop[[#This Row],[Peasants]],TblPop[[#This Row],[Jobs]])</f>
        <v>6235</v>
      </c>
      <c r="I42" s="142">
        <f ca="1">MIN(OFFSET(TblPop[[#This Row],[Jobs]],1,0)/TblPop[[#This Row],[Peasants]],1)</f>
        <v>0.93143113235733488</v>
      </c>
      <c r="J42" s="143">
        <f ca="1">SUM(TblConstr[[#This Row],[Tot Alc]:[Tot GT]],TblConstr[[#This Row],[Tot Shr]:[Tot Doc]],TblConstr[[#This Row],[Dest Alc]:[Dest GT]],TblConstr[[#This Row],[Dest Shr]:[Dest Doc]])*building_employment + TblConstr[[#This Row],[Tot Fac]]*bonus_jobs_facts</f>
        <v>6235</v>
      </c>
      <c r="K42" s="144"/>
      <c r="L42" s="62">
        <f ca="1">TblPop[[#This Row],[Draftees]]</f>
        <v>0</v>
      </c>
      <c r="M42" s="62">
        <f ca="1">TblMili[[#This Row],[Unit 1]]</f>
        <v>0</v>
      </c>
      <c r="N42" s="62">
        <f ca="1">TblMili[[#This Row],[Unit 2]]</f>
        <v>0</v>
      </c>
      <c r="O42" s="62">
        <f ca="1">TblMili[[#This Row],[Unit 3]]</f>
        <v>0</v>
      </c>
      <c r="P42" s="62">
        <f ca="1">TblMili[[#This Row],[Unit 4]]</f>
        <v>0</v>
      </c>
      <c r="Q42" s="62">
        <f ca="1">TblMili[[#This Row],[Spies]]</f>
        <v>0</v>
      </c>
      <c r="R42" s="62">
        <f ca="1">TblMili[[#This Row],[Wizards]]</f>
        <v>0</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6764</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97">
        <f ca="1">MAX(-5%*TblPop[[#This Row],[Peasants]]-TblPop[[#This Row],[Draft Growth]],MIN(OFFSET(TblPop[[#This Row],[Net max]],1,0)-TblPop[[#This Row],[Peasants]]-TblPop[[#This Row],[Military]]-TblPop[[#This Row],[Draft Growth]],TblPop[[#This Row],[Modded Birth]]-TblPop[[#This Row],[Draft Growth]]))</f>
        <v>3</v>
      </c>
      <c r="X42" s="97">
        <f ca="1">ROUND(TblPop[[#This Row],[Raw Birth]]*(1+TblPop[[#This Row],[Growth]]),0)</f>
        <v>432</v>
      </c>
      <c r="Y42" s="97">
        <f ca="1">(TblPop[[#This Row],[Peasants]]-TblPop[[#This Row],[Draft Growth]])*raw_pop_growth</f>
        <v>198.81</v>
      </c>
      <c r="Z42" s="97">
        <f ca="1">IF(TblPop[[#This Row],[Military%]]&lt;TblMili[[#This Row],[Draftrate]],ROUND(TblPop[[#This Row],[Peasants]]*Constants!$B$55,0), 0)</f>
        <v>67</v>
      </c>
      <c r="AA42" s="145"/>
      <c r="AB42" s="146">
        <f ca="1">Overview!$I$16 + IF(Magic!AE42&gt;0,Constants!$F$78) + ROUND(6*(Construction!BM43+Construction!CK42)/IF(Explore!S43&gt;0,Construction!F43-20,Construction!F43),4) + tech_6_5_2*Techs!BJ42 + tech_8_4*Techs!BT42</f>
        <v>1.173</v>
      </c>
      <c r="AC42" s="142">
        <f ca="1">(Overview!$I$15 + Imps!Z42+ tech_2_5*Techs!AB42 + tech_3_6*Techs!AM42 + tech_6_1*Techs!BJ42 + tech_6_5*Techs!BF42 + tech_7_3_2*Techs!BN42) * (1 + Production!O42/100*prestige_pop_multiplier) + Production!O42/100*prestige_pop_multiplier</f>
        <v>7.6249999999999998E-2</v>
      </c>
    </row>
    <row r="43" spans="1:29" x14ac:dyDescent="0.2">
      <c r="A43" s="140">
        <f>TblRezone[[#This Row],[Hour]]</f>
        <v>40</v>
      </c>
      <c r="B43" s="141">
        <f ca="1">TblImps[[#This Row],[Time]]</f>
        <v>45431.374999999905</v>
      </c>
      <c r="C43" s="97">
        <f ca="1">OFFSET(TblPop[[#This Row],[Peasants]],-1,0)+OFFSET(TblPop[[#This Row],[Net Peasant]],-1,0)+TblMili[[#This Row],[Release Draft]]</f>
        <v>6697</v>
      </c>
      <c r="D43" s="97">
        <f ca="1">TblMili[[#This Row],[Military]]</f>
        <v>2</v>
      </c>
      <c r="E43" s="97">
        <f ca="1">TblMili[[#This Row],[Draftees]]</f>
        <v>2</v>
      </c>
      <c r="F43" s="97">
        <f ca="1">TblPop[[#This Row],[Peasants]]+TblPop[[#This Row],[Military]]</f>
        <v>6699</v>
      </c>
      <c r="G43" s="142">
        <f ca="1">TblPop[[#This Row],[Military]]/TblPop[[#This Row],[Total]]</f>
        <v>2.985520226899537E-4</v>
      </c>
      <c r="H43" s="143">
        <f ca="1">MIN(TblPop[[#This Row],[Peasants]],TblPop[[#This Row],[Jobs]])</f>
        <v>6235</v>
      </c>
      <c r="I43" s="142">
        <f ca="1">MIN(OFFSET(TblPop[[#This Row],[Jobs]],1,0)/TblPop[[#This Row],[Peasants]],1)</f>
        <v>0.93101388681499175</v>
      </c>
      <c r="J43" s="143">
        <f ca="1">SUM(TblConstr[[#This Row],[Tot Alc]:[Tot GT]],TblConstr[[#This Row],[Tot Shr]:[Tot Doc]],TblConstr[[#This Row],[Dest Alc]:[Dest GT]],TblConstr[[#This Row],[Dest Shr]:[Dest Doc]])*building_employment + TblConstr[[#This Row],[Tot Fac]]*bonus_jobs_facts</f>
        <v>6235</v>
      </c>
      <c r="K43" s="144"/>
      <c r="L43" s="62">
        <f ca="1">TblPop[[#This Row],[Draftees]]</f>
        <v>2</v>
      </c>
      <c r="M43" s="62">
        <f ca="1">TblMili[[#This Row],[Unit 1]]</f>
        <v>0</v>
      </c>
      <c r="N43" s="62">
        <f ca="1">TblMili[[#This Row],[Unit 2]]</f>
        <v>0</v>
      </c>
      <c r="O43" s="62">
        <f ca="1">TblMili[[#This Row],[Unit 3]]</f>
        <v>0</v>
      </c>
      <c r="P43" s="62">
        <f ca="1">TblMili[[#This Row],[Unit 4]]</f>
        <v>0</v>
      </c>
      <c r="Q43" s="62">
        <f ca="1">TblMili[[#This Row],[Spies]]</f>
        <v>0</v>
      </c>
      <c r="R43" s="62">
        <f ca="1">TblMili[[#This Row],[Wizards]]</f>
        <v>0</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6764</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97">
        <f ca="1">MAX(-5%*TblPop[[#This Row],[Peasants]]-TblPop[[#This Row],[Draft Growth]],MIN(OFFSET(TblPop[[#This Row],[Net max]],1,0)-TblPop[[#This Row],[Peasants]]-TblPop[[#This Row],[Military]]-TblPop[[#This Row],[Draft Growth]],TblPop[[#This Row],[Modded Birth]]-TblPop[[#This Row],[Draft Growth]]))</f>
        <v>343</v>
      </c>
      <c r="X43" s="97">
        <f ca="1">ROUND(TblPop[[#This Row],[Raw Birth]]*(1+TblPop[[#This Row],[Growth]]),0)</f>
        <v>410</v>
      </c>
      <c r="Y43" s="97">
        <f ca="1">(TblPop[[#This Row],[Peasants]]-TblPop[[#This Row],[Draft Growth]])*raw_pop_growth</f>
        <v>198.9</v>
      </c>
      <c r="Z43" s="97">
        <f ca="1">IF(TblPop[[#This Row],[Military%]]&lt;TblMili[[#This Row],[Draftrate]],ROUND(TblPop[[#This Row],[Peasants]]*Constants!$B$55,0), 0)</f>
        <v>67</v>
      </c>
      <c r="AA43" s="145"/>
      <c r="AB43" s="146">
        <f ca="1">Overview!$I$16 + IF(Magic!AE43&gt;0,Constants!$F$78) + ROUND(6*(Construction!BM44+Construction!CK43)/IF(Explore!S44&gt;0,Construction!F44-20,Construction!F44),4) + tech_6_5_2*Techs!BJ43 + tech_8_4*Techs!BT43</f>
        <v>1.0629</v>
      </c>
      <c r="AC43" s="142">
        <f ca="1">(Overview!$I$15 + Imps!Z43+ tech_2_5*Techs!AB43 + tech_3_6*Techs!AM43 + tech_6_1*Techs!BJ43 + tech_6_5*Techs!BF43 + tech_7_3_2*Techs!BN43) * (1 + Production!O43/100*prestige_pop_multiplier) + Production!O43/100*prestige_pop_multiplier</f>
        <v>7.6249999999999998E-2</v>
      </c>
    </row>
    <row r="44" spans="1:29" x14ac:dyDescent="0.2">
      <c r="A44" s="140">
        <f>TblRezone[[#This Row],[Hour]]</f>
        <v>41</v>
      </c>
      <c r="B44" s="141">
        <f ca="1">TblImps[[#This Row],[Time]]</f>
        <v>45431.41666666657</v>
      </c>
      <c r="C44" s="97">
        <f ca="1">OFFSET(TblPop[[#This Row],[Peasants]],-1,0)+OFFSET(TblPop[[#This Row],[Net Peasant]],-1,0)+TblMili[[#This Row],[Release Draft]]</f>
        <v>7040</v>
      </c>
      <c r="D44" s="97">
        <f ca="1">TblMili[[#This Row],[Military]]</f>
        <v>3</v>
      </c>
      <c r="E44" s="97">
        <f ca="1">TblMili[[#This Row],[Draftees]]</f>
        <v>3</v>
      </c>
      <c r="F44" s="97">
        <f ca="1">TblPop[[#This Row],[Peasants]]+TblPop[[#This Row],[Military]]</f>
        <v>7043</v>
      </c>
      <c r="G44" s="142">
        <f ca="1">TblPop[[#This Row],[Military]]/TblPop[[#This Row],[Total]]</f>
        <v>4.2595484878602869E-4</v>
      </c>
      <c r="H44" s="143">
        <f ca="1">MIN(TblPop[[#This Row],[Peasants]],TblPop[[#This Row],[Jobs]])</f>
        <v>6235</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6235</v>
      </c>
      <c r="K44" s="144"/>
      <c r="L44" s="62">
        <f ca="1">TblPop[[#This Row],[Draftees]]</f>
        <v>3</v>
      </c>
      <c r="M44" s="62">
        <f ca="1">TblMili[[#This Row],[Unit 1]]</f>
        <v>0</v>
      </c>
      <c r="N44" s="62">
        <f ca="1">TblMili[[#This Row],[Unit 2]]</f>
        <v>0</v>
      </c>
      <c r="O44" s="62">
        <f ca="1">TblMili[[#This Row],[Unit 3]]</f>
        <v>0</v>
      </c>
      <c r="P44" s="62">
        <f ca="1">TblMili[[#This Row],[Unit 4]]</f>
        <v>0</v>
      </c>
      <c r="Q44" s="62">
        <f ca="1">TblMili[[#This Row],[Spies]]</f>
        <v>0</v>
      </c>
      <c r="R44" s="62">
        <f ca="1">TblMili[[#This Row],[Wizards]]</f>
        <v>0</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7205</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6695</v>
      </c>
      <c r="W44" s="97">
        <f ca="1">MAX(-5%*TblPop[[#This Row],[Peasants]]-TblPop[[#This Row],[Draft Growth]],MIN(OFFSET(TblPop[[#This Row],[Net max]],1,0)-TblPop[[#This Row],[Peasants]]-TblPop[[#This Row],[Military]]-TblPop[[#This Row],[Draft Growth]],TblPop[[#This Row],[Modded Birth]]-TblPop[[#This Row],[Draft Growth]]))</f>
        <v>359</v>
      </c>
      <c r="X44" s="97">
        <f ca="1">ROUND(TblPop[[#This Row],[Raw Birth]]*(1+TblPop[[#This Row],[Growth]]),0)</f>
        <v>429</v>
      </c>
      <c r="Y44" s="97">
        <f ca="1">(TblPop[[#This Row],[Peasants]]-TblPop[[#This Row],[Draft Growth]])*raw_pop_growth</f>
        <v>209.1</v>
      </c>
      <c r="Z44" s="97">
        <f ca="1">IF(TblPop[[#This Row],[Military%]]&lt;TblMili[[#This Row],[Draftrate]],ROUND(TblPop[[#This Row],[Peasants]]*Constants!$B$55,0), 0)</f>
        <v>70</v>
      </c>
      <c r="AA44" s="145"/>
      <c r="AB44" s="146">
        <f ca="1">Overview!$I$16 + IF(Magic!AE44&gt;0,Constants!$F$78) + ROUND(6*(Construction!BM45+Construction!CK44)/IF(Explore!S45&gt;0,Construction!F45-20,Construction!F45),4) + tech_6_5_2*Techs!BJ44 + tech_8_4*Techs!BT44</f>
        <v>1.0528999999999999</v>
      </c>
      <c r="AC44" s="142">
        <f ca="1">(Overview!$I$15 + Imps!Z44+ tech_2_5*Techs!AB44 + tech_3_6*Techs!AM44 + tech_6_1*Techs!BJ44 + tech_6_5*Techs!BF44 + tech_7_3_2*Techs!BN44) * (1 + Production!O44/100*prestige_pop_multiplier) + Production!O44/100*prestige_pop_multiplier</f>
        <v>7.6249999999999998E-2</v>
      </c>
    </row>
    <row r="45" spans="1:29" x14ac:dyDescent="0.2">
      <c r="A45" s="140">
        <f>TblRezone[[#This Row],[Hour]]</f>
        <v>42</v>
      </c>
      <c r="B45" s="141">
        <f ca="1">TblImps[[#This Row],[Time]]</f>
        <v>45431.458333333234</v>
      </c>
      <c r="C45" s="97">
        <f ca="1">OFFSET(TblPop[[#This Row],[Peasants]],-1,0)+OFFSET(TblPop[[#This Row],[Net Peasant]],-1,0)+TblMili[[#This Row],[Release Draft]]</f>
        <v>7399</v>
      </c>
      <c r="D45" s="97">
        <f ca="1">TblMili[[#This Row],[Military]]</f>
        <v>1</v>
      </c>
      <c r="E45" s="97">
        <f ca="1">TblMili[[#This Row],[Draftees]]</f>
        <v>1</v>
      </c>
      <c r="F45" s="97">
        <f ca="1">TblPop[[#This Row],[Peasants]]+TblPop[[#This Row],[Military]]</f>
        <v>7400</v>
      </c>
      <c r="G45" s="142">
        <f ca="1">TblPop[[#This Row],[Military]]/TblPop[[#This Row],[Total]]</f>
        <v>1.3513513513513514E-4</v>
      </c>
      <c r="H45" s="143">
        <f ca="1">MIN(TblPop[[#This Row],[Peasants]],TblPop[[#This Row],[Jobs]])</f>
        <v>7399</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7640</v>
      </c>
      <c r="K45" s="144"/>
      <c r="L45" s="62">
        <f ca="1">TblPop[[#This Row],[Draftees]]</f>
        <v>1</v>
      </c>
      <c r="M45" s="62">
        <f ca="1">TblMili[[#This Row],[Unit 1]]</f>
        <v>0</v>
      </c>
      <c r="N45" s="62">
        <f ca="1">TblMili[[#This Row],[Unit 2]]</f>
        <v>0</v>
      </c>
      <c r="O45" s="62">
        <f ca="1">TblMili[[#This Row],[Unit 3]]</f>
        <v>0</v>
      </c>
      <c r="P45" s="62">
        <f ca="1">TblMili[[#This Row],[Unit 4]]</f>
        <v>0</v>
      </c>
      <c r="Q45" s="62">
        <f ca="1">TblMili[[#This Row],[Spies]]</f>
        <v>0</v>
      </c>
      <c r="R45" s="62">
        <f ca="1">TblMili[[#This Row],[Wizards]]</f>
        <v>0</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8136</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7560</v>
      </c>
      <c r="W45" s="97">
        <f ca="1">MAX(-5%*TblPop[[#This Row],[Peasants]]-TblPop[[#This Row],[Draft Growth]],MIN(OFFSET(TblPop[[#This Row],[Net max]],1,0)-TblPop[[#This Row],[Peasants]]-TblPop[[#This Row],[Military]]-TblPop[[#This Row],[Draft Growth]],TblPop[[#This Row],[Modded Birth]]-TblPop[[#This Row],[Draft Growth]]))</f>
        <v>375</v>
      </c>
      <c r="X45" s="97">
        <f ca="1">ROUND(TblPop[[#This Row],[Raw Birth]]*(1+TblPop[[#This Row],[Growth]]),0)</f>
        <v>449</v>
      </c>
      <c r="Y45" s="97">
        <f ca="1">(TblPop[[#This Row],[Peasants]]-TblPop[[#This Row],[Draft Growth]])*raw_pop_growth</f>
        <v>219.75</v>
      </c>
      <c r="Z45" s="97">
        <f ca="1">IF(TblPop[[#This Row],[Military%]]&lt;TblMili[[#This Row],[Draftrate]],ROUND(TblPop[[#This Row],[Peasants]]*Constants!$B$55,0), 0)</f>
        <v>74</v>
      </c>
      <c r="AA45" s="145"/>
      <c r="AB45" s="146">
        <f ca="1">Overview!$I$16 + IF(Magic!AE45&gt;0,Constants!$F$78) + ROUND(6*(Construction!BM46+Construction!CK45)/IF(Explore!S46&gt;0,Construction!F46-20,Construction!F46),4) + tech_6_5_2*Techs!BJ45 + tech_8_4*Techs!BT45</f>
        <v>1.0423</v>
      </c>
      <c r="AC45" s="142">
        <f ca="1">(Overview!$I$15 + Imps!Z45+ tech_2_5*Techs!AB45 + tech_3_6*Techs!AM45 + tech_6_1*Techs!BJ45 + tech_6_5*Techs!BF45 + tech_7_3_2*Techs!BN45) * (1 + Production!O45/100*prestige_pop_multiplier) + Production!O45/100*prestige_pop_multiplier</f>
        <v>7.6249999999999998E-2</v>
      </c>
    </row>
    <row r="46" spans="1:29" x14ac:dyDescent="0.2">
      <c r="A46" s="140">
        <f>TblRezone[[#This Row],[Hour]]</f>
        <v>43</v>
      </c>
      <c r="B46" s="141">
        <f ca="1">TblImps[[#This Row],[Time]]</f>
        <v>45431.499999999898</v>
      </c>
      <c r="C46" s="97">
        <f ca="1">OFFSET(TblPop[[#This Row],[Peasants]],-1,0)+OFFSET(TblPop[[#This Row],[Net Peasant]],-1,0)+TblMili[[#This Row],[Release Draft]]</f>
        <v>7774</v>
      </c>
      <c r="D46" s="97">
        <f ca="1">TblMili[[#This Row],[Military]]</f>
        <v>27</v>
      </c>
      <c r="E46" s="97">
        <f ca="1">TblMili[[#This Row],[Draftees]]</f>
        <v>27</v>
      </c>
      <c r="F46" s="97">
        <f ca="1">TblPop[[#This Row],[Peasants]]+TblPop[[#This Row],[Military]]</f>
        <v>7801</v>
      </c>
      <c r="G46" s="142">
        <f ca="1">TblPop[[#This Row],[Military]]/TblPop[[#This Row],[Total]]</f>
        <v>3.4610947314446866E-3</v>
      </c>
      <c r="H46" s="143">
        <f ca="1">MIN(TblPop[[#This Row],[Peasants]],TblPop[[#This Row],[Jobs]])</f>
        <v>7774</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7865</v>
      </c>
      <c r="K46" s="144"/>
      <c r="L46" s="62">
        <f ca="1">TblPop[[#This Row],[Draftees]]</f>
        <v>27</v>
      </c>
      <c r="M46" s="62">
        <f ca="1">TblMili[[#This Row],[Unit 1]]</f>
        <v>0</v>
      </c>
      <c r="N46" s="62">
        <f ca="1">TblMili[[#This Row],[Unit 2]]</f>
        <v>0</v>
      </c>
      <c r="O46" s="62">
        <f ca="1">TblMili[[#This Row],[Unit 3]]</f>
        <v>0</v>
      </c>
      <c r="P46" s="62">
        <f ca="1">TblMili[[#This Row],[Unit 4]]</f>
        <v>0</v>
      </c>
      <c r="Q46" s="62">
        <f ca="1">TblMili[[#This Row],[Spies]]</f>
        <v>0</v>
      </c>
      <c r="R46" s="62">
        <f ca="1">TblMili[[#This Row],[Wizards]]</f>
        <v>0</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8287</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7700</v>
      </c>
      <c r="W46" s="97">
        <f ca="1">MAX(-5%*TblPop[[#This Row],[Peasants]]-TblPop[[#This Row],[Draft Growth]],MIN(OFFSET(TblPop[[#This Row],[Net max]],1,0)-TblPop[[#This Row],[Peasants]]-TblPop[[#This Row],[Military]]-TblPop[[#This Row],[Draft Growth]],TblPop[[#This Row],[Modded Birth]]-TblPop[[#This Row],[Draft Growth]]))</f>
        <v>391</v>
      </c>
      <c r="X46" s="97">
        <f ca="1">ROUND(TblPop[[#This Row],[Raw Birth]]*(1+TblPop[[#This Row],[Growth]]),0)</f>
        <v>469</v>
      </c>
      <c r="Y46" s="97">
        <f ca="1">(TblPop[[#This Row],[Peasants]]-TblPop[[#This Row],[Draft Growth]])*raw_pop_growth</f>
        <v>230.88</v>
      </c>
      <c r="Z46" s="97">
        <f ca="1">IF(TblPop[[#This Row],[Military%]]&lt;TblMili[[#This Row],[Draftrate]],ROUND(TblPop[[#This Row],[Peasants]]*Constants!$B$55,0), 0)</f>
        <v>78</v>
      </c>
      <c r="AA46" s="145"/>
      <c r="AB46" s="146">
        <f ca="1">Overview!$I$16 + IF(Magic!AE46&gt;0,Constants!$F$78) + ROUND(6*(Construction!BM47+Construction!CK46)/IF(Explore!S47&gt;0,Construction!F47-20,Construction!F47),4) + tech_6_5_2*Techs!BJ46 + tech_8_4*Techs!BT46</f>
        <v>1.0321</v>
      </c>
      <c r="AC46" s="142">
        <f ca="1">(Overview!$I$15 + Imps!Z46+ tech_2_5*Techs!AB46 + tech_3_6*Techs!AM46 + tech_6_1*Techs!BJ46 + tech_6_5*Techs!BF46 + tech_7_3_2*Techs!BN46) * (1 + Production!O46/100*prestige_pop_multiplier) + Production!O46/100*prestige_pop_multiplier</f>
        <v>7.6249999999999998E-2</v>
      </c>
    </row>
    <row r="47" spans="1:29" x14ac:dyDescent="0.2">
      <c r="A47" s="140">
        <f>TblRezone[[#This Row],[Hour]]</f>
        <v>44</v>
      </c>
      <c r="B47" s="141">
        <f ca="1">TblImps[[#This Row],[Time]]</f>
        <v>45431.541666666562</v>
      </c>
      <c r="C47" s="97">
        <f ca="1">OFFSET(TblPop[[#This Row],[Peasants]],-1,0)+OFFSET(TblPop[[#This Row],[Net Peasant]],-1,0)+TblMili[[#This Row],[Release Draft]]</f>
        <v>8165</v>
      </c>
      <c r="D47" s="97">
        <f ca="1">TblMili[[#This Row],[Military]]</f>
        <v>105</v>
      </c>
      <c r="E47" s="97">
        <f ca="1">TblMili[[#This Row],[Draftees]]</f>
        <v>105</v>
      </c>
      <c r="F47" s="97">
        <f ca="1">TblPop[[#This Row],[Peasants]]+TblPop[[#This Row],[Military]]</f>
        <v>8270</v>
      </c>
      <c r="G47" s="142">
        <f ca="1">TblPop[[#This Row],[Military]]/TblPop[[#This Row],[Total]]</f>
        <v>1.2696493349455865E-2</v>
      </c>
      <c r="H47" s="143">
        <f ca="1">MIN(TblPop[[#This Row],[Peasants]],TblPop[[#This Row],[Jobs]])</f>
        <v>8110</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8110</v>
      </c>
      <c r="K47" s="144"/>
      <c r="L47" s="62">
        <f ca="1">TblPop[[#This Row],[Draftees]]</f>
        <v>105</v>
      </c>
      <c r="M47" s="62">
        <f ca="1">TblMili[[#This Row],[Unit 1]]</f>
        <v>0</v>
      </c>
      <c r="N47" s="62">
        <f ca="1">TblMili[[#This Row],[Unit 2]]</f>
        <v>0</v>
      </c>
      <c r="O47" s="62">
        <f ca="1">TblMili[[#This Row],[Unit 3]]</f>
        <v>0</v>
      </c>
      <c r="P47" s="62">
        <f ca="1">TblMili[[#This Row],[Unit 4]]</f>
        <v>0</v>
      </c>
      <c r="Q47" s="62">
        <f ca="1">TblMili[[#This Row],[Spies]]</f>
        <v>0</v>
      </c>
      <c r="R47" s="62">
        <f ca="1">TblMili[[#This Row],[Wizards]]</f>
        <v>0</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8449</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7850</v>
      </c>
      <c r="W47" s="97">
        <f ca="1">MAX(-5%*TblPop[[#This Row],[Peasants]]-TblPop[[#This Row],[Draft Growth]],MIN(OFFSET(TblPop[[#This Row],[Net max]],1,0)-TblPop[[#This Row],[Peasants]]-TblPop[[#This Row],[Military]]-TblPop[[#This Row],[Draft Growth]],TblPop[[#This Row],[Modded Birth]]-TblPop[[#This Row],[Draft Growth]]))</f>
        <v>258</v>
      </c>
      <c r="X47" s="97">
        <f ca="1">ROUND(TblPop[[#This Row],[Raw Birth]]*(1+TblPop[[#This Row],[Growth]]),0)</f>
        <v>490</v>
      </c>
      <c r="Y47" s="97">
        <f ca="1">(TblPop[[#This Row],[Peasants]]-TblPop[[#This Row],[Draft Growth]])*raw_pop_growth</f>
        <v>242.48999999999998</v>
      </c>
      <c r="Z47" s="97">
        <f ca="1">IF(TblPop[[#This Row],[Military%]]&lt;TblMili[[#This Row],[Draftrate]],ROUND(TblPop[[#This Row],[Peasants]]*Constants!$B$55,0), 0)</f>
        <v>82</v>
      </c>
      <c r="AA47" s="145"/>
      <c r="AB47" s="146">
        <f ca="1">Overview!$I$16 + IF(Magic!AE47&gt;0,Constants!$F$78) + ROUND(6*(Construction!BM48+Construction!CK47)/IF(Explore!S48&gt;0,Construction!F48-20,Construction!F48),4) + tech_6_5_2*Techs!BJ47 + tech_8_4*Techs!BT47</f>
        <v>1.0222</v>
      </c>
      <c r="AC47" s="142">
        <f ca="1">(Overview!$I$15 + Imps!Z47+ tech_2_5*Techs!AB47 + tech_3_6*Techs!AM47 + tech_6_1*Techs!BJ47 + tech_6_5*Techs!BF47 + tech_7_3_2*Techs!BN47) * (1 + Production!O47/100*prestige_pop_multiplier) + Production!O47/100*prestige_pop_multiplier</f>
        <v>7.6249999999999998E-2</v>
      </c>
    </row>
    <row r="48" spans="1:29" x14ac:dyDescent="0.2">
      <c r="A48" s="140">
        <f>TblRezone[[#This Row],[Hour]]</f>
        <v>45</v>
      </c>
      <c r="B48" s="141">
        <f ca="1">TblImps[[#This Row],[Time]]</f>
        <v>45431.583333333227</v>
      </c>
      <c r="C48" s="97">
        <f ca="1">OFFSET(TblPop[[#This Row],[Peasants]],-1,0)+OFFSET(TblPop[[#This Row],[Net Peasant]],-1,0)+TblMili[[#This Row],[Release Draft]]</f>
        <v>8423</v>
      </c>
      <c r="D48" s="97">
        <f ca="1">TblMili[[#This Row],[Military]]</f>
        <v>187</v>
      </c>
      <c r="E48" s="97">
        <f ca="1">TblMili[[#This Row],[Draftees]]</f>
        <v>187</v>
      </c>
      <c r="F48" s="97">
        <f ca="1">TblPop[[#This Row],[Peasants]]+TblPop[[#This Row],[Military]]</f>
        <v>8610</v>
      </c>
      <c r="G48" s="142">
        <f ca="1">TblPop[[#This Row],[Military]]/TblPop[[#This Row],[Total]]</f>
        <v>2.1718931475029037E-2</v>
      </c>
      <c r="H48" s="143">
        <f ca="1">MIN(TblPop[[#This Row],[Peasants]],TblPop[[#This Row],[Jobs]])</f>
        <v>8355</v>
      </c>
      <c r="I48" s="142">
        <f ca="1">MIN(OFFSET(TblPop[[#This Row],[Jobs]],1,0)/TblPop[[#This Row],[Peasants]],1)</f>
        <v>0.99964383236376586</v>
      </c>
      <c r="J48" s="143">
        <f ca="1">SUM(TblConstr[[#This Row],[Tot Alc]:[Tot GT]],TblConstr[[#This Row],[Tot Shr]:[Tot Doc]],TblConstr[[#This Row],[Dest Alc]:[Dest GT]],TblConstr[[#This Row],[Dest Shr]:[Dest Doc]])*building_employment + TblConstr[[#This Row],[Tot Fac]]*bonus_jobs_facts</f>
        <v>8355</v>
      </c>
      <c r="K48" s="144"/>
      <c r="L48" s="62">
        <f ca="1">TblPop[[#This Row],[Draftees]]</f>
        <v>187</v>
      </c>
      <c r="M48" s="62">
        <f ca="1">TblMili[[#This Row],[Unit 1]]</f>
        <v>0</v>
      </c>
      <c r="N48" s="62">
        <f ca="1">TblMili[[#This Row],[Unit 2]]</f>
        <v>0</v>
      </c>
      <c r="O48" s="62">
        <f ca="1">TblMili[[#This Row],[Unit 3]]</f>
        <v>0</v>
      </c>
      <c r="P48" s="62">
        <f ca="1">TblMili[[#This Row],[Unit 4]]</f>
        <v>0</v>
      </c>
      <c r="Q48" s="62">
        <f ca="1">TblMili[[#This Row],[Spies]]</f>
        <v>0</v>
      </c>
      <c r="R48" s="62">
        <f ca="1">TblMili[[#This Row],[Wizards]]</f>
        <v>0</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8610</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8000</v>
      </c>
      <c r="W48" s="97">
        <f ca="1">MAX(-5%*TblPop[[#This Row],[Peasants]]-TblPop[[#This Row],[Draft Growth]],MIN(OFFSET(TblPop[[#This Row],[Net max]],1,0)-TblPop[[#This Row],[Peasants]]-TblPop[[#This Row],[Military]]-TblPop[[#This Row],[Draft Growth]],TblPop[[#This Row],[Modded Birth]]-TblPop[[#This Row],[Draft Growth]]))</f>
        <v>83</v>
      </c>
      <c r="X48" s="97">
        <f ca="1">ROUND(TblPop[[#This Row],[Raw Birth]]*(1+TblPop[[#This Row],[Growth]]),0)</f>
        <v>503</v>
      </c>
      <c r="Y48" s="97">
        <f ca="1">(TblPop[[#This Row],[Peasants]]-TblPop[[#This Row],[Draft Growth]])*raw_pop_growth</f>
        <v>250.17</v>
      </c>
      <c r="Z48" s="97">
        <f ca="1">IF(TblPop[[#This Row],[Military%]]&lt;TblMili[[#This Row],[Draftrate]],ROUND(TblPop[[#This Row],[Peasants]]*Constants!$B$55,0), 0)</f>
        <v>84</v>
      </c>
      <c r="AA48" s="145"/>
      <c r="AB48" s="146">
        <f ca="1">Overview!$I$16 + IF(Magic!AE48&gt;0,Constants!$F$78) + ROUND(6*(Construction!BM49+Construction!CK48)/IF(Explore!S49&gt;0,Construction!F49-20,Construction!F49),4) + tech_6_5_2*Techs!BJ48 + tech_8_4*Techs!BT48</f>
        <v>1.0118</v>
      </c>
      <c r="AC48" s="142">
        <f ca="1">(Overview!$I$15 + Imps!Z48+ tech_2_5*Techs!AB48 + tech_3_6*Techs!AM48 + tech_6_1*Techs!BJ48 + tech_6_5*Techs!BF48 + tech_7_3_2*Techs!BN48) * (1 + Production!O48/100*prestige_pop_multiplier) + Production!O48/100*prestige_pop_multiplier</f>
        <v>7.6249999999999998E-2</v>
      </c>
    </row>
    <row r="49" spans="1:29" x14ac:dyDescent="0.2">
      <c r="A49" s="140">
        <f>TblRezone[[#This Row],[Hour]]</f>
        <v>46</v>
      </c>
      <c r="B49" s="141">
        <f ca="1">TblImps[[#This Row],[Time]]</f>
        <v>45431.624999999891</v>
      </c>
      <c r="C49" s="97">
        <f ca="1">OFFSET(TblPop[[#This Row],[Peasants]],-1,0)+OFFSET(TblPop[[#This Row],[Net Peasant]],-1,0)+TblMili[[#This Row],[Release Draft]]</f>
        <v>8506</v>
      </c>
      <c r="D49" s="97">
        <f ca="1">TblMili[[#This Row],[Military]]</f>
        <v>271</v>
      </c>
      <c r="E49" s="97">
        <f ca="1">TblMili[[#This Row],[Draftees]]</f>
        <v>271</v>
      </c>
      <c r="F49" s="97">
        <f ca="1">TblPop[[#This Row],[Peasants]]+TblPop[[#This Row],[Military]]</f>
        <v>8777</v>
      </c>
      <c r="G49" s="142">
        <f ca="1">TblPop[[#This Row],[Military]]/TblPop[[#This Row],[Total]]</f>
        <v>3.0876153583228892E-2</v>
      </c>
      <c r="H49" s="143">
        <f ca="1">MIN(TblPop[[#This Row],[Peasants]],TblPop[[#This Row],[Jobs]])</f>
        <v>8420</v>
      </c>
      <c r="I49" s="142">
        <f ca="1">MIN(OFFSET(TblPop[[#This Row],[Jobs]],1,0)/TblPop[[#This Row],[Peasants]],1)</f>
        <v>0.9951798730308018</v>
      </c>
      <c r="J49" s="143">
        <f ca="1">SUM(TblConstr[[#This Row],[Tot Alc]:[Tot GT]],TblConstr[[#This Row],[Tot Shr]:[Tot Doc]],TblConstr[[#This Row],[Dest Alc]:[Dest GT]],TblConstr[[#This Row],[Dest Shr]:[Dest Doc]])*building_employment + TblConstr[[#This Row],[Tot Fac]]*bonus_jobs_facts</f>
        <v>8420</v>
      </c>
      <c r="K49" s="144"/>
      <c r="L49" s="62">
        <f ca="1">TblPop[[#This Row],[Draftees]]</f>
        <v>271</v>
      </c>
      <c r="M49" s="62">
        <f ca="1">TblMili[[#This Row],[Unit 1]]</f>
        <v>0</v>
      </c>
      <c r="N49" s="62">
        <f ca="1">TblMili[[#This Row],[Unit 2]]</f>
        <v>0</v>
      </c>
      <c r="O49" s="62">
        <f ca="1">TblMili[[#This Row],[Unit 3]]</f>
        <v>0</v>
      </c>
      <c r="P49" s="62">
        <f ca="1">TblMili[[#This Row],[Unit 4]]</f>
        <v>0</v>
      </c>
      <c r="Q49" s="62">
        <f ca="1">TblMili[[#This Row],[Spies]]</f>
        <v>0</v>
      </c>
      <c r="R49" s="62">
        <f ca="1">TblMili[[#This Row],[Wizards]]</f>
        <v>0</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8777</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8155</v>
      </c>
      <c r="W49" s="97">
        <f ca="1">MAX(-5%*TblPop[[#This Row],[Peasants]]-TblPop[[#This Row],[Draft Growth]],MIN(OFFSET(TblPop[[#This Row],[Net max]],1,0)-TblPop[[#This Row],[Peasants]]-TblPop[[#This Row],[Military]]-TblPop[[#This Row],[Draft Growth]],TblPop[[#This Row],[Modded Birth]]-TblPop[[#This Row],[Draft Growth]]))</f>
        <v>98</v>
      </c>
      <c r="X49" s="97">
        <f ca="1">ROUND(TblPop[[#This Row],[Raw Birth]]*(1+TblPop[[#This Row],[Growth]]),0)</f>
        <v>505</v>
      </c>
      <c r="Y49" s="97">
        <f ca="1">(TblPop[[#This Row],[Peasants]]-TblPop[[#This Row],[Draft Growth]])*raw_pop_growth</f>
        <v>252.63</v>
      </c>
      <c r="Z49" s="97">
        <f ca="1">IF(TblPop[[#This Row],[Military%]]&lt;TblMili[[#This Row],[Draftrate]],ROUND(TblPop[[#This Row],[Peasants]]*Constants!$B$55,0), 0)</f>
        <v>85</v>
      </c>
      <c r="AA49" s="145"/>
      <c r="AB49" s="146">
        <f ca="1">Overview!$I$16 + IF(Magic!AE49&gt;0,Constants!$F$78) + ROUND(6*(Construction!BM50+Construction!CK49)/IF(Explore!S50&gt;0,Construction!F50-20,Construction!F50),4) + tech_6_5_2*Techs!BJ49 + tech_8_4*Techs!BT49</f>
        <v>1.0009000000000001</v>
      </c>
      <c r="AC49" s="142">
        <f ca="1">(Overview!$I$15 + Imps!Z49+ tech_2_5*Techs!AB49 + tech_3_6*Techs!AM49 + tech_6_1*Techs!BJ49 + tech_6_5*Techs!BF49 + tech_7_3_2*Techs!BN49) * (1 + Production!O49/100*prestige_pop_multiplier) + Production!O49/100*prestige_pop_multiplier</f>
        <v>7.6249999999999998E-2</v>
      </c>
    </row>
    <row r="50" spans="1:29" x14ac:dyDescent="0.2">
      <c r="A50" s="140">
        <f>TblRezone[[#This Row],[Hour]]</f>
        <v>47</v>
      </c>
      <c r="B50" s="141">
        <f ca="1">TblImps[[#This Row],[Time]]</f>
        <v>45431.666666666555</v>
      </c>
      <c r="C50" s="97">
        <f ca="1">OFFSET(TblPop[[#This Row],[Peasants]],-1,0)+OFFSET(TblPop[[#This Row],[Net Peasant]],-1,0)+TblMili[[#This Row],[Release Draft]]</f>
        <v>8604</v>
      </c>
      <c r="D50" s="97">
        <f ca="1">TblMili[[#This Row],[Military]]</f>
        <v>356</v>
      </c>
      <c r="E50" s="97">
        <f ca="1">TblMili[[#This Row],[Draftees]]</f>
        <v>356</v>
      </c>
      <c r="F50" s="97">
        <f ca="1">TblPop[[#This Row],[Peasants]]+TblPop[[#This Row],[Military]]</f>
        <v>8960</v>
      </c>
      <c r="G50" s="142">
        <f ca="1">TblPop[[#This Row],[Military]]/TblPop[[#This Row],[Total]]</f>
        <v>3.9732142857142855E-2</v>
      </c>
      <c r="H50" s="143">
        <f ca="1">MIN(TblPop[[#This Row],[Peasants]],TblPop[[#This Row],[Jobs]])</f>
        <v>8465</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8465</v>
      </c>
      <c r="K50" s="144"/>
      <c r="L50" s="62">
        <f ca="1">TblPop[[#This Row],[Draftees]]</f>
        <v>356</v>
      </c>
      <c r="M50" s="62">
        <f ca="1">TblMili[[#This Row],[Unit 1]]</f>
        <v>0</v>
      </c>
      <c r="N50" s="62">
        <f ca="1">TblMili[[#This Row],[Unit 2]]</f>
        <v>0</v>
      </c>
      <c r="O50" s="62">
        <f ca="1">TblMili[[#This Row],[Unit 3]]</f>
        <v>0</v>
      </c>
      <c r="P50" s="62">
        <f ca="1">TblMili[[#This Row],[Unit 4]]</f>
        <v>0</v>
      </c>
      <c r="Q50" s="62">
        <f ca="1">TblMili[[#This Row],[Spies]]</f>
        <v>0</v>
      </c>
      <c r="R50" s="62">
        <f ca="1">TblMili[[#This Row],[Wizards]]</f>
        <v>0</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8960</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8325</v>
      </c>
      <c r="W50" s="97">
        <f ca="1">MAX(-5%*TblPop[[#This Row],[Peasants]]-TblPop[[#This Row],[Draft Growth]],MIN(OFFSET(TblPop[[#This Row],[Net max]],1,0)-TblPop[[#This Row],[Peasants]]-TblPop[[#This Row],[Military]]-TblPop[[#This Row],[Draft Growth]],TblPop[[#This Row],[Modded Birth]]-TblPop[[#This Row],[Draft Growth]]))</f>
        <v>113</v>
      </c>
      <c r="X50" s="97">
        <f ca="1">ROUND(TblPop[[#This Row],[Raw Birth]]*(1+TblPop[[#This Row],[Growth]]),0)</f>
        <v>508</v>
      </c>
      <c r="Y50" s="97">
        <f ca="1">(TblPop[[#This Row],[Peasants]]-TblPop[[#This Row],[Draft Growth]])*raw_pop_growth</f>
        <v>255.54</v>
      </c>
      <c r="Z50" s="97">
        <f ca="1">IF(TblPop[[#This Row],[Military%]]&lt;TblMili[[#This Row],[Draftrate]],ROUND(TblPop[[#This Row],[Peasants]]*Constants!$B$55,0), 0)</f>
        <v>86</v>
      </c>
      <c r="AA50" s="145"/>
      <c r="AB50" s="146">
        <f ca="1">Overview!$I$16 + IF(Magic!AE50&gt;0,Constants!$F$78) + ROUND(6*(Construction!BM51+Construction!CK50)/IF(Explore!S51&gt;0,Construction!F51-20,Construction!F51),4) + tech_6_5_2*Techs!BJ50 + tech_8_4*Techs!BT50</f>
        <v>0.98960000000000004</v>
      </c>
      <c r="AC50" s="142">
        <f ca="1">(Overview!$I$15 + Imps!Z50+ tech_2_5*Techs!AB50 + tech_3_6*Techs!AM50 + tech_6_1*Techs!BJ50 + tech_6_5*Techs!BF50 + tech_7_3_2*Techs!BN50) * (1 + Production!O50/100*prestige_pop_multiplier) + Production!O50/100*prestige_pop_multiplier</f>
        <v>7.6249999999999998E-2</v>
      </c>
    </row>
    <row r="51" spans="1:29" x14ac:dyDescent="0.2">
      <c r="A51" s="140">
        <f>TblRezone[[#This Row],[Hour]]</f>
        <v>48</v>
      </c>
      <c r="B51" s="141">
        <f ca="1">TblImps[[#This Row],[Time]]</f>
        <v>45431.708333333219</v>
      </c>
      <c r="C51" s="97">
        <f ca="1">OFFSET(TblPop[[#This Row],[Peasants]],-1,0)+OFFSET(TblPop[[#This Row],[Net Peasant]],-1,0)+TblMili[[#This Row],[Release Draft]]</f>
        <v>8717</v>
      </c>
      <c r="D51" s="97">
        <f ca="1">TblMili[[#This Row],[Military]]</f>
        <v>442</v>
      </c>
      <c r="E51" s="97">
        <f ca="1">TblMili[[#This Row],[Draftees]]</f>
        <v>442</v>
      </c>
      <c r="F51" s="97">
        <f ca="1">TblPop[[#This Row],[Peasants]]+TblPop[[#This Row],[Military]]</f>
        <v>9159</v>
      </c>
      <c r="G51" s="142">
        <f ca="1">TblPop[[#This Row],[Military]]/TblPop[[#This Row],[Total]]</f>
        <v>4.8258543509116715E-2</v>
      </c>
      <c r="H51" s="143">
        <f ca="1">MIN(TblPop[[#This Row],[Peasants]],TblPop[[#This Row],[Jobs]])</f>
        <v>8715</v>
      </c>
      <c r="I51" s="142">
        <f ca="1">MIN(OFFSET(TblPop[[#This Row],[Jobs]],1,0)/TblPop[[#This Row],[Peasants]],1)</f>
        <v>0.99977056326717906</v>
      </c>
      <c r="J51" s="143">
        <f ca="1">SUM(TblConstr[[#This Row],[Tot Alc]:[Tot GT]],TblConstr[[#This Row],[Tot Shr]:[Tot Doc]],TblConstr[[#This Row],[Dest Alc]:[Dest GT]],TblConstr[[#This Row],[Dest Shr]:[Dest Doc]])*building_employment + TblConstr[[#This Row],[Tot Fac]]*bonus_jobs_facts</f>
        <v>8715</v>
      </c>
      <c r="K51" s="144"/>
      <c r="L51" s="62">
        <f ca="1">TblPop[[#This Row],[Draftees]]</f>
        <v>442</v>
      </c>
      <c r="M51" s="62">
        <f ca="1">TblMili[[#This Row],[Unit 1]]</f>
        <v>0</v>
      </c>
      <c r="N51" s="62">
        <f ca="1">TblMili[[#This Row],[Unit 2]]</f>
        <v>0</v>
      </c>
      <c r="O51" s="62">
        <f ca="1">TblMili[[#This Row],[Unit 3]]</f>
        <v>0</v>
      </c>
      <c r="P51" s="62">
        <f ca="1">TblMili[[#This Row],[Unit 4]]</f>
        <v>0</v>
      </c>
      <c r="Q51" s="62">
        <f ca="1">TblMili[[#This Row],[Spies]]</f>
        <v>0</v>
      </c>
      <c r="R51" s="62">
        <f ca="1">TblMili[[#This Row],[Wizards]]</f>
        <v>0</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9159</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8510</v>
      </c>
      <c r="W51" s="97">
        <f ca="1">MAX(-5%*TblPop[[#This Row],[Peasants]]-TblPop[[#This Row],[Draft Growth]],MIN(OFFSET(TblPop[[#This Row],[Net max]],1,0)-TblPop[[#This Row],[Peasants]]-TblPop[[#This Row],[Military]]-TblPop[[#This Row],[Draft Growth]],TblPop[[#This Row],[Modded Birth]]-TblPop[[#This Row],[Draft Growth]]))</f>
        <v>421</v>
      </c>
      <c r="X51" s="97">
        <f ca="1">ROUND(TblPop[[#This Row],[Raw Birth]]*(1+TblPop[[#This Row],[Growth]]),0)</f>
        <v>508</v>
      </c>
      <c r="Y51" s="97">
        <f ca="1">(TblPop[[#This Row],[Peasants]]-TblPop[[#This Row],[Draft Growth]])*raw_pop_growth</f>
        <v>258.89999999999998</v>
      </c>
      <c r="Z51" s="97">
        <f ca="1">IF(TblPop[[#This Row],[Military%]]&lt;TblMili[[#This Row],[Draftrate]],ROUND(TblPop[[#This Row],[Peasants]]*Constants!$B$55,0), 0)</f>
        <v>87</v>
      </c>
      <c r="AA51" s="145"/>
      <c r="AB51" s="146">
        <f ca="1">Overview!$I$16 + IF(Magic!AE51&gt;0,Constants!$F$78) + ROUND(6*(Construction!BM52+Construction!CK51)/IF(Explore!S52&gt;0,Construction!F52-20,Construction!F52),4) + tech_6_5_2*Techs!BJ51 + tech_8_4*Techs!BT51</f>
        <v>0.96310000000000007</v>
      </c>
      <c r="AC51" s="142">
        <f ca="1">(Overview!$I$15 + Imps!Z51+ tech_2_5*Techs!AB51 + tech_3_6*Techs!AM51 + tech_6_1*Techs!BJ51 + tech_6_5*Techs!BF51 + tech_7_3_2*Techs!BN51) * (1 + Production!O51/100*prestige_pop_multiplier) + Production!O51/100*prestige_pop_multiplier</f>
        <v>7.6249999999999998E-2</v>
      </c>
    </row>
    <row r="52" spans="1:29" x14ac:dyDescent="0.2">
      <c r="A52" s="140">
        <f>TblRezone[[#This Row],[Hour]]</f>
        <v>49</v>
      </c>
      <c r="B52" s="141">
        <f ca="1">TblImps[[#This Row],[Time]]</f>
        <v>45431.749999999884</v>
      </c>
      <c r="C52" s="97">
        <f ca="1">OFFSET(TblPop[[#This Row],[Peasants]],-1,0)+OFFSET(TblPop[[#This Row],[Net Peasant]],-1,0)+TblMili[[#This Row],[Release Draft]]</f>
        <v>9138</v>
      </c>
      <c r="D52" s="97">
        <f ca="1">TblMili[[#This Row],[Military]]</f>
        <v>529</v>
      </c>
      <c r="E52" s="97">
        <f ca="1">TblMili[[#This Row],[Draftees]]</f>
        <v>529</v>
      </c>
      <c r="F52" s="97">
        <f ca="1">TblPop[[#This Row],[Peasants]]+TblPop[[#This Row],[Military]]</f>
        <v>9667</v>
      </c>
      <c r="G52" s="142">
        <f ca="1">TblPop[[#This Row],[Military]]/TblPop[[#This Row],[Total]]</f>
        <v>5.4722250956863554E-2</v>
      </c>
      <c r="H52" s="143">
        <f ca="1">MIN(TblPop[[#This Row],[Peasants]],TblPop[[#This Row],[Jobs]])</f>
        <v>8715</v>
      </c>
      <c r="I52" s="142">
        <f ca="1">MIN(OFFSET(TblPop[[#This Row],[Jobs]],1,0)/TblPop[[#This Row],[Peasants]],1)</f>
        <v>0.95370978332238998</v>
      </c>
      <c r="J52" s="143">
        <f ca="1">SUM(TblConstr[[#This Row],[Tot Alc]:[Tot GT]],TblConstr[[#This Row],[Tot Shr]:[Tot Doc]],TblConstr[[#This Row],[Dest Alc]:[Dest GT]],TblConstr[[#This Row],[Dest Shr]:[Dest Doc]])*building_employment + TblConstr[[#This Row],[Tot Fac]]*bonus_jobs_facts</f>
        <v>8715</v>
      </c>
      <c r="K52" s="144"/>
      <c r="L52" s="62">
        <f ca="1">TblPop[[#This Row],[Draftees]]</f>
        <v>529</v>
      </c>
      <c r="M52" s="62">
        <f ca="1">TblMili[[#This Row],[Unit 1]]</f>
        <v>0</v>
      </c>
      <c r="N52" s="62">
        <f ca="1">TblMili[[#This Row],[Unit 2]]</f>
        <v>0</v>
      </c>
      <c r="O52" s="62">
        <f ca="1">TblMili[[#This Row],[Unit 3]]</f>
        <v>0</v>
      </c>
      <c r="P52" s="62">
        <f ca="1">TblMili[[#This Row],[Unit 4]]</f>
        <v>0</v>
      </c>
      <c r="Q52" s="62">
        <f ca="1">TblMili[[#This Row],[Spies]]</f>
        <v>0</v>
      </c>
      <c r="R52" s="62">
        <f ca="1">TblMili[[#This Row],[Wizards]]</f>
        <v>0</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9692</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9005</v>
      </c>
      <c r="W52" s="97">
        <f ca="1">MAX(-5%*TblPop[[#This Row],[Peasants]]-TblPop[[#This Row],[Draft Growth]],MIN(OFFSET(TblPop[[#This Row],[Net max]],1,0)-TblPop[[#This Row],[Peasants]]-TblPop[[#This Row],[Military]]-TblPop[[#This Row],[Draft Growth]],TblPop[[#This Row],[Modded Birth]]-TblPop[[#This Row],[Draft Growth]]))</f>
        <v>435</v>
      </c>
      <c r="X52" s="97">
        <f ca="1">ROUND(TblPop[[#This Row],[Raw Birth]]*(1+TblPop[[#This Row],[Growth]]),0)</f>
        <v>526</v>
      </c>
      <c r="Y52" s="97">
        <f ca="1">(TblPop[[#This Row],[Peasants]]-TblPop[[#This Row],[Draft Growth]])*raw_pop_growth</f>
        <v>271.40999999999997</v>
      </c>
      <c r="Z52" s="97">
        <f ca="1">IF(TblPop[[#This Row],[Military%]]&lt;TblMili[[#This Row],[Draftrate]],ROUND(TblPop[[#This Row],[Peasants]]*Constants!$B$55,0), 0)</f>
        <v>91</v>
      </c>
      <c r="AA52" s="145"/>
      <c r="AB52" s="146">
        <f ca="1">Overview!$I$16 + IF(Magic!AE52&gt;0,Constants!$F$78) + ROUND(6*(Construction!BM53+Construction!CK52)/IF(Explore!S53&gt;0,Construction!F53-20,Construction!F53),4) + tech_6_5_2*Techs!BJ52 + tech_8_4*Techs!BT52</f>
        <v>0.93930000000000002</v>
      </c>
      <c r="AC52" s="142">
        <f ca="1">(Overview!$I$15 + Imps!Z52+ tech_2_5*Techs!AB52 + tech_3_6*Techs!AM52 + tech_6_1*Techs!BJ52 + tech_6_5*Techs!BF52 + tech_7_3_2*Techs!BN52) * (1 + Production!O52/100*prestige_pop_multiplier) + Production!O52/100*prestige_pop_multiplier</f>
        <v>7.6249999999999998E-2</v>
      </c>
    </row>
    <row r="53" spans="1:29" x14ac:dyDescent="0.2">
      <c r="A53" s="140">
        <f>TblRezone[[#This Row],[Hour]]</f>
        <v>50</v>
      </c>
      <c r="B53" s="141">
        <f ca="1">TblImps[[#This Row],[Time]]</f>
        <v>45431.791666666548</v>
      </c>
      <c r="C53" s="97">
        <f ca="1">OFFSET(TblPop[[#This Row],[Peasants]],-1,0)+OFFSET(TblPop[[#This Row],[Net Peasant]],-1,0)+TblMili[[#This Row],[Release Draft]]</f>
        <v>9573</v>
      </c>
      <c r="D53" s="97">
        <f ca="1">TblMili[[#This Row],[Military]]</f>
        <v>620</v>
      </c>
      <c r="E53" s="97">
        <f ca="1">TblMili[[#This Row],[Draftees]]</f>
        <v>620</v>
      </c>
      <c r="F53" s="97">
        <f ca="1">TblPop[[#This Row],[Peasants]]+TblPop[[#This Row],[Military]]</f>
        <v>10193</v>
      </c>
      <c r="G53" s="142">
        <f ca="1">TblPop[[#This Row],[Military]]/TblPop[[#This Row],[Total]]</f>
        <v>6.0826057098008438E-2</v>
      </c>
      <c r="H53" s="143">
        <f ca="1">MIN(TblPop[[#This Row],[Peasants]],TblPop[[#This Row],[Jobs]])</f>
        <v>8715</v>
      </c>
      <c r="I53" s="142">
        <f ca="1">MIN(OFFSET(TblPop[[#This Row],[Jobs]],1,0)/TblPop[[#This Row],[Peasants]],1)</f>
        <v>0.91037292384832336</v>
      </c>
      <c r="J53" s="143">
        <f ca="1">SUM(TblConstr[[#This Row],[Tot Alc]:[Tot GT]],TblConstr[[#This Row],[Tot Shr]:[Tot Doc]],TblConstr[[#This Row],[Dest Alc]:[Dest GT]],TblConstr[[#This Row],[Dest Shr]:[Dest Doc]])*building_employment + TblConstr[[#This Row],[Tot Fac]]*bonus_jobs_facts</f>
        <v>8715</v>
      </c>
      <c r="K53" s="144"/>
      <c r="L53" s="62">
        <f ca="1">TblPop[[#This Row],[Draftees]]</f>
        <v>620</v>
      </c>
      <c r="M53" s="62">
        <f ca="1">TblMili[[#This Row],[Unit 1]]</f>
        <v>0</v>
      </c>
      <c r="N53" s="62">
        <f ca="1">TblMili[[#This Row],[Unit 2]]</f>
        <v>0</v>
      </c>
      <c r="O53" s="62">
        <f ca="1">TblMili[[#This Row],[Unit 3]]</f>
        <v>0</v>
      </c>
      <c r="P53" s="62">
        <f ca="1">TblMili[[#This Row],[Unit 4]]</f>
        <v>0</v>
      </c>
      <c r="Q53" s="62">
        <f ca="1">TblMili[[#This Row],[Spies]]</f>
        <v>0</v>
      </c>
      <c r="R53" s="62">
        <f ca="1">TblMili[[#This Row],[Wizards]]</f>
        <v>0</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10224</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9500</v>
      </c>
      <c r="W53" s="97">
        <f ca="1">MAX(-5%*TblPop[[#This Row],[Peasants]]-TblPop[[#This Row],[Draft Growth]],MIN(OFFSET(TblPop[[#This Row],[Net max]],1,0)-TblPop[[#This Row],[Peasants]]-TblPop[[#This Row],[Military]]-TblPop[[#This Row],[Draft Growth]],TblPop[[#This Row],[Modded Birth]]-TblPop[[#This Row],[Draft Growth]]))</f>
        <v>151</v>
      </c>
      <c r="X53" s="97">
        <f ca="1">ROUND(TblPop[[#This Row],[Raw Birth]]*(1+TblPop[[#This Row],[Growth]]),0)</f>
        <v>407</v>
      </c>
      <c r="Y53" s="97">
        <f ca="1">(TblPop[[#This Row],[Peasants]]-TblPop[[#This Row],[Draft Growth]])*raw_pop_growth</f>
        <v>284.31</v>
      </c>
      <c r="Z53" s="97">
        <f ca="1">IF(TblPop[[#This Row],[Military%]]&lt;TblMili[[#This Row],[Draftrate]],ROUND(TblPop[[#This Row],[Peasants]]*Constants!$B$55,0), 0)</f>
        <v>96</v>
      </c>
      <c r="AA53" s="145"/>
      <c r="AB53" s="146">
        <f ca="1">Overview!$I$16 + IF(Magic!AE53&gt;0,Constants!$F$78) + ROUND(6*(Construction!BM54+Construction!CK53)/IF(Explore!S54&gt;0,Construction!F54-20,Construction!F54),4) + tech_6_5_2*Techs!BJ53 + tech_8_4*Techs!BT53</f>
        <v>0.4299</v>
      </c>
      <c r="AC53" s="142">
        <f ca="1">(Overview!$I$15 + Imps!Z53+ tech_2_5*Techs!AB53 + tech_3_6*Techs!AM53 + tech_6_1*Techs!BJ53 + tech_6_5*Techs!BF53 + tech_7_3_2*Techs!BN53) * (1 + Production!O53/100*prestige_pop_multiplier) + Production!O53/100*prestige_pop_multiplier</f>
        <v>7.6249999999999998E-2</v>
      </c>
    </row>
    <row r="54" spans="1:29" x14ac:dyDescent="0.2">
      <c r="A54" s="140">
        <f>TblRezone[[#This Row],[Hour]]</f>
        <v>51</v>
      </c>
      <c r="B54" s="141">
        <f ca="1">TblImps[[#This Row],[Time]]</f>
        <v>45431.833333333212</v>
      </c>
      <c r="C54" s="97">
        <f ca="1">OFFSET(TblPop[[#This Row],[Peasants]],-1,0)+OFFSET(TblPop[[#This Row],[Net Peasant]],-1,0)+TblMili[[#This Row],[Release Draft]]</f>
        <v>9724</v>
      </c>
      <c r="D54" s="97">
        <f ca="1">TblMili[[#This Row],[Military]]</f>
        <v>716</v>
      </c>
      <c r="E54" s="97">
        <f ca="1">TblMili[[#This Row],[Draftees]]</f>
        <v>716</v>
      </c>
      <c r="F54" s="97">
        <f ca="1">TblPop[[#This Row],[Peasants]]+TblPop[[#This Row],[Military]]</f>
        <v>10440</v>
      </c>
      <c r="G54" s="142">
        <f ca="1">TblPop[[#This Row],[Military]]/TblPop[[#This Row],[Total]]</f>
        <v>6.8582375478927204E-2</v>
      </c>
      <c r="H54" s="143">
        <f ca="1">MIN(TblPop[[#This Row],[Peasants]],TblPop[[#This Row],[Jobs]])</f>
        <v>8715</v>
      </c>
      <c r="I54" s="142">
        <f ca="1">MIN(OFFSET(TblPop[[#This Row],[Jobs]],1,0)/TblPop[[#This Row],[Peasants]],1)</f>
        <v>0.89623611682435211</v>
      </c>
      <c r="J54" s="143">
        <f ca="1">SUM(TblConstr[[#This Row],[Tot Alc]:[Tot GT]],TblConstr[[#This Row],[Tot Shr]:[Tot Doc]],TblConstr[[#This Row],[Dest Alc]:[Dest GT]],TblConstr[[#This Row],[Dest Shr]:[Dest Doc]])*building_employment + TblConstr[[#This Row],[Tot Fac]]*bonus_jobs_facts</f>
        <v>8715</v>
      </c>
      <c r="K54" s="144"/>
      <c r="L54" s="62">
        <f ca="1">TblPop[[#This Row],[Draftees]]</f>
        <v>716</v>
      </c>
      <c r="M54" s="62">
        <f ca="1">TblMili[[#This Row],[Unit 1]]</f>
        <v>0</v>
      </c>
      <c r="N54" s="62">
        <f ca="1">TblMili[[#This Row],[Unit 2]]</f>
        <v>0</v>
      </c>
      <c r="O54" s="62">
        <f ca="1">TblMili[[#This Row],[Unit 3]]</f>
        <v>0</v>
      </c>
      <c r="P54" s="62">
        <f ca="1">TblMili[[#This Row],[Unit 4]]</f>
        <v>0</v>
      </c>
      <c r="Q54" s="62">
        <f ca="1">TblMili[[#This Row],[Spies]]</f>
        <v>0</v>
      </c>
      <c r="R54" s="62">
        <f ca="1">TblMili[[#This Row],[Wizards]]</f>
        <v>0</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10440</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9700</v>
      </c>
      <c r="W54" s="97">
        <f ca="1">MAX(-5%*TblPop[[#This Row],[Peasants]]-TblPop[[#This Row],[Draft Growth]],MIN(OFFSET(TblPop[[#This Row],[Net max]],1,0)-TblPop[[#This Row],[Peasants]]-TblPop[[#This Row],[Military]]-TblPop[[#This Row],[Draft Growth]],TblPop[[#This Row],[Modded Birth]]-TblPop[[#This Row],[Draft Growth]]))</f>
        <v>123</v>
      </c>
      <c r="X54" s="97">
        <f ca="1">ROUND(TblPop[[#This Row],[Raw Birth]]*(1+TblPop[[#This Row],[Growth]]),0)</f>
        <v>411</v>
      </c>
      <c r="Y54" s="97">
        <f ca="1">(TblPop[[#This Row],[Peasants]]-TblPop[[#This Row],[Draft Growth]])*raw_pop_growth</f>
        <v>288.81</v>
      </c>
      <c r="Z54" s="97">
        <f ca="1">IF(TblPop[[#This Row],[Military%]]&lt;TblMili[[#This Row],[Draftrate]],ROUND(TblPop[[#This Row],[Peasants]]*Constants!$B$55,0), 0)</f>
        <v>97</v>
      </c>
      <c r="AA54" s="145"/>
      <c r="AB54" s="146">
        <f ca="1">Overview!$I$16 + IF(Magic!AE54&gt;0,Constants!$F$78) + ROUND(6*(Construction!BM55+Construction!CK54)/IF(Explore!S55&gt;0,Construction!F55-20,Construction!F55),4) + tech_6_5_2*Techs!BJ54 + tech_8_4*Techs!BT54</f>
        <v>0.42149999999999999</v>
      </c>
      <c r="AC54" s="142">
        <f ca="1">(Overview!$I$15 + Imps!Z54+ tech_2_5*Techs!AB54 + tech_3_6*Techs!AM54 + tech_6_1*Techs!BJ54 + tech_6_5*Techs!BF54 + tech_7_3_2*Techs!BN54) * (1 + Production!O54/100*prestige_pop_multiplier) + Production!O54/100*prestige_pop_multiplier</f>
        <v>7.6249999999999998E-2</v>
      </c>
    </row>
    <row r="55" spans="1:29" x14ac:dyDescent="0.2">
      <c r="A55" s="140">
        <f>TblRezone[[#This Row],[Hour]]</f>
        <v>52</v>
      </c>
      <c r="B55" s="141">
        <f ca="1">TblImps[[#This Row],[Time]]</f>
        <v>45431.874999999876</v>
      </c>
      <c r="C55" s="97">
        <f ca="1">OFFSET(TblPop[[#This Row],[Peasants]],-1,0)+OFFSET(TblPop[[#This Row],[Net Peasant]],-1,0)+TblMili[[#This Row],[Release Draft]]</f>
        <v>9847</v>
      </c>
      <c r="D55" s="97">
        <f ca="1">TblMili[[#This Row],[Military]]</f>
        <v>813</v>
      </c>
      <c r="E55" s="97">
        <f ca="1">TblMili[[#This Row],[Draftees]]</f>
        <v>813</v>
      </c>
      <c r="F55" s="97">
        <f ca="1">TblPop[[#This Row],[Peasants]]+TblPop[[#This Row],[Military]]</f>
        <v>10660</v>
      </c>
      <c r="G55" s="142">
        <f ca="1">TblPop[[#This Row],[Military]]/TblPop[[#This Row],[Total]]</f>
        <v>7.6266416510318943E-2</v>
      </c>
      <c r="H55" s="143">
        <f ca="1">MIN(TblPop[[#This Row],[Peasants]],TblPop[[#This Row],[Jobs]])</f>
        <v>8715</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8715</v>
      </c>
      <c r="K55" s="144"/>
      <c r="L55" s="62">
        <f ca="1">TblPop[[#This Row],[Draftees]]</f>
        <v>813</v>
      </c>
      <c r="M55" s="62">
        <f ca="1">TblMili[[#This Row],[Unit 1]]</f>
        <v>0</v>
      </c>
      <c r="N55" s="62">
        <f ca="1">TblMili[[#This Row],[Unit 2]]</f>
        <v>0</v>
      </c>
      <c r="O55" s="62">
        <f ca="1">TblMili[[#This Row],[Unit 3]]</f>
        <v>0</v>
      </c>
      <c r="P55" s="62">
        <f ca="1">TblMili[[#This Row],[Unit 4]]</f>
        <v>0</v>
      </c>
      <c r="Q55" s="62">
        <f ca="1">TblMili[[#This Row],[Spies]]</f>
        <v>0</v>
      </c>
      <c r="R55" s="62">
        <f ca="1">TblMili[[#This Row],[Wizards]]</f>
        <v>0</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10660</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9905</v>
      </c>
      <c r="W55" s="97">
        <f ca="1">MAX(-5%*TblPop[[#This Row],[Peasants]]-TblPop[[#This Row],[Draft Growth]],MIN(OFFSET(TblPop[[#This Row],[Net max]],1,0)-TblPop[[#This Row],[Peasants]]-TblPop[[#This Row],[Military]]-TblPop[[#This Row],[Draft Growth]],TblPop[[#This Row],[Modded Birth]]-TblPop[[#This Row],[Draft Growth]]))</f>
        <v>101</v>
      </c>
      <c r="X55" s="97">
        <f ca="1">ROUND(TblPop[[#This Row],[Raw Birth]]*(1+TblPop[[#This Row],[Growth]]),0)</f>
        <v>414</v>
      </c>
      <c r="Y55" s="97">
        <f ca="1">(TblPop[[#This Row],[Peasants]]-TblPop[[#This Row],[Draft Growth]])*raw_pop_growth</f>
        <v>292.46999999999997</v>
      </c>
      <c r="Z55" s="97">
        <f ca="1">IF(TblPop[[#This Row],[Military%]]&lt;TblMili[[#This Row],[Draftrate]],ROUND(TblPop[[#This Row],[Peasants]]*Constants!$B$55,0), 0)</f>
        <v>98</v>
      </c>
      <c r="AA55" s="145"/>
      <c r="AB55" s="146">
        <f ca="1">Overview!$I$16 + IF(Magic!AE55&gt;0,Constants!$F$78) + ROUND(6*(Construction!BM56+Construction!CK55)/IF(Explore!S56&gt;0,Construction!F56-20,Construction!F56),4) + tech_6_5_2*Techs!BJ55 + tech_8_4*Techs!BT55</f>
        <v>0.41470000000000001</v>
      </c>
      <c r="AC55" s="142">
        <f ca="1">(Overview!$I$15 + Imps!Z55+ tech_2_5*Techs!AB55 + tech_3_6*Techs!AM55 + tech_6_1*Techs!BJ55 + tech_6_5*Techs!BF55 + tech_7_3_2*Techs!BN55) * (1 + Production!O55/100*prestige_pop_multiplier) + Production!O55/100*prestige_pop_multiplier</f>
        <v>7.6249999999999998E-2</v>
      </c>
    </row>
    <row r="56" spans="1:29" x14ac:dyDescent="0.2">
      <c r="A56" s="140">
        <f>TblRezone[[#This Row],[Hour]]</f>
        <v>53</v>
      </c>
      <c r="B56" s="141">
        <f ca="1">TblImps[[#This Row],[Time]]</f>
        <v>45431.916666666541</v>
      </c>
      <c r="C56" s="97">
        <f ca="1">OFFSET(TblPop[[#This Row],[Peasants]],-1,0)+OFFSET(TblPop[[#This Row],[Net Peasant]],-1,0)+TblMili[[#This Row],[Release Draft]]</f>
        <v>9948</v>
      </c>
      <c r="D56" s="97">
        <f ca="1">TblMili[[#This Row],[Military]]</f>
        <v>911</v>
      </c>
      <c r="E56" s="97">
        <f ca="1">TblMili[[#This Row],[Draftees]]</f>
        <v>911</v>
      </c>
      <c r="F56" s="97">
        <f ca="1">TblPop[[#This Row],[Peasants]]+TblPop[[#This Row],[Military]]</f>
        <v>10859</v>
      </c>
      <c r="G56" s="142">
        <f ca="1">TblPop[[#This Row],[Military]]/TblPop[[#This Row],[Total]]</f>
        <v>8.3893544525278571E-2</v>
      </c>
      <c r="H56" s="143">
        <f ca="1">MIN(TblPop[[#This Row],[Peasants]],TblPop[[#This Row],[Jobs]])</f>
        <v>9948</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10355</v>
      </c>
      <c r="K56" s="144"/>
      <c r="L56" s="62">
        <f ca="1">TblPop[[#This Row],[Draftees]]</f>
        <v>911</v>
      </c>
      <c r="M56" s="62">
        <f ca="1">TblMili[[#This Row],[Unit 1]]</f>
        <v>0</v>
      </c>
      <c r="N56" s="62">
        <f ca="1">TblMili[[#This Row],[Unit 2]]</f>
        <v>0</v>
      </c>
      <c r="O56" s="62">
        <f ca="1">TblMili[[#This Row],[Unit 3]]</f>
        <v>0</v>
      </c>
      <c r="P56" s="62">
        <f ca="1">TblMili[[#This Row],[Unit 4]]</f>
        <v>0</v>
      </c>
      <c r="Q56" s="62">
        <f ca="1">TblMili[[#This Row],[Spies]]</f>
        <v>0</v>
      </c>
      <c r="R56" s="62">
        <f ca="1">TblMili[[#This Row],[Wizards]]</f>
        <v>0</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10859</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10090</v>
      </c>
      <c r="W56" s="97">
        <f ca="1">MAX(-5%*TblPop[[#This Row],[Peasants]]-TblPop[[#This Row],[Draft Growth]],MIN(OFFSET(TblPop[[#This Row],[Net max]],1,0)-TblPop[[#This Row],[Peasants]]-TblPop[[#This Row],[Military]]-TblPop[[#This Row],[Draft Growth]],TblPop[[#This Row],[Modded Birth]]-TblPop[[#This Row],[Draft Growth]]))</f>
        <v>84</v>
      </c>
      <c r="X56" s="97">
        <f ca="1">ROUND(TblPop[[#This Row],[Raw Birth]]*(1+TblPop[[#This Row],[Growth]]),0)</f>
        <v>416</v>
      </c>
      <c r="Y56" s="97">
        <f ca="1">(TblPop[[#This Row],[Peasants]]-TblPop[[#This Row],[Draft Growth]])*raw_pop_growth</f>
        <v>295.46999999999997</v>
      </c>
      <c r="Z56" s="97">
        <f ca="1">IF(TblPop[[#This Row],[Military%]]&lt;TblMili[[#This Row],[Draftrate]],ROUND(TblPop[[#This Row],[Peasants]]*Constants!$B$55,0), 0)</f>
        <v>99</v>
      </c>
      <c r="AA56" s="145"/>
      <c r="AB56" s="146">
        <f ca="1">Overview!$I$16 + IF(Magic!AE56&gt;0,Constants!$F$78) + ROUND(6*(Construction!BM57+Construction!CK56)/IF(Explore!S57&gt;0,Construction!F57-20,Construction!F57),4) + tech_6_5_2*Techs!BJ56 + tech_8_4*Techs!BT56</f>
        <v>0.40749999999999997</v>
      </c>
      <c r="AC56" s="142">
        <f ca="1">(Overview!$I$15 + Imps!Z56+ tech_2_5*Techs!AB56 + tech_3_6*Techs!AM56 + tech_6_1*Techs!BJ56 + tech_6_5*Techs!BF56 + tech_7_3_2*Techs!BN56) * (1 + Production!O56/100*prestige_pop_multiplier) + Production!O56/100*prestige_pop_multiplier</f>
        <v>7.6249999999999998E-2</v>
      </c>
    </row>
    <row r="57" spans="1:29" x14ac:dyDescent="0.2">
      <c r="A57" s="140">
        <f>TblRezone[[#This Row],[Hour]]</f>
        <v>54</v>
      </c>
      <c r="B57" s="141">
        <f ca="1">TblImps[[#This Row],[Time]]</f>
        <v>45431.958333333205</v>
      </c>
      <c r="C57" s="97">
        <f ca="1">OFFSET(TblPop[[#This Row],[Peasants]],-1,0)+OFFSET(TblPop[[#This Row],[Net Peasant]],-1,0)+TblMili[[#This Row],[Release Draft]]</f>
        <v>10032</v>
      </c>
      <c r="D57" s="97">
        <f ca="1">TblMili[[#This Row],[Military]]</f>
        <v>1010</v>
      </c>
      <c r="E57" s="97">
        <f ca="1">TblMili[[#This Row],[Draftees]]</f>
        <v>1010</v>
      </c>
      <c r="F57" s="97">
        <f ca="1">TblPop[[#This Row],[Peasants]]+TblPop[[#This Row],[Military]]</f>
        <v>11042</v>
      </c>
      <c r="G57" s="142">
        <f ca="1">TblPop[[#This Row],[Military]]/TblPop[[#This Row],[Total]]</f>
        <v>9.146893678681399E-2</v>
      </c>
      <c r="H57" s="143">
        <f ca="1">MIN(TblPop[[#This Row],[Peasants]],TblPop[[#This Row],[Jobs]])</f>
        <v>10032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10535</v>
      </c>
      <c r="K57" s="144"/>
      <c r="L57" s="62">
        <f ca="1">TblPop[[#This Row],[Draftees]]</f>
        <v>1010</v>
      </c>
      <c r="M57" s="62">
        <f ca="1">TblMili[[#This Row],[Unit 1]]</f>
        <v>0</v>
      </c>
      <c r="N57" s="62">
        <f ca="1">TblMili[[#This Row],[Unit 2]]</f>
        <v>0</v>
      </c>
      <c r="O57" s="62">
        <f ca="1">TblMili[[#This Row],[Unit 3]]</f>
        <v>0</v>
      </c>
      <c r="P57" s="62">
        <f ca="1">TblMili[[#This Row],[Unit 4]]</f>
        <v>0</v>
      </c>
      <c r="Q57" s="62">
        <f ca="1">TblMili[[#This Row],[Spies]]</f>
        <v>0</v>
      </c>
      <c r="R57" s="62">
        <f ca="1">TblMili[[#This Row],[Wizards]]</f>
        <v>0</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11042</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57" s="97">
        <f ca="1">MAX(-5%*TblPop[[#This Row],[Peasants]]-TblPop[[#This Row],[Draft Growth]],MIN(OFFSET(TblPop[[#This Row],[Net max]],1,0)-TblPop[[#This Row],[Peasants]]-TblPop[[#This Row],[Military]]-TblPop[[#This Row],[Draft Growth]],TblPop[[#This Row],[Modded Birth]]-TblPop[[#This Row],[Draft Growth]]))</f>
        <v>73</v>
      </c>
      <c r="X57" s="97">
        <f ca="1">ROUND(TblPop[[#This Row],[Raw Birth]]*(1+TblPop[[#This Row],[Growth]]),0)</f>
        <v>418</v>
      </c>
      <c r="Y57" s="97">
        <f ca="1">(TblPop[[#This Row],[Peasants]]-TblPop[[#This Row],[Draft Growth]])*raw_pop_growth</f>
        <v>297.95999999999998</v>
      </c>
      <c r="Z57" s="97">
        <f ca="1">IF(TblPop[[#This Row],[Military%]]&lt;TblMili[[#This Row],[Draftrate]],ROUND(TblPop[[#This Row],[Peasants]]*Constants!$B$55,0), 0)</f>
        <v>100</v>
      </c>
      <c r="AA57" s="145"/>
      <c r="AB57" s="146">
        <f ca="1">Overview!$I$16 + IF(Magic!AE57&gt;0,Constants!$F$78) + ROUND(6*(Construction!BM58+Construction!CK57)/IF(Explore!S58&gt;0,Construction!F58-20,Construction!F58),4) + tech_6_5_2*Techs!BJ57 + tech_8_4*Techs!BT57</f>
        <v>0.40289999999999998</v>
      </c>
      <c r="AC57" s="142">
        <f ca="1">(Overview!$I$15 + Imps!Z57+ tech_2_5*Techs!AB57 + tech_3_6*Techs!AM57 + tech_6_1*Techs!BJ57 + tech_6_5*Techs!BF57 + tech_7_3_2*Techs!BN57) * (1 + Production!O57/100*prestige_pop_multiplier) + Production!O57/100*prestige_pop_multiplier</f>
        <v>7.6249999999999998E-2</v>
      </c>
    </row>
    <row r="58" spans="1:29" x14ac:dyDescent="0.2">
      <c r="A58" s="140">
        <f>TblRezone[[#This Row],[Hour]]</f>
        <v>55</v>
      </c>
      <c r="B58" s="141">
        <f ca="1">TblImps[[#This Row],[Time]]</f>
        <v>45431.999999999869</v>
      </c>
      <c r="C58" s="97">
        <f ca="1">OFFSET(TblPop[[#This Row],[Peasants]],-1,0)+OFFSET(TblPop[[#This Row],[Net Peasant]],-1,0)+TblMili[[#This Row],[Release Draft]]</f>
        <v>10105</v>
      </c>
      <c r="D58" s="97">
        <f ca="1">TblMili[[#This Row],[Military]]</f>
        <v>1110</v>
      </c>
      <c r="E58" s="97">
        <f ca="1">TblMili[[#This Row],[Draftees]]</f>
        <v>1110</v>
      </c>
      <c r="F58" s="97">
        <f ca="1">TblPop[[#This Row],[Peasants]]+TblPop[[#This Row],[Military]]</f>
        <v>11215</v>
      </c>
      <c r="G58" s="142">
        <f ca="1">TblPop[[#This Row],[Military]]/TblPop[[#This Row],[Total]]</f>
        <v>9.897458760588497E-2</v>
      </c>
      <c r="H58" s="143">
        <f ca="1">MIN(TblPop[[#This Row],[Peasants]],TblPop[[#This Row],[Jobs]])</f>
        <v>10105</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10735</v>
      </c>
      <c r="K58" s="144"/>
      <c r="L58" s="62">
        <f ca="1">TblPop[[#This Row],[Draftees]]</f>
        <v>1110</v>
      </c>
      <c r="M58" s="62">
        <f ca="1">TblMili[[#This Row],[Unit 1]]</f>
        <v>0</v>
      </c>
      <c r="N58" s="62">
        <f ca="1">TblMili[[#This Row],[Unit 2]]</f>
        <v>0</v>
      </c>
      <c r="O58" s="62">
        <f ca="1">TblMili[[#This Row],[Unit 3]]</f>
        <v>0</v>
      </c>
      <c r="P58" s="62">
        <f ca="1">TblMili[[#This Row],[Unit 4]]</f>
        <v>0</v>
      </c>
      <c r="Q58" s="62">
        <f ca="1">TblMili[[#This Row],[Spies]]</f>
        <v>0</v>
      </c>
      <c r="R58" s="62">
        <f ca="1">TblMili[[#This Row],[Wizards]]</f>
        <v>0</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11215</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10420</v>
      </c>
      <c r="W58" s="97">
        <f ca="1">MAX(-5%*TblPop[[#This Row],[Peasants]]-TblPop[[#This Row],[Draft Growth]],MIN(OFFSET(TblPop[[#This Row],[Net max]],1,0)-TblPop[[#This Row],[Peasants]]-TblPop[[#This Row],[Military]]-TblPop[[#This Row],[Draft Growth]],TblPop[[#This Row],[Modded Birth]]-TblPop[[#This Row],[Draft Growth]]))</f>
        <v>-15</v>
      </c>
      <c r="X58" s="97">
        <f ca="1">ROUND(TblPop[[#This Row],[Raw Birth]]*(1+TblPop[[#This Row],[Growth]]),0)</f>
        <v>421</v>
      </c>
      <c r="Y58" s="97">
        <f ca="1">(TblPop[[#This Row],[Peasants]]-TblPop[[#This Row],[Draft Growth]])*raw_pop_growth</f>
        <v>300.12</v>
      </c>
      <c r="Z58" s="97">
        <f ca="1">IF(TblPop[[#This Row],[Military%]]&lt;TblMili[[#This Row],[Draftrate]],ROUND(TblPop[[#This Row],[Peasants]]*Constants!$B$55,0), 0)</f>
        <v>101</v>
      </c>
      <c r="AA58" s="145"/>
      <c r="AB58" s="146">
        <f ca="1">Overview!$I$16 + IF(Magic!AE58&gt;0,Constants!$F$78) + ROUND(6*(Construction!BM59+Construction!CK58)/IF(Explore!S59&gt;0,Construction!F59-20,Construction!F59),4) + tech_6_5_2*Techs!BJ58 + tech_8_4*Techs!BT58</f>
        <v>0.40289999999999998</v>
      </c>
      <c r="AC58" s="142">
        <f ca="1">(Overview!$I$15 + Imps!Z58+ tech_2_5*Techs!AB58 + tech_3_6*Techs!AM58 + tech_6_1*Techs!BJ58 + tech_6_5*Techs!BF58 + tech_7_3_2*Techs!BN58) * (1 + Production!O58/100*prestige_pop_multiplier) + Production!O58/100*prestige_pop_multiplier</f>
        <v>7.6249999999999998E-2</v>
      </c>
    </row>
    <row r="59" spans="1:29" x14ac:dyDescent="0.2">
      <c r="A59" s="140">
        <f>TblRezone[[#This Row],[Hour]]</f>
        <v>56</v>
      </c>
      <c r="B59" s="141">
        <f ca="1">TblImps[[#This Row],[Time]]</f>
        <v>45432.041666666533</v>
      </c>
      <c r="C59" s="97">
        <f ca="1">OFFSET(TblPop[[#This Row],[Peasants]],-1,0)+OFFSET(TblPop[[#This Row],[Net Peasant]],-1,0)+TblMili[[#This Row],[Release Draft]]</f>
        <v>10090</v>
      </c>
      <c r="D59" s="97">
        <f ca="1">TblMili[[#This Row],[Military]]</f>
        <v>1211</v>
      </c>
      <c r="E59" s="97">
        <f ca="1">TblMili[[#This Row],[Draftees]]</f>
        <v>1211</v>
      </c>
      <c r="F59" s="97">
        <f ca="1">TblPop[[#This Row],[Peasants]]+TblPop[[#This Row],[Military]]</f>
        <v>11301</v>
      </c>
      <c r="G59" s="142">
        <f ca="1">TblPop[[#This Row],[Military]]/TblPop[[#This Row],[Total]]</f>
        <v>0.10715865852579418</v>
      </c>
      <c r="H59" s="143">
        <f ca="1">MIN(TblPop[[#This Row],[Peasants]],TblPop[[#This Row],[Jobs]])</f>
        <v>10090</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10930</v>
      </c>
      <c r="K59" s="144"/>
      <c r="L59" s="62">
        <f ca="1">TblPop[[#This Row],[Draftees]]</f>
        <v>1211</v>
      </c>
      <c r="M59" s="62">
        <f ca="1">TblMili[[#This Row],[Unit 1]]</f>
        <v>0</v>
      </c>
      <c r="N59" s="62">
        <f ca="1">TblMili[[#This Row],[Unit 2]]</f>
        <v>0</v>
      </c>
      <c r="O59" s="62">
        <f ca="1">TblMili[[#This Row],[Unit 3]]</f>
        <v>0</v>
      </c>
      <c r="P59" s="62">
        <f ca="1">TblMili[[#This Row],[Unit 4]]</f>
        <v>0</v>
      </c>
      <c r="Q59" s="62">
        <f ca="1">TblMili[[#This Row],[Spies]]</f>
        <v>0</v>
      </c>
      <c r="R59" s="62">
        <f ca="1">TblMili[[#This Row],[Wizards]]</f>
        <v>0</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11301</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59" s="97">
        <f ca="1">MAX(-5%*TblPop[[#This Row],[Peasants]]-TblPop[[#This Row],[Draft Growth]],MIN(OFFSET(TblPop[[#This Row],[Net max]],1,0)-TblPop[[#This Row],[Peasants]]-TblPop[[#This Row],[Military]]-TblPop[[#This Row],[Draft Growth]],TblPop[[#This Row],[Modded Birth]]-TblPop[[#This Row],[Draft Growth]]))</f>
        <v>-101</v>
      </c>
      <c r="X59" s="97">
        <f ca="1">ROUND(TblPop[[#This Row],[Raw Birth]]*(1+TblPop[[#This Row],[Growth]]),0)</f>
        <v>420</v>
      </c>
      <c r="Y59" s="97">
        <f ca="1">(TblPop[[#This Row],[Peasants]]-TblPop[[#This Row],[Draft Growth]])*raw_pop_growth</f>
        <v>299.67</v>
      </c>
      <c r="Z59" s="97">
        <f ca="1">IF(TblPop[[#This Row],[Military%]]&lt;TblMili[[#This Row],[Draftrate]],ROUND(TblPop[[#This Row],[Peasants]]*Constants!$B$55,0), 0)</f>
        <v>101</v>
      </c>
      <c r="AA59" s="145"/>
      <c r="AB59" s="146">
        <f ca="1">Overview!$I$16 + IF(Magic!AE59&gt;0,Constants!$F$78) + ROUND(6*(Construction!BM60+Construction!CK59)/IF(Explore!S60&gt;0,Construction!F60-20,Construction!F60),4) + tech_6_5_2*Techs!BJ59 + tech_8_4*Techs!BT59</f>
        <v>0.40289999999999998</v>
      </c>
      <c r="AC59" s="142">
        <f ca="1">(Overview!$I$15 + Imps!Z59+ tech_2_5*Techs!AB59 + tech_3_6*Techs!AM59 + tech_6_1*Techs!BJ59 + tech_6_5*Techs!BF59 + tech_7_3_2*Techs!BN59) * (1 + Production!O59/100*prestige_pop_multiplier) + Production!O59/100*prestige_pop_multiplier</f>
        <v>7.6249999999999998E-2</v>
      </c>
    </row>
    <row r="60" spans="1:29" x14ac:dyDescent="0.2">
      <c r="A60" s="140">
        <f>TblRezone[[#This Row],[Hour]]</f>
        <v>57</v>
      </c>
      <c r="B60" s="141">
        <f ca="1">TblImps[[#This Row],[Time]]</f>
        <v>45432.083333333198</v>
      </c>
      <c r="C60" s="97">
        <f ca="1">OFFSET(TblPop[[#This Row],[Peasants]],-1,0)+OFFSET(TblPop[[#This Row],[Net Peasant]],-1,0)+TblMili[[#This Row],[Release Draft]]</f>
        <v>9989</v>
      </c>
      <c r="D60" s="97">
        <f ca="1">TblMili[[#This Row],[Military]]</f>
        <v>1312</v>
      </c>
      <c r="E60" s="97">
        <f ca="1">TblMili[[#This Row],[Draftees]]</f>
        <v>1312</v>
      </c>
      <c r="F60" s="97">
        <f ca="1">TblPop[[#This Row],[Peasants]]+TblPop[[#This Row],[Military]]</f>
        <v>11301</v>
      </c>
      <c r="G60" s="142">
        <f ca="1">TblPop[[#This Row],[Military]]/TblPop[[#This Row],[Total]]</f>
        <v>0.11609592071498097</v>
      </c>
      <c r="H60" s="143">
        <f ca="1">MIN(TblPop[[#This Row],[Peasants]],TblPop[[#This Row],[Jobs]])</f>
        <v>9989</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11105</v>
      </c>
      <c r="K60" s="144"/>
      <c r="L60" s="62">
        <f ca="1">TblPop[[#This Row],[Draftees]]</f>
        <v>1312</v>
      </c>
      <c r="M60" s="62">
        <f ca="1">TblMili[[#This Row],[Unit 1]]</f>
        <v>0</v>
      </c>
      <c r="N60" s="62">
        <f ca="1">TblMili[[#This Row],[Unit 2]]</f>
        <v>0</v>
      </c>
      <c r="O60" s="62">
        <f ca="1">TblMili[[#This Row],[Unit 3]]</f>
        <v>0</v>
      </c>
      <c r="P60" s="62">
        <f ca="1">TblMili[[#This Row],[Unit 4]]</f>
        <v>0</v>
      </c>
      <c r="Q60" s="62">
        <f ca="1">TblMili[[#This Row],[Spies]]</f>
        <v>0</v>
      </c>
      <c r="R60" s="62">
        <f ca="1">TblMili[[#This Row],[Wizards]]</f>
        <v>0</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11301</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0" s="97">
        <f ca="1">MAX(-5%*TblPop[[#This Row],[Peasants]]-TblPop[[#This Row],[Draft Growth]],MIN(OFFSET(TblPop[[#This Row],[Net max]],1,0)-TblPop[[#This Row],[Peasants]]-TblPop[[#This Row],[Military]]-TblPop[[#This Row],[Draft Growth]],TblPop[[#This Row],[Modded Birth]]-TblPop[[#This Row],[Draft Growth]]))</f>
        <v>-100</v>
      </c>
      <c r="X60" s="97">
        <f ca="1">ROUND(TblPop[[#This Row],[Raw Birth]]*(1+TblPop[[#This Row],[Growth]]),0)</f>
        <v>416</v>
      </c>
      <c r="Y60" s="97">
        <f ca="1">(TblPop[[#This Row],[Peasants]]-TblPop[[#This Row],[Draft Growth]])*raw_pop_growth</f>
        <v>296.67</v>
      </c>
      <c r="Z60" s="97">
        <f ca="1">IF(TblPop[[#This Row],[Military%]]&lt;TblMili[[#This Row],[Draftrate]],ROUND(TblPop[[#This Row],[Peasants]]*Constants!$B$55,0), 0)</f>
        <v>100</v>
      </c>
      <c r="AA60" s="145"/>
      <c r="AB60" s="146">
        <f ca="1">Overview!$I$16 + IF(Magic!AE60&gt;0,Constants!$F$78) + ROUND(6*(Construction!BM61+Construction!CK60)/IF(Explore!S61&gt;0,Construction!F61-20,Construction!F61),4) + tech_6_5_2*Techs!BJ60 + tech_8_4*Techs!BT60</f>
        <v>0.40289999999999998</v>
      </c>
      <c r="AC60" s="142">
        <f ca="1">(Overview!$I$15 + Imps!Z60+ tech_2_5*Techs!AB60 + tech_3_6*Techs!AM60 + tech_6_1*Techs!BJ60 + tech_6_5*Techs!BF60 + tech_7_3_2*Techs!BN60) * (1 + Production!O60/100*prestige_pop_multiplier) + Production!O60/100*prestige_pop_multiplier</f>
        <v>7.6249999999999998E-2</v>
      </c>
    </row>
    <row r="61" spans="1:29" x14ac:dyDescent="0.2">
      <c r="A61" s="140">
        <f>TblRezone[[#This Row],[Hour]]</f>
        <v>58</v>
      </c>
      <c r="B61" s="141">
        <f ca="1">TblImps[[#This Row],[Time]]</f>
        <v>45432.124999999862</v>
      </c>
      <c r="C61" s="97">
        <f ca="1">OFFSET(TblPop[[#This Row],[Peasants]],-1,0)+OFFSET(TblPop[[#This Row],[Net Peasant]],-1,0)+TblMili[[#This Row],[Release Draft]]</f>
        <v>9889</v>
      </c>
      <c r="D61" s="97">
        <f ca="1">TblMili[[#This Row],[Military]]</f>
        <v>1412</v>
      </c>
      <c r="E61" s="97">
        <f ca="1">TblMili[[#This Row],[Draftees]]</f>
        <v>1412</v>
      </c>
      <c r="F61" s="97">
        <f ca="1">TblPop[[#This Row],[Peasants]]+TblPop[[#This Row],[Military]]</f>
        <v>11301</v>
      </c>
      <c r="G61" s="142">
        <f ca="1">TblPop[[#This Row],[Military]]/TblPop[[#This Row],[Total]]</f>
        <v>0.12494469515972038</v>
      </c>
      <c r="H61" s="143">
        <f ca="1">MIN(TblPop[[#This Row],[Peasants]],TblPop[[#This Row],[Jobs]])</f>
        <v>9889</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11300</v>
      </c>
      <c r="K61" s="144"/>
      <c r="L61" s="62">
        <f ca="1">TblPop[[#This Row],[Draftees]]</f>
        <v>1412</v>
      </c>
      <c r="M61" s="62">
        <f ca="1">TblMili[[#This Row],[Unit 1]]</f>
        <v>0</v>
      </c>
      <c r="N61" s="62">
        <f ca="1">TblMili[[#This Row],[Unit 2]]</f>
        <v>0</v>
      </c>
      <c r="O61" s="62">
        <f ca="1">TblMili[[#This Row],[Unit 3]]</f>
        <v>0</v>
      </c>
      <c r="P61" s="62">
        <f ca="1">TblMili[[#This Row],[Unit 4]]</f>
        <v>0</v>
      </c>
      <c r="Q61" s="62">
        <f ca="1">TblMili[[#This Row],[Spies]]</f>
        <v>0</v>
      </c>
      <c r="R61" s="62">
        <f ca="1">TblMili[[#This Row],[Wizards]]</f>
        <v>0</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11301</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1" s="97">
        <f ca="1">MAX(-5%*TblPop[[#This Row],[Peasants]]-TblPop[[#This Row],[Draft Growth]],MIN(OFFSET(TblPop[[#This Row],[Net max]],1,0)-TblPop[[#This Row],[Peasants]]-TblPop[[#This Row],[Military]]-TblPop[[#This Row],[Draft Growth]],TblPop[[#This Row],[Modded Birth]]-TblPop[[#This Row],[Draft Growth]]))</f>
        <v>-99</v>
      </c>
      <c r="X61" s="97">
        <f ca="1">ROUND(TblPop[[#This Row],[Raw Birth]]*(1+TblPop[[#This Row],[Growth]]),0)</f>
        <v>412</v>
      </c>
      <c r="Y61" s="97">
        <f ca="1">(TblPop[[#This Row],[Peasants]]-TblPop[[#This Row],[Draft Growth]])*raw_pop_growth</f>
        <v>293.7</v>
      </c>
      <c r="Z61" s="97">
        <f ca="1">IF(TblPop[[#This Row],[Military%]]&lt;TblMili[[#This Row],[Draftrate]],ROUND(TblPop[[#This Row],[Peasants]]*Constants!$B$55,0), 0)</f>
        <v>99</v>
      </c>
      <c r="AA61" s="145"/>
      <c r="AB61" s="146">
        <f ca="1">Overview!$I$16 + IF(Magic!AE61&gt;0,Constants!$F$78) + ROUND(6*(Construction!BM62+Construction!CK61)/IF(Explore!S62&gt;0,Construction!F62-20,Construction!F62),4) + tech_6_5_2*Techs!BJ61 + tech_8_4*Techs!BT61</f>
        <v>0.40289999999999998</v>
      </c>
      <c r="AC61" s="142">
        <f ca="1">(Overview!$I$15 + Imps!Z61+ tech_2_5*Techs!AB61 + tech_3_6*Techs!AM61 + tech_6_1*Techs!BJ61 + tech_6_5*Techs!BF61 + tech_7_3_2*Techs!BN61) * (1 + Production!O61/100*prestige_pop_multiplier) + Production!O61/100*prestige_pop_multiplier</f>
        <v>7.6249999999999998E-2</v>
      </c>
    </row>
    <row r="62" spans="1:29" x14ac:dyDescent="0.2">
      <c r="A62" s="140">
        <f>TblRezone[[#This Row],[Hour]]</f>
        <v>59</v>
      </c>
      <c r="B62" s="141">
        <f ca="1">TblImps[[#This Row],[Time]]</f>
        <v>45432.166666666526</v>
      </c>
      <c r="C62" s="97">
        <f ca="1">OFFSET(TblPop[[#This Row],[Peasants]],-1,0)+OFFSET(TblPop[[#This Row],[Net Peasant]],-1,0)+TblMili[[#This Row],[Release Draft]]</f>
        <v>9790</v>
      </c>
      <c r="D62" s="97">
        <f ca="1">TblMili[[#This Row],[Military]]</f>
        <v>1511</v>
      </c>
      <c r="E62" s="97">
        <f ca="1">TblMili[[#This Row],[Draftees]]</f>
        <v>1511</v>
      </c>
      <c r="F62" s="97">
        <f ca="1">TblPop[[#This Row],[Peasants]]+TblPop[[#This Row],[Military]]</f>
        <v>11301</v>
      </c>
      <c r="G62" s="142">
        <f ca="1">TblPop[[#This Row],[Military]]/TblPop[[#This Row],[Total]]</f>
        <v>0.1337049818600124</v>
      </c>
      <c r="H62" s="143">
        <f ca="1">MIN(TblPop[[#This Row],[Peasants]],TblPop[[#This Row],[Jobs]])</f>
        <v>9790</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11515</v>
      </c>
      <c r="K62" s="144"/>
      <c r="L62" s="62">
        <f ca="1">TblPop[[#This Row],[Draftees]]</f>
        <v>1511</v>
      </c>
      <c r="M62" s="62">
        <f ca="1">TblMili[[#This Row],[Unit 1]]</f>
        <v>0</v>
      </c>
      <c r="N62" s="62">
        <f ca="1">TblMili[[#This Row],[Unit 2]]</f>
        <v>0</v>
      </c>
      <c r="O62" s="62">
        <f ca="1">TblMili[[#This Row],[Unit 3]]</f>
        <v>0</v>
      </c>
      <c r="P62" s="62">
        <f ca="1">TblMili[[#This Row],[Unit 4]]</f>
        <v>0</v>
      </c>
      <c r="Q62" s="62">
        <f ca="1">TblMili[[#This Row],[Spies]]</f>
        <v>0</v>
      </c>
      <c r="R62" s="62">
        <f ca="1">TblMili[[#This Row],[Wizards]]</f>
        <v>0</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11301</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2" s="97">
        <f ca="1">MAX(-5%*TblPop[[#This Row],[Peasants]]-TblPop[[#This Row],[Draft Growth]],MIN(OFFSET(TblPop[[#This Row],[Net max]],1,0)-TblPop[[#This Row],[Peasants]]-TblPop[[#This Row],[Military]]-TblPop[[#This Row],[Draft Growth]],TblPop[[#This Row],[Modded Birth]]-TblPop[[#This Row],[Draft Growth]]))</f>
        <v>225</v>
      </c>
      <c r="X62" s="97">
        <f ca="1">ROUND(TblPop[[#This Row],[Raw Birth]]*(1+TblPop[[#This Row],[Growth]]),0)</f>
        <v>408</v>
      </c>
      <c r="Y62" s="97">
        <f ca="1">(TblPop[[#This Row],[Peasants]]-TblPop[[#This Row],[Draft Growth]])*raw_pop_growth</f>
        <v>290.76</v>
      </c>
      <c r="Z62" s="97">
        <f ca="1">IF(TblPop[[#This Row],[Military%]]&lt;TblMili[[#This Row],[Draftrate]],ROUND(TblPop[[#This Row],[Peasants]]*Constants!$B$55,0), 0)</f>
        <v>98</v>
      </c>
      <c r="AA62" s="145"/>
      <c r="AB62" s="146">
        <f ca="1">Overview!$I$16 + IF(Magic!AE62&gt;0,Constants!$F$78) + ROUND(6*(Construction!BM63+Construction!CK62)/IF(Explore!S63&gt;0,Construction!F63-20,Construction!F63),4) + tech_6_5_2*Techs!BJ62 + tech_8_4*Techs!BT62</f>
        <v>0.40289999999999998</v>
      </c>
      <c r="AC62" s="142">
        <f ca="1">(Overview!$I$15 + Imps!Z62+ tech_2_5*Techs!AB62 + tech_3_6*Techs!AM62 + tech_6_1*Techs!BJ62 + tech_6_5*Techs!BF62 + tech_7_3_2*Techs!BN62) * (1 + Production!O62/100*prestige_pop_multiplier) + Production!O62/100*prestige_pop_multiplier</f>
        <v>7.6249999999999998E-2</v>
      </c>
    </row>
    <row r="63" spans="1:29" x14ac:dyDescent="0.2">
      <c r="A63" s="140">
        <f>TblRezone[[#This Row],[Hour]]</f>
        <v>60</v>
      </c>
      <c r="B63" s="141">
        <f ca="1">TblImps[[#This Row],[Time]]</f>
        <v>45432.20833333319</v>
      </c>
      <c r="C63" s="97">
        <f ca="1">OFFSET(TblPop[[#This Row],[Peasants]],-1,0)+OFFSET(TblPop[[#This Row],[Net Peasant]],-1,0)+TblMili[[#This Row],[Release Draft]]</f>
        <v>10015</v>
      </c>
      <c r="D63" s="97">
        <f ca="1">TblMili[[#This Row],[Military]]</f>
        <v>1609</v>
      </c>
      <c r="E63" s="97">
        <f ca="1">TblMili[[#This Row],[Draftees]]</f>
        <v>1609</v>
      </c>
      <c r="F63" s="97">
        <f ca="1">TblPop[[#This Row],[Peasants]]+TblPop[[#This Row],[Military]]</f>
        <v>11624</v>
      </c>
      <c r="G63" s="142">
        <f ca="1">TblPop[[#This Row],[Military]]/TblPop[[#This Row],[Total]]</f>
        <v>0.13842050929112182</v>
      </c>
      <c r="H63" s="143">
        <f ca="1">MIN(TblPop[[#This Row],[Peasants]],TblPop[[#This Row],[Jobs]])</f>
        <v>10015</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11750</v>
      </c>
      <c r="K63" s="144"/>
      <c r="L63" s="62">
        <f ca="1">TblPop[[#This Row],[Draftees]]</f>
        <v>1609</v>
      </c>
      <c r="M63" s="62">
        <f ca="1">TblMili[[#This Row],[Unit 1]]</f>
        <v>0</v>
      </c>
      <c r="N63" s="62">
        <f ca="1">TblMili[[#This Row],[Unit 2]]</f>
        <v>0</v>
      </c>
      <c r="O63" s="62">
        <f ca="1">TblMili[[#This Row],[Unit 3]]</f>
        <v>0</v>
      </c>
      <c r="P63" s="62">
        <f ca="1">TblMili[[#This Row],[Unit 4]]</f>
        <v>0</v>
      </c>
      <c r="Q63" s="62">
        <f ca="1">TblMili[[#This Row],[Spies]]</f>
        <v>0</v>
      </c>
      <c r="R63" s="62">
        <f ca="1">TblMili[[#This Row],[Wizards]]</f>
        <v>0</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11624</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10800</v>
      </c>
      <c r="W63" s="97">
        <f ca="1">MAX(-5%*TblPop[[#This Row],[Peasants]]-TblPop[[#This Row],[Draft Growth]],MIN(OFFSET(TblPop[[#This Row],[Net max]],1,0)-TblPop[[#This Row],[Peasants]]-TblPop[[#This Row],[Military]]-TblPop[[#This Row],[Draft Growth]],TblPop[[#This Row],[Modded Birth]]-TblPop[[#This Row],[Draft Growth]]))</f>
        <v>222</v>
      </c>
      <c r="X63" s="97">
        <f ca="1">ROUND(TblPop[[#This Row],[Raw Birth]]*(1+TblPop[[#This Row],[Growth]]),0)</f>
        <v>417</v>
      </c>
      <c r="Y63" s="97">
        <f ca="1">(TblPop[[#This Row],[Peasants]]-TblPop[[#This Row],[Draft Growth]])*raw_pop_growth</f>
        <v>297.45</v>
      </c>
      <c r="Z63" s="97">
        <f ca="1">IF(TblPop[[#This Row],[Military%]]&lt;TblMili[[#This Row],[Draftrate]],ROUND(TblPop[[#This Row],[Peasants]]*Constants!$B$55,0), 0)</f>
        <v>100</v>
      </c>
      <c r="AA63" s="145"/>
      <c r="AB63" s="146">
        <f ca="1">Overview!$I$16 + IF(Magic!AE63&gt;0,Constants!$F$78) + ROUND(6*(Construction!BM64+Construction!CK63)/IF(Explore!S64&gt;0,Construction!F64-20,Construction!F64),4) + tech_6_5_2*Techs!BJ63 + tech_8_4*Techs!BT63</f>
        <v>0.40289999999999998</v>
      </c>
      <c r="AC63" s="142">
        <f ca="1">(Overview!$I$15 + Imps!Z63+ tech_2_5*Techs!AB63 + tech_3_6*Techs!AM63 + tech_6_1*Techs!BJ63 + tech_6_5*Techs!BF63 + tech_7_3_2*Techs!BN63) * (1 + Production!O63/100*prestige_pop_multiplier) + Production!O63/100*prestige_pop_multiplier</f>
        <v>7.6249999999999998E-2</v>
      </c>
    </row>
    <row r="64" spans="1:29" x14ac:dyDescent="0.2">
      <c r="A64" s="140">
        <f>TblRezone[[#This Row],[Hour]]</f>
        <v>61</v>
      </c>
      <c r="B64" s="141">
        <f ca="1">TblImps[[#This Row],[Time]]</f>
        <v>45432.249999999854</v>
      </c>
      <c r="C64" s="97">
        <f ca="1">OFFSET(TblPop[[#This Row],[Peasants]],-1,0)+OFFSET(TblPop[[#This Row],[Net Peasant]],-1,0)+TblMili[[#This Row],[Release Draft]]</f>
        <v>10237</v>
      </c>
      <c r="D64" s="97">
        <f ca="1">TblMili[[#This Row],[Military]]</f>
        <v>1709</v>
      </c>
      <c r="E64" s="97">
        <f ca="1">TblMili[[#This Row],[Draftees]]</f>
        <v>396</v>
      </c>
      <c r="F64" s="97">
        <f ca="1">TblPop[[#This Row],[Peasants]]+TblPop[[#This Row],[Military]]</f>
        <v>11946</v>
      </c>
      <c r="G64" s="142">
        <f ca="1">TblPop[[#This Row],[Military]]/TblPop[[#This Row],[Total]]</f>
        <v>0.14306043864054913</v>
      </c>
      <c r="H64" s="143">
        <f ca="1">MIN(TblPop[[#This Row],[Peasants]],TblPop[[#This Row],[Jobs]])</f>
        <v>10237</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11740</v>
      </c>
      <c r="K64" s="144"/>
      <c r="L64" s="62">
        <f ca="1">TblPop[[#This Row],[Draftees]]</f>
        <v>396</v>
      </c>
      <c r="M64" s="62">
        <f ca="1">TblMili[[#This Row],[Unit 1]]</f>
        <v>0</v>
      </c>
      <c r="N64" s="62">
        <f ca="1">TblMili[[#This Row],[Unit 2]]</f>
        <v>0</v>
      </c>
      <c r="O64" s="62">
        <f ca="1">TblMili[[#This Row],[Unit 3]]</f>
        <v>0</v>
      </c>
      <c r="P64" s="62">
        <f ca="1">TblMili[[#This Row],[Unit 4]]</f>
        <v>0</v>
      </c>
      <c r="Q64" s="62">
        <f ca="1">TblMili[[#This Row],[Spies]]</f>
        <v>0</v>
      </c>
      <c r="R64" s="62">
        <f ca="1">TblMili[[#This Row],[Wizards]]</f>
        <v>0</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11946</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4" s="97">
        <f ca="1">MAX(-5%*TblPop[[#This Row],[Peasants]]-TblPop[[#This Row],[Draft Growth]],MIN(OFFSET(TblPop[[#This Row],[Net max]],1,0)-TblPop[[#This Row],[Peasants]]-TblPop[[#This Row],[Military]]-TblPop[[#This Row],[Draft Growth]],TblPop[[#This Row],[Modded Birth]]-TblPop[[#This Row],[Draft Growth]]))</f>
        <v>-102</v>
      </c>
      <c r="X64" s="97">
        <f ca="1">ROUND(TblPop[[#This Row],[Raw Birth]]*(1+TblPop[[#This Row],[Growth]]),0)</f>
        <v>427</v>
      </c>
      <c r="Y64" s="97">
        <f ca="1">(TblPop[[#This Row],[Peasants]]-TblPop[[#This Row],[Draft Growth]])*raw_pop_growth</f>
        <v>304.05</v>
      </c>
      <c r="Z64" s="97">
        <f ca="1">IF(TblPop[[#This Row],[Military%]]&lt;TblMili[[#This Row],[Draftrate]],ROUND(TblPop[[#This Row],[Peasants]]*Constants!$B$55,0), 0)</f>
        <v>102</v>
      </c>
      <c r="AA64" s="145"/>
      <c r="AB64" s="146">
        <f ca="1">Overview!$I$16 + IF(Magic!AE64&gt;0,Constants!$F$78) + ROUND(6*(Construction!BM65+Construction!CK64)/IF(Explore!S65&gt;0,Construction!F65-20,Construction!F65),4) + tech_6_5_2*Techs!BJ64 + tech_8_4*Techs!BT64</f>
        <v>0.40289999999999998</v>
      </c>
      <c r="AC64" s="142">
        <f ca="1">(Overview!$I$15 + Imps!Z64+ tech_2_5*Techs!AB64 + tech_3_6*Techs!AM64 + tech_6_1*Techs!BJ64 + tech_6_5*Techs!BF64 + tech_7_3_2*Techs!BN64) * (1 + Production!O64/100*prestige_pop_multiplier) + Production!O64/100*prestige_pop_multiplier</f>
        <v>7.6249999999999998E-2</v>
      </c>
    </row>
    <row r="65" spans="1:29" x14ac:dyDescent="0.2">
      <c r="A65" s="140">
        <f>TblRezone[[#This Row],[Hour]]</f>
        <v>62</v>
      </c>
      <c r="B65" s="141">
        <f ca="1">TblImps[[#This Row],[Time]]</f>
        <v>45432.291666666519</v>
      </c>
      <c r="C65" s="97">
        <f ca="1">OFFSET(TblPop[[#This Row],[Peasants]],-1,0)+OFFSET(TblPop[[#This Row],[Net Peasant]],-1,0)+TblMili[[#This Row],[Release Draft]]</f>
        <v>10135</v>
      </c>
      <c r="D65" s="97">
        <f ca="1">TblMili[[#This Row],[Military]]</f>
        <v>1811</v>
      </c>
      <c r="E65" s="97">
        <f ca="1">TblMili[[#This Row],[Draftees]]</f>
        <v>498</v>
      </c>
      <c r="F65" s="97">
        <f ca="1">TblPop[[#This Row],[Peasants]]+TblPop[[#This Row],[Military]]</f>
        <v>11946</v>
      </c>
      <c r="G65" s="142">
        <f ca="1">TblPop[[#This Row],[Military]]/TblPop[[#This Row],[Total]]</f>
        <v>0.15159886154361293</v>
      </c>
      <c r="H65" s="143">
        <f ca="1">MIN(TblPop[[#This Row],[Peasants]],TblPop[[#This Row],[Jobs]])</f>
        <v>10135</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10975</v>
      </c>
      <c r="K65" s="144"/>
      <c r="L65" s="62">
        <f ca="1">TblPop[[#This Row],[Draftees]]</f>
        <v>498</v>
      </c>
      <c r="M65" s="62">
        <f ca="1">TblMili[[#This Row],[Unit 1]]</f>
        <v>0</v>
      </c>
      <c r="N65" s="62">
        <f ca="1">TblMili[[#This Row],[Unit 2]]</f>
        <v>0</v>
      </c>
      <c r="O65" s="62">
        <f ca="1">TblMili[[#This Row],[Unit 3]]</f>
        <v>0</v>
      </c>
      <c r="P65" s="62">
        <f ca="1">TblMili[[#This Row],[Unit 4]]</f>
        <v>0</v>
      </c>
      <c r="Q65" s="62">
        <f ca="1">TblMili[[#This Row],[Spies]]</f>
        <v>0</v>
      </c>
      <c r="R65" s="62">
        <f ca="1">TblMili[[#This Row],[Wizards]]</f>
        <v>0</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11946</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5" s="97">
        <f ca="1">MAX(-5%*TblPop[[#This Row],[Peasants]]-TblPop[[#This Row],[Draft Growth]],MIN(OFFSET(TblPop[[#This Row],[Net max]],1,0)-TblPop[[#This Row],[Peasants]]-TblPop[[#This Row],[Military]]-TblPop[[#This Row],[Draft Growth]],TblPop[[#This Row],[Modded Birth]]-TblPop[[#This Row],[Draft Growth]]))</f>
        <v>-101</v>
      </c>
      <c r="X65" s="97">
        <f ca="1">ROUND(TblPop[[#This Row],[Raw Birth]]*(1+TblPop[[#This Row],[Growth]]),0)</f>
        <v>422</v>
      </c>
      <c r="Y65" s="97">
        <f ca="1">(TblPop[[#This Row],[Peasants]]-TblPop[[#This Row],[Draft Growth]])*raw_pop_growth</f>
        <v>301.02</v>
      </c>
      <c r="Z65" s="97">
        <f ca="1">IF(TblPop[[#This Row],[Military%]]&lt;TblMili[[#This Row],[Draftrate]],ROUND(TblPop[[#This Row],[Peasants]]*Constants!$B$55,0), 0)</f>
        <v>101</v>
      </c>
      <c r="AA65" s="145"/>
      <c r="AB65" s="146">
        <f ca="1">Overview!$I$16 + IF(Magic!AE65&gt;0,Constants!$F$78) + ROUND(6*(Construction!BM66+Construction!CK65)/IF(Explore!S66&gt;0,Construction!F66-20,Construction!F66),4) + tech_6_5_2*Techs!BJ65 + tech_8_4*Techs!BT65</f>
        <v>0.40289999999999998</v>
      </c>
      <c r="AC65" s="142">
        <f ca="1">(Overview!$I$15 + Imps!Z65+ tech_2_5*Techs!AB65 + tech_3_6*Techs!AM65 + tech_6_1*Techs!BJ65 + tech_6_5*Techs!BF65 + tech_7_3_2*Techs!BN65) * (1 + Production!O65/100*prestige_pop_multiplier) + Production!O65/100*prestige_pop_multiplier</f>
        <v>7.6249999999999998E-2</v>
      </c>
    </row>
    <row r="66" spans="1:29" x14ac:dyDescent="0.2">
      <c r="A66" s="140">
        <f>TblRezone[[#This Row],[Hour]]</f>
        <v>63</v>
      </c>
      <c r="B66" s="141">
        <f ca="1">TblImps[[#This Row],[Time]]</f>
        <v>45432.333333333183</v>
      </c>
      <c r="C66" s="97">
        <f ca="1">OFFSET(TblPop[[#This Row],[Peasants]],-1,0)+OFFSET(TblPop[[#This Row],[Net Peasant]],-1,0)+TblMili[[#This Row],[Release Draft]]</f>
        <v>10034</v>
      </c>
      <c r="D66" s="97">
        <f ca="1">TblMili[[#This Row],[Military]]</f>
        <v>1912</v>
      </c>
      <c r="E66" s="97">
        <f ca="1">TblMili[[#This Row],[Draftees]]</f>
        <v>599</v>
      </c>
      <c r="F66" s="97">
        <f ca="1">TblPop[[#This Row],[Peasants]]+TblPop[[#This Row],[Military]]</f>
        <v>11946</v>
      </c>
      <c r="G66" s="142">
        <f ca="1">TblPop[[#This Row],[Military]]/TblPop[[#This Row],[Total]]</f>
        <v>0.1600535744182153</v>
      </c>
      <c r="H66" s="143">
        <f ca="1">MIN(TblPop[[#This Row],[Peasants]],TblPop[[#This Row],[Jobs]])</f>
        <v>10034</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11130</v>
      </c>
      <c r="K66" s="144"/>
      <c r="L66" s="62">
        <f ca="1">TblPop[[#This Row],[Draftees]]</f>
        <v>599</v>
      </c>
      <c r="M66" s="62">
        <f ca="1">TblMili[[#This Row],[Unit 1]]</f>
        <v>0</v>
      </c>
      <c r="N66" s="62">
        <f ca="1">TblMili[[#This Row],[Unit 2]]</f>
        <v>0</v>
      </c>
      <c r="O66" s="62">
        <f ca="1">TblMili[[#This Row],[Unit 3]]</f>
        <v>0</v>
      </c>
      <c r="P66" s="62">
        <f ca="1">TblMili[[#This Row],[Unit 4]]</f>
        <v>0</v>
      </c>
      <c r="Q66" s="62">
        <f ca="1">TblMili[[#This Row],[Spies]]</f>
        <v>0</v>
      </c>
      <c r="R66" s="62">
        <f ca="1">TblMili[[#This Row],[Wizards]]</f>
        <v>0</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11946</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6" s="97">
        <f ca="1">MAX(-5%*TblPop[[#This Row],[Peasants]]-TblPop[[#This Row],[Draft Growth]],MIN(OFFSET(TblPop[[#This Row],[Net max]],1,0)-TblPop[[#This Row],[Peasants]]-TblPop[[#This Row],[Military]]-TblPop[[#This Row],[Draft Growth]],TblPop[[#This Row],[Modded Birth]]-TblPop[[#This Row],[Draft Growth]]))</f>
        <v>119</v>
      </c>
      <c r="X66" s="97">
        <f ca="1">ROUND(TblPop[[#This Row],[Raw Birth]]*(1+TblPop[[#This Row],[Growth]]),0)</f>
        <v>418</v>
      </c>
      <c r="Y66" s="97">
        <f ca="1">(TblPop[[#This Row],[Peasants]]-TblPop[[#This Row],[Draft Growth]])*raw_pop_growth</f>
        <v>298.02</v>
      </c>
      <c r="Z66" s="97">
        <f ca="1">IF(TblPop[[#This Row],[Military%]]&lt;TblMili[[#This Row],[Draftrate]],ROUND(TblPop[[#This Row],[Peasants]]*Constants!$B$55,0), 0)</f>
        <v>100</v>
      </c>
      <c r="AA66" s="145"/>
      <c r="AB66" s="146">
        <f ca="1">Overview!$I$16 + IF(Magic!AE66&gt;0,Constants!$F$78) + ROUND(6*(Construction!BM67+Construction!CK66)/IF(Explore!S67&gt;0,Construction!F67-20,Construction!F67),4) + tech_6_5_2*Techs!BJ66 + tech_8_4*Techs!BT66</f>
        <v>0.40289999999999998</v>
      </c>
      <c r="AC66" s="142">
        <f ca="1">(Overview!$I$15 + Imps!Z66+ tech_2_5*Techs!AB66 + tech_3_6*Techs!AM66 + tech_6_1*Techs!BJ66 + tech_6_5*Techs!BF66 + tech_7_3_2*Techs!BN66) * (1 + Production!O66/100*prestige_pop_multiplier) + Production!O66/100*prestige_pop_multiplier</f>
        <v>7.6249999999999998E-2</v>
      </c>
    </row>
    <row r="67" spans="1:29" x14ac:dyDescent="0.2">
      <c r="A67" s="140">
        <f>TblRezone[[#This Row],[Hour]]</f>
        <v>64</v>
      </c>
      <c r="B67" s="141">
        <f ca="1">TblImps[[#This Row],[Time]]</f>
        <v>45432.374999999847</v>
      </c>
      <c r="C67" s="97">
        <f ca="1">OFFSET(TblPop[[#This Row],[Peasants]],-1,0)+OFFSET(TblPop[[#This Row],[Net Peasant]],-1,0)+TblMili[[#This Row],[Release Draft]]</f>
        <v>10153</v>
      </c>
      <c r="D67" s="97">
        <f ca="1">TblMili[[#This Row],[Military]]</f>
        <v>2012</v>
      </c>
      <c r="E67" s="97">
        <f ca="1">TblMili[[#This Row],[Draftees]]</f>
        <v>0</v>
      </c>
      <c r="F67" s="97">
        <f ca="1">TblPop[[#This Row],[Peasants]]+TblPop[[#This Row],[Military]]</f>
        <v>12165</v>
      </c>
      <c r="G67" s="142">
        <f ca="1">TblPop[[#This Row],[Military]]/TblPop[[#This Row],[Total]]</f>
        <v>0.16539251952322237</v>
      </c>
      <c r="H67" s="143">
        <f ca="1">MIN(TblPop[[#This Row],[Peasants]],TblPop[[#This Row],[Jobs]])</f>
        <v>10153</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11060</v>
      </c>
      <c r="K67" s="144"/>
      <c r="L67" s="62">
        <f ca="1">TblPop[[#This Row],[Draftees]]</f>
        <v>0</v>
      </c>
      <c r="M67" s="62">
        <f ca="1">TblMili[[#This Row],[Unit 1]]</f>
        <v>0</v>
      </c>
      <c r="N67" s="62">
        <f ca="1">TblMili[[#This Row],[Unit 2]]</f>
        <v>0</v>
      </c>
      <c r="O67" s="62">
        <f ca="1">TblMili[[#This Row],[Unit 3]]</f>
        <v>0</v>
      </c>
      <c r="P67" s="62">
        <f ca="1">TblMili[[#This Row],[Unit 4]]</f>
        <v>0</v>
      </c>
      <c r="Q67" s="62">
        <f ca="1">TblMili[[#This Row],[Spies]]</f>
        <v>0</v>
      </c>
      <c r="R67" s="62">
        <f ca="1">TblMili[[#This Row],[Wizards]]</f>
        <v>0</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12165</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10935</v>
      </c>
      <c r="W67" s="97">
        <f ca="1">MAX(-5%*TblPop[[#This Row],[Peasants]]-TblPop[[#This Row],[Draft Growth]],MIN(OFFSET(TblPop[[#This Row],[Net max]],1,0)-TblPop[[#This Row],[Peasants]]-TblPop[[#This Row],[Military]]-TblPop[[#This Row],[Draft Growth]],TblPop[[#This Row],[Modded Birth]]-TblPop[[#This Row],[Draft Growth]]))</f>
        <v>116</v>
      </c>
      <c r="X67" s="97">
        <f ca="1">ROUND(TblPop[[#This Row],[Raw Birth]]*(1+TblPop[[#This Row],[Growth]]),0)</f>
        <v>423</v>
      </c>
      <c r="Y67" s="97">
        <f ca="1">(TblPop[[#This Row],[Peasants]]-TblPop[[#This Row],[Draft Growth]])*raw_pop_growth</f>
        <v>301.52999999999997</v>
      </c>
      <c r="Z67" s="97">
        <f ca="1">IF(TblPop[[#This Row],[Military%]]&lt;TblMili[[#This Row],[Draftrate]],ROUND(TblPop[[#This Row],[Peasants]]*Constants!$B$55,0), 0)</f>
        <v>102</v>
      </c>
      <c r="AA67" s="145"/>
      <c r="AB67" s="146">
        <f ca="1">Overview!$I$16 + IF(Magic!AE67&gt;0,Constants!$F$78) + ROUND(6*(Construction!BM68+Construction!CK67)/IF(Explore!S68&gt;0,Construction!F68-20,Construction!F68),4) + tech_6_5_2*Techs!BJ67 + tech_8_4*Techs!BT67</f>
        <v>0.40289999999999998</v>
      </c>
      <c r="AC67" s="142">
        <f ca="1">(Overview!$I$15 + Imps!Z67+ tech_2_5*Techs!AB67 + tech_3_6*Techs!AM67 + tech_6_1*Techs!BJ67 + tech_6_5*Techs!BF67 + tech_7_3_2*Techs!BN67) * (1 + Production!O67/100*prestige_pop_multiplier) + Production!O67/100*prestige_pop_multiplier</f>
        <v>7.6249999999999998E-2</v>
      </c>
    </row>
    <row r="68" spans="1:29" x14ac:dyDescent="0.2">
      <c r="A68" s="140">
        <f>TblRezone[[#This Row],[Hour]]</f>
        <v>65</v>
      </c>
      <c r="B68" s="141">
        <f ca="1">TblImps[[#This Row],[Time]]</f>
        <v>45432.416666666511</v>
      </c>
      <c r="C68" s="97">
        <f ca="1">OFFSET(TblPop[[#This Row],[Peasants]],-1,0)+OFFSET(TblPop[[#This Row],[Net Peasant]],-1,0)+TblMili[[#This Row],[Release Draft]]</f>
        <v>10269</v>
      </c>
      <c r="D68" s="97">
        <f ca="1">TblMili[[#This Row],[Military]]</f>
        <v>2114</v>
      </c>
      <c r="E68" s="97">
        <f ca="1">TblMili[[#This Row],[Draftees]]</f>
        <v>3</v>
      </c>
      <c r="F68" s="97">
        <f ca="1">TblPop[[#This Row],[Peasants]]+TblPop[[#This Row],[Military]]</f>
        <v>12383</v>
      </c>
      <c r="G68" s="142">
        <f ca="1">TblPop[[#This Row],[Military]]/TblPop[[#This Row],[Total]]</f>
        <v>0.17071791972866027</v>
      </c>
      <c r="H68" s="143">
        <f ca="1">MIN(TblPop[[#This Row],[Peasants]],TblPop[[#This Row],[Jobs]])</f>
        <v>10269</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11020</v>
      </c>
      <c r="K68" s="144"/>
      <c r="L68" s="62">
        <f ca="1">TblPop[[#This Row],[Draftees]]</f>
        <v>3</v>
      </c>
      <c r="M68" s="62">
        <f ca="1">TblMili[[#This Row],[Unit 1]]</f>
        <v>0</v>
      </c>
      <c r="N68" s="62">
        <f ca="1">TblMili[[#This Row],[Unit 2]]</f>
        <v>0</v>
      </c>
      <c r="O68" s="62">
        <f ca="1">TblMili[[#This Row],[Unit 3]]</f>
        <v>0</v>
      </c>
      <c r="P68" s="62">
        <f ca="1">TblMili[[#This Row],[Unit 4]]</f>
        <v>0</v>
      </c>
      <c r="Q68" s="62">
        <f ca="1">TblMili[[#This Row],[Spies]]</f>
        <v>0</v>
      </c>
      <c r="R68" s="62">
        <f ca="1">TblMili[[#This Row],[Wizards]]</f>
        <v>0</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12383</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10770</v>
      </c>
      <c r="W68" s="97">
        <f ca="1">MAX(-5%*TblPop[[#This Row],[Peasants]]-TblPop[[#This Row],[Draft Growth]],MIN(OFFSET(TblPop[[#This Row],[Net max]],1,0)-TblPop[[#This Row],[Peasants]]-TblPop[[#This Row],[Military]]-TblPop[[#This Row],[Draft Growth]],TblPop[[#This Row],[Modded Birth]]-TblPop[[#This Row],[Draft Growth]]))</f>
        <v>135</v>
      </c>
      <c r="X68" s="97">
        <f ca="1">ROUND(TblPop[[#This Row],[Raw Birth]]*(1+TblPop[[#This Row],[Growth]]),0)</f>
        <v>428</v>
      </c>
      <c r="Y68" s="97">
        <f ca="1">(TblPop[[#This Row],[Peasants]]-TblPop[[#This Row],[Draft Growth]])*raw_pop_growth</f>
        <v>304.97999999999996</v>
      </c>
      <c r="Z68" s="97">
        <f ca="1">IF(TblPop[[#This Row],[Military%]]&lt;TblMili[[#This Row],[Draftrate]],ROUND(TblPop[[#This Row],[Peasants]]*Constants!$B$55,0), 0)</f>
        <v>103</v>
      </c>
      <c r="AA68" s="145"/>
      <c r="AB68" s="146">
        <f ca="1">Overview!$I$16 + IF(Magic!AE68&gt;0,Constants!$F$78) + ROUND(6*(Construction!BM69+Construction!CK68)/IF(Explore!S69&gt;0,Construction!F69-20,Construction!F69),4) + tech_6_5_2*Techs!BJ68 + tech_8_4*Techs!BT68</f>
        <v>0.40289999999999998</v>
      </c>
      <c r="AC68" s="142">
        <f ca="1">(Overview!$I$15 + Imps!Z68+ tech_2_5*Techs!AB68 + tech_3_6*Techs!AM68 + tech_6_1*Techs!BJ68 + tech_6_5*Techs!BF68 + tech_7_3_2*Techs!BN68) * (1 + Production!O68/100*prestige_pop_multiplier) + Production!O68/100*prestige_pop_multiplier</f>
        <v>7.6249999999999998E-2</v>
      </c>
    </row>
    <row r="69" spans="1:29" x14ac:dyDescent="0.2">
      <c r="A69" s="140">
        <f>TblRezone[[#This Row],[Hour]]</f>
        <v>66</v>
      </c>
      <c r="B69" s="141">
        <f ca="1">TblImps[[#This Row],[Time]]</f>
        <v>45432.458333333176</v>
      </c>
      <c r="C69" s="97">
        <f ca="1">OFFSET(TblPop[[#This Row],[Peasants]],-1,0)+OFFSET(TblPop[[#This Row],[Net Peasant]],-1,0)+TblMili[[#This Row],[Release Draft]]</f>
        <v>10404</v>
      </c>
      <c r="D69" s="97">
        <f ca="1">TblMili[[#This Row],[Military]]</f>
        <v>2217</v>
      </c>
      <c r="E69" s="97">
        <f ca="1">TblMili[[#This Row],[Draftees]]</f>
        <v>6</v>
      </c>
      <c r="F69" s="97">
        <f ca="1">TblPop[[#This Row],[Peasants]]+TblPop[[#This Row],[Military]]</f>
        <v>12621</v>
      </c>
      <c r="G69" s="142">
        <f ca="1">TblPop[[#This Row],[Military]]/TblPop[[#This Row],[Total]]</f>
        <v>0.17565961492750179</v>
      </c>
      <c r="H69" s="143">
        <f ca="1">MIN(TblPop[[#This Row],[Peasants]],TblPop[[#This Row],[Jobs]])</f>
        <v>10404</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11020</v>
      </c>
      <c r="K69" s="144"/>
      <c r="L69" s="62">
        <f ca="1">TblPop[[#This Row],[Draftees]]</f>
        <v>6</v>
      </c>
      <c r="M69" s="62">
        <f ca="1">TblMili[[#This Row],[Unit 1]]</f>
        <v>0</v>
      </c>
      <c r="N69" s="62">
        <f ca="1">TblMili[[#This Row],[Unit 2]]</f>
        <v>0</v>
      </c>
      <c r="O69" s="62">
        <f ca="1">TblMili[[#This Row],[Unit 3]]</f>
        <v>0</v>
      </c>
      <c r="P69" s="62">
        <f ca="1">TblMili[[#This Row],[Unit 4]]</f>
        <v>0</v>
      </c>
      <c r="Q69" s="62">
        <f ca="1">TblMili[[#This Row],[Spies]]</f>
        <v>0</v>
      </c>
      <c r="R69" s="62">
        <f ca="1">TblMili[[#This Row],[Wizards]]</f>
        <v>0</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12621</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10590</v>
      </c>
      <c r="W69" s="97">
        <f ca="1">MAX(-5%*TblPop[[#This Row],[Peasants]]-TblPop[[#This Row],[Draft Growth]],MIN(OFFSET(TblPop[[#This Row],[Net max]],1,0)-TblPop[[#This Row],[Peasants]]-TblPop[[#This Row],[Military]]-TblPop[[#This Row],[Draft Growth]],TblPop[[#This Row],[Modded Birth]]-TblPop[[#This Row],[Draft Growth]]))</f>
        <v>-24</v>
      </c>
      <c r="X69" s="97">
        <f ca="1">ROUND(TblPop[[#This Row],[Raw Birth]]*(1+TblPop[[#This Row],[Growth]]),0)</f>
        <v>433</v>
      </c>
      <c r="Y69" s="97">
        <f ca="1">(TblPop[[#This Row],[Peasants]]-TblPop[[#This Row],[Draft Growth]])*raw_pop_growth</f>
        <v>309</v>
      </c>
      <c r="Z69" s="97">
        <f ca="1">IF(TblPop[[#This Row],[Military%]]&lt;TblMili[[#This Row],[Draftrate]],ROUND(TblPop[[#This Row],[Peasants]]*Constants!$B$55,0), 0)</f>
        <v>104</v>
      </c>
      <c r="AA69" s="145"/>
      <c r="AB69" s="146">
        <f ca="1">Overview!$I$16 + IF(Magic!AE69&gt;0,Constants!$F$78) + ROUND(6*(Construction!BM70+Construction!CK69)/IF(Explore!S70&gt;0,Construction!F70-20,Construction!F70),4) + tech_6_5_2*Techs!BJ69 + tech_8_4*Techs!BT69</f>
        <v>0.40289999999999998</v>
      </c>
      <c r="AC69" s="142">
        <f ca="1">(Overview!$I$15 + Imps!Z69+ tech_2_5*Techs!AB69 + tech_3_6*Techs!AM69 + tech_6_1*Techs!BJ69 + tech_6_5*Techs!BF69 + tech_7_3_2*Techs!BN69) * (1 + Production!O69/100*prestige_pop_multiplier) + Production!O69/100*prestige_pop_multiplier</f>
        <v>7.6249999999999998E-2</v>
      </c>
    </row>
    <row r="70" spans="1:29" x14ac:dyDescent="0.2">
      <c r="A70" s="140">
        <f>TblRezone[[#This Row],[Hour]]</f>
        <v>67</v>
      </c>
      <c r="B70" s="141">
        <f ca="1">TblImps[[#This Row],[Time]]</f>
        <v>45432.49999999984</v>
      </c>
      <c r="C70" s="97">
        <f ca="1">OFFSET(TblPop[[#This Row],[Peasants]],-1,0)+OFFSET(TblPop[[#This Row],[Net Peasant]],-1,0)+TblMili[[#This Row],[Release Draft]]</f>
        <v>10380</v>
      </c>
      <c r="D70" s="97">
        <f ca="1">TblMili[[#This Row],[Military]]</f>
        <v>2321</v>
      </c>
      <c r="E70" s="97">
        <f ca="1">TblMili[[#This Row],[Draftees]]</f>
        <v>0</v>
      </c>
      <c r="F70" s="97">
        <f ca="1">TblPop[[#This Row],[Peasants]]+TblPop[[#This Row],[Military]]</f>
        <v>12701</v>
      </c>
      <c r="G70" s="142">
        <f ca="1">TblPop[[#This Row],[Military]]/TblPop[[#This Row],[Total]]</f>
        <v>0.18274151641603023</v>
      </c>
      <c r="H70" s="143">
        <f ca="1">MIN(TblPop[[#This Row],[Peasants]],TblPop[[#This Row],[Jobs]])</f>
        <v>10380</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11100</v>
      </c>
      <c r="K70" s="144"/>
      <c r="L70" s="62">
        <f ca="1">TblPop[[#This Row],[Draftees]]</f>
        <v>0</v>
      </c>
      <c r="M70" s="62">
        <f ca="1">TblMili[[#This Row],[Unit 1]]</f>
        <v>0</v>
      </c>
      <c r="N70" s="62">
        <f ca="1">TblMili[[#This Row],[Unit 2]]</f>
        <v>0</v>
      </c>
      <c r="O70" s="62">
        <f ca="1">TblMili[[#This Row],[Unit 3]]</f>
        <v>0</v>
      </c>
      <c r="P70" s="62">
        <f ca="1">TblMili[[#This Row],[Unit 4]]</f>
        <v>0</v>
      </c>
      <c r="Q70" s="62">
        <f ca="1">TblMili[[#This Row],[Spies]]</f>
        <v>0</v>
      </c>
      <c r="R70" s="62">
        <f ca="1">TblMili[[#This Row],[Wizards]]</f>
        <v>0</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12701</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0" s="97">
        <f ca="1">MAX(-5%*TblPop[[#This Row],[Peasants]]-TblPop[[#This Row],[Draft Growth]],MIN(OFFSET(TblPop[[#This Row],[Net max]],1,0)-TblPop[[#This Row],[Peasants]]-TblPop[[#This Row],[Military]]-TblPop[[#This Row],[Draft Growth]],TblPop[[#This Row],[Modded Birth]]-TblPop[[#This Row],[Draft Growth]]))</f>
        <v>-104</v>
      </c>
      <c r="X70" s="97">
        <f ca="1">ROUND(TblPop[[#This Row],[Raw Birth]]*(1+TblPop[[#This Row],[Growth]]),0)</f>
        <v>432</v>
      </c>
      <c r="Y70" s="97">
        <f ca="1">(TblPop[[#This Row],[Peasants]]-TblPop[[#This Row],[Draft Growth]])*raw_pop_growth</f>
        <v>308.27999999999997</v>
      </c>
      <c r="Z70" s="97">
        <f ca="1">IF(TblPop[[#This Row],[Military%]]&lt;TblMili[[#This Row],[Draftrate]],ROUND(TblPop[[#This Row],[Peasants]]*Constants!$B$55,0), 0)</f>
        <v>104</v>
      </c>
      <c r="AA70" s="145"/>
      <c r="AB70" s="146">
        <f ca="1">Overview!$I$16 + IF(Magic!AE70&gt;0,Constants!$F$78) + ROUND(6*(Construction!BM71+Construction!CK70)/IF(Explore!S71&gt;0,Construction!F71-20,Construction!F71),4) + tech_6_5_2*Techs!BJ70 + tech_8_4*Techs!BT70</f>
        <v>0.40289999999999998</v>
      </c>
      <c r="AC70" s="142">
        <f ca="1">(Overview!$I$15 + Imps!Z70+ tech_2_5*Techs!AB70 + tech_3_6*Techs!AM70 + tech_6_1*Techs!BJ70 + tech_6_5*Techs!BF70 + tech_7_3_2*Techs!BN70) * (1 + Production!O70/100*prestige_pop_multiplier) + Production!O70/100*prestige_pop_multiplier</f>
        <v>7.6249999999999998E-2</v>
      </c>
    </row>
    <row r="71" spans="1:29" x14ac:dyDescent="0.2">
      <c r="A71" s="140">
        <f>TblRezone[[#This Row],[Hour]]</f>
        <v>68</v>
      </c>
      <c r="B71" s="141">
        <f ca="1">TblImps[[#This Row],[Time]]</f>
        <v>45432.541666666504</v>
      </c>
      <c r="C71" s="97">
        <f ca="1">OFFSET(TblPop[[#This Row],[Peasants]],-1,0)+OFFSET(TblPop[[#This Row],[Net Peasant]],-1,0)+TblMili[[#This Row],[Release Draft]]</f>
        <v>10276</v>
      </c>
      <c r="D71" s="97">
        <f ca="1">TblMili[[#This Row],[Military]]</f>
        <v>2425</v>
      </c>
      <c r="E71" s="97">
        <f ca="1">TblMili[[#This Row],[Draftees]]</f>
        <v>0</v>
      </c>
      <c r="F71" s="97">
        <f ca="1">TblPop[[#This Row],[Peasants]]+TblPop[[#This Row],[Military]]</f>
        <v>12701</v>
      </c>
      <c r="G71" s="142">
        <f ca="1">TblPop[[#This Row],[Military]]/TblPop[[#This Row],[Total]]</f>
        <v>0.19092984804346114</v>
      </c>
      <c r="H71" s="143">
        <f ca="1">MIN(TblPop[[#This Row],[Peasants]],TblPop[[#This Row],[Jobs]])</f>
        <v>10276</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11120</v>
      </c>
      <c r="K71" s="144"/>
      <c r="L71" s="62">
        <f ca="1">TblPop[[#This Row],[Draftees]]</f>
        <v>0</v>
      </c>
      <c r="M71" s="62">
        <f ca="1">TblMili[[#This Row],[Unit 1]]</f>
        <v>0</v>
      </c>
      <c r="N71" s="62">
        <f ca="1">TblMili[[#This Row],[Unit 2]]</f>
        <v>0</v>
      </c>
      <c r="O71" s="62">
        <f ca="1">TblMili[[#This Row],[Unit 3]]</f>
        <v>0</v>
      </c>
      <c r="P71" s="62">
        <f ca="1">TblMili[[#This Row],[Unit 4]]</f>
        <v>0</v>
      </c>
      <c r="Q71" s="62">
        <f ca="1">TblMili[[#This Row],[Spies]]</f>
        <v>0</v>
      </c>
      <c r="R71" s="62">
        <f ca="1">TblMili[[#This Row],[Wizards]]</f>
        <v>0</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12701</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1" s="97">
        <f ca="1">MAX(-5%*TblPop[[#This Row],[Peasants]]-TblPop[[#This Row],[Draft Growth]],MIN(OFFSET(TblPop[[#This Row],[Net max]],1,0)-TblPop[[#This Row],[Peasants]]-TblPop[[#This Row],[Military]]-TblPop[[#This Row],[Draft Growth]],TblPop[[#This Row],[Modded Birth]]-TblPop[[#This Row],[Draft Growth]]))</f>
        <v>-103</v>
      </c>
      <c r="X71" s="97">
        <f ca="1">ROUND(TblPop[[#This Row],[Raw Birth]]*(1+TblPop[[#This Row],[Growth]]),0)</f>
        <v>428</v>
      </c>
      <c r="Y71" s="97">
        <f ca="1">(TblPop[[#This Row],[Peasants]]-TblPop[[#This Row],[Draft Growth]])*raw_pop_growth</f>
        <v>305.19</v>
      </c>
      <c r="Z71" s="97">
        <f ca="1">IF(TblPop[[#This Row],[Military%]]&lt;TblMili[[#This Row],[Draftrate]],ROUND(TblPop[[#This Row],[Peasants]]*Constants!$B$55,0), 0)</f>
        <v>103</v>
      </c>
      <c r="AA71" s="145"/>
      <c r="AB71" s="146">
        <f ca="1">Overview!$I$16 + IF(Magic!AE71&gt;0,Constants!$F$78) + ROUND(6*(Construction!BM72+Construction!CK71)/IF(Explore!S72&gt;0,Construction!F72-20,Construction!F72),4) + tech_6_5_2*Techs!BJ71 + tech_8_4*Techs!BT71</f>
        <v>0.40289999999999998</v>
      </c>
      <c r="AC71" s="142">
        <f ca="1">(Overview!$I$15 + Imps!Z71+ tech_2_5*Techs!AB71 + tech_3_6*Techs!AM71 + tech_6_1*Techs!BJ71 + tech_6_5*Techs!BF71 + tech_7_3_2*Techs!BN71) * (1 + Production!O71/100*prestige_pop_multiplier) + Production!O71/100*prestige_pop_multiplier</f>
        <v>7.6249999999999998E-2</v>
      </c>
    </row>
    <row r="72" spans="1:29" x14ac:dyDescent="0.2">
      <c r="A72" s="140">
        <f>TblRezone[[#This Row],[Hour]]</f>
        <v>69</v>
      </c>
      <c r="B72" s="141">
        <f ca="1">TblImps[[#This Row],[Time]]</f>
        <v>45432.583333333168</v>
      </c>
      <c r="C72" s="97">
        <f ca="1">OFFSET(TblPop[[#This Row],[Peasants]],-1,0)+OFFSET(TblPop[[#This Row],[Net Peasant]],-1,0)+TblMili[[#This Row],[Release Draft]]</f>
        <v>10173</v>
      </c>
      <c r="D72" s="97">
        <f ca="1">TblMili[[#This Row],[Military]]</f>
        <v>2528</v>
      </c>
      <c r="E72" s="97">
        <f ca="1">TblMili[[#This Row],[Draftees]]</f>
        <v>0</v>
      </c>
      <c r="F72" s="97">
        <f ca="1">TblPop[[#This Row],[Peasants]]+TblPop[[#This Row],[Military]]</f>
        <v>12701</v>
      </c>
      <c r="G72" s="142">
        <f ca="1">TblPop[[#This Row],[Military]]/TblPop[[#This Row],[Total]]</f>
        <v>0.199039445712936</v>
      </c>
      <c r="H72" s="143">
        <f ca="1">MIN(TblPop[[#This Row],[Peasants]],TblPop[[#This Row],[Jobs]])</f>
        <v>10173</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11140</v>
      </c>
      <c r="K72" s="144"/>
      <c r="L72" s="62">
        <f ca="1">TblPop[[#This Row],[Draftees]]</f>
        <v>0</v>
      </c>
      <c r="M72" s="62">
        <f ca="1">TblMili[[#This Row],[Unit 1]]</f>
        <v>0</v>
      </c>
      <c r="N72" s="62">
        <f ca="1">TblMili[[#This Row],[Unit 2]]</f>
        <v>0</v>
      </c>
      <c r="O72" s="62">
        <f ca="1">TblMili[[#This Row],[Unit 3]]</f>
        <v>0</v>
      </c>
      <c r="P72" s="62">
        <f ca="1">TblMili[[#This Row],[Unit 4]]</f>
        <v>0</v>
      </c>
      <c r="Q72" s="62">
        <f ca="1">TblMili[[#This Row],[Spies]]</f>
        <v>0</v>
      </c>
      <c r="R72" s="62">
        <f ca="1">TblMili[[#This Row],[Wizards]]</f>
        <v>0</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12701</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2" s="97">
        <f ca="1">MAX(-5%*TblPop[[#This Row],[Peasants]]-TblPop[[#This Row],[Draft Growth]],MIN(OFFSET(TblPop[[#This Row],[Net max]],1,0)-TblPop[[#This Row],[Peasants]]-TblPop[[#This Row],[Military]]-TblPop[[#This Row],[Draft Growth]],TblPop[[#This Row],[Modded Birth]]-TblPop[[#This Row],[Draft Growth]]))</f>
        <v>-102</v>
      </c>
      <c r="X72" s="97">
        <f ca="1">ROUND(TblPop[[#This Row],[Raw Birth]]*(1+TblPop[[#This Row],[Growth]]),0)</f>
        <v>424</v>
      </c>
      <c r="Y72" s="97">
        <f ca="1">(TblPop[[#This Row],[Peasants]]-TblPop[[#This Row],[Draft Growth]])*raw_pop_growth</f>
        <v>302.13</v>
      </c>
      <c r="Z72" s="97">
        <f ca="1">IF(TblPop[[#This Row],[Military%]]&lt;TblMili[[#This Row],[Draftrate]],ROUND(TblPop[[#This Row],[Peasants]]*Constants!$B$55,0), 0)</f>
        <v>102</v>
      </c>
      <c r="AA72" s="145"/>
      <c r="AB72" s="146">
        <f ca="1">Overview!$I$16 + IF(Magic!AE72&gt;0,Constants!$F$78) + ROUND(6*(Construction!BM73+Construction!CK72)/IF(Explore!S73&gt;0,Construction!F73-20,Construction!F73),4) + tech_6_5_2*Techs!BJ72 + tech_8_4*Techs!BT72</f>
        <v>0.40289999999999998</v>
      </c>
      <c r="AC72" s="142">
        <f ca="1">(Overview!$I$15 + Imps!Z72+ tech_2_5*Techs!AB72 + tech_3_6*Techs!AM72 + tech_6_1*Techs!BJ72 + tech_6_5*Techs!BF72 + tech_7_3_2*Techs!BN72) * (1 + Production!O72/100*prestige_pop_multiplier) + Production!O72/100*prestige_pop_multiplier</f>
        <v>7.6249999999999998E-2</v>
      </c>
    </row>
    <row r="73" spans="1:29" x14ac:dyDescent="0.2">
      <c r="A73" s="140">
        <f>TblRezone[[#This Row],[Hour]]</f>
        <v>70</v>
      </c>
      <c r="B73" s="141">
        <f ca="1">TblImps[[#This Row],[Time]]</f>
        <v>45432.624999999833</v>
      </c>
      <c r="C73" s="97">
        <f ca="1">OFFSET(TblPop[[#This Row],[Peasants]],-1,0)+OFFSET(TblPop[[#This Row],[Net Peasant]],-1,0)+TblMili[[#This Row],[Release Draft]]</f>
        <v>10071</v>
      </c>
      <c r="D73" s="97">
        <f ca="1">TblMili[[#This Row],[Military]]</f>
        <v>2630</v>
      </c>
      <c r="E73" s="97">
        <f ca="1">TblMili[[#This Row],[Draftees]]</f>
        <v>0</v>
      </c>
      <c r="F73" s="97">
        <f ca="1">TblPop[[#This Row],[Peasants]]+TblPop[[#This Row],[Military]]</f>
        <v>12701</v>
      </c>
      <c r="G73" s="142">
        <f ca="1">TblPop[[#This Row],[Military]]/TblPop[[#This Row],[Total]]</f>
        <v>0.20707030942445476</v>
      </c>
      <c r="H73" s="143">
        <f ca="1">MIN(TblPop[[#This Row],[Peasants]],TblPop[[#This Row],[Jobs]])</f>
        <v>10071</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11160</v>
      </c>
      <c r="K73" s="144"/>
      <c r="L73" s="62">
        <f ca="1">TblPop[[#This Row],[Draftees]]</f>
        <v>0</v>
      </c>
      <c r="M73" s="62">
        <f ca="1">TblMili[[#This Row],[Unit 1]]</f>
        <v>0</v>
      </c>
      <c r="N73" s="62">
        <f ca="1">TblMili[[#This Row],[Unit 2]]</f>
        <v>0</v>
      </c>
      <c r="O73" s="62">
        <f ca="1">TblMili[[#This Row],[Unit 3]]</f>
        <v>0</v>
      </c>
      <c r="P73" s="62">
        <f ca="1">TblMili[[#This Row],[Unit 4]]</f>
        <v>0</v>
      </c>
      <c r="Q73" s="62">
        <f ca="1">TblMili[[#This Row],[Spies]]</f>
        <v>0</v>
      </c>
      <c r="R73" s="62">
        <f ca="1">TblMili[[#This Row],[Wizards]]</f>
        <v>0</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12701</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3" s="97">
        <f ca="1">MAX(-5%*TblPop[[#This Row],[Peasants]]-TblPop[[#This Row],[Draft Growth]],MIN(OFFSET(TblPop[[#This Row],[Net max]],1,0)-TblPop[[#This Row],[Peasants]]-TblPop[[#This Row],[Military]]-TblPop[[#This Row],[Draft Growth]],TblPop[[#This Row],[Modded Birth]]-TblPop[[#This Row],[Draft Growth]]))</f>
        <v>-101</v>
      </c>
      <c r="X73" s="97">
        <f ca="1">ROUND(TblPop[[#This Row],[Raw Birth]]*(1+TblPop[[#This Row],[Growth]]),0)</f>
        <v>420</v>
      </c>
      <c r="Y73" s="97">
        <f ca="1">(TblPop[[#This Row],[Peasants]]-TblPop[[#This Row],[Draft Growth]])*raw_pop_growth</f>
        <v>299.09999999999997</v>
      </c>
      <c r="Z73" s="97">
        <f ca="1">IF(TblPop[[#This Row],[Military%]]&lt;TblMili[[#This Row],[Draftrate]],ROUND(TblPop[[#This Row],[Peasants]]*Constants!$B$55,0), 0)</f>
        <v>101</v>
      </c>
      <c r="AA73" s="145"/>
      <c r="AB73" s="146">
        <f ca="1">Overview!$I$16 + IF(Magic!AE73&gt;0,Constants!$F$78) + ROUND(6*(Construction!BM74+Construction!CK73)/IF(Explore!S74&gt;0,Construction!F74-20,Construction!F74),4) + tech_6_5_2*Techs!BJ73 + tech_8_4*Techs!BT73</f>
        <v>0.40289999999999998</v>
      </c>
      <c r="AC73" s="142">
        <f ca="1">(Overview!$I$15 + Imps!Z73+ tech_2_5*Techs!AB73 + tech_3_6*Techs!AM73 + tech_6_1*Techs!BJ73 + tech_6_5*Techs!BF73 + tech_7_3_2*Techs!BN73) * (1 + Production!O73/100*prestige_pop_multiplier) + Production!O73/100*prestige_pop_multiplier</f>
        <v>7.6249999999999998E-2</v>
      </c>
    </row>
    <row r="74" spans="1:29" x14ac:dyDescent="0.2">
      <c r="A74" s="140">
        <f>TblRezone[[#This Row],[Hour]]</f>
        <v>71</v>
      </c>
      <c r="B74" s="141">
        <f ca="1">TblImps[[#This Row],[Time]]</f>
        <v>45432.666666666497</v>
      </c>
      <c r="C74" s="97">
        <f ca="1">OFFSET(TblPop[[#This Row],[Peasants]],-1,0)+OFFSET(TblPop[[#This Row],[Net Peasant]],-1,0)+TblMili[[#This Row],[Release Draft]]</f>
        <v>9970</v>
      </c>
      <c r="D74" s="97">
        <f ca="1">TblMili[[#This Row],[Military]]</f>
        <v>2731</v>
      </c>
      <c r="E74" s="97">
        <f ca="1">TblMili[[#This Row],[Draftees]]</f>
        <v>0</v>
      </c>
      <c r="F74" s="97">
        <f ca="1">TblPop[[#This Row],[Peasants]]+TblPop[[#This Row],[Military]]</f>
        <v>12701</v>
      </c>
      <c r="G74" s="142">
        <f ca="1">TblPop[[#This Row],[Military]]/TblPop[[#This Row],[Total]]</f>
        <v>0.21502243917801747</v>
      </c>
      <c r="H74" s="143">
        <f ca="1">MIN(TblPop[[#This Row],[Peasants]],TblPop[[#This Row],[Jobs]])</f>
        <v>9970</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11180</v>
      </c>
      <c r="K74" s="144"/>
      <c r="L74" s="62">
        <f ca="1">TblPop[[#This Row],[Draftees]]</f>
        <v>0</v>
      </c>
      <c r="M74" s="62">
        <f ca="1">TblMili[[#This Row],[Unit 1]]</f>
        <v>0</v>
      </c>
      <c r="N74" s="62">
        <f ca="1">TblMili[[#This Row],[Unit 2]]</f>
        <v>0</v>
      </c>
      <c r="O74" s="62">
        <f ca="1">TblMili[[#This Row],[Unit 3]]</f>
        <v>0</v>
      </c>
      <c r="P74" s="62">
        <f ca="1">TblMili[[#This Row],[Unit 4]]</f>
        <v>0</v>
      </c>
      <c r="Q74" s="62">
        <f ca="1">TblMili[[#This Row],[Spies]]</f>
        <v>0</v>
      </c>
      <c r="R74" s="62">
        <f ca="1">TblMili[[#This Row],[Wizards]]</f>
        <v>0</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12701</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4" s="97">
        <f ca="1">MAX(-5%*TblPop[[#This Row],[Peasants]]-TblPop[[#This Row],[Draft Growth]],MIN(OFFSET(TblPop[[#This Row],[Net max]],1,0)-TblPop[[#This Row],[Peasants]]-TblPop[[#This Row],[Military]]-TblPop[[#This Row],[Draft Growth]],TblPop[[#This Row],[Modded Birth]]-TblPop[[#This Row],[Draft Growth]]))</f>
        <v>-100</v>
      </c>
      <c r="X74" s="97">
        <f ca="1">ROUND(TblPop[[#This Row],[Raw Birth]]*(1+TblPop[[#This Row],[Growth]]),0)</f>
        <v>415</v>
      </c>
      <c r="Y74" s="97">
        <f ca="1">(TblPop[[#This Row],[Peasants]]-TblPop[[#This Row],[Draft Growth]])*raw_pop_growth</f>
        <v>296.09999999999997</v>
      </c>
      <c r="Z74" s="97">
        <f ca="1">IF(TblPop[[#This Row],[Military%]]&lt;TblMili[[#This Row],[Draftrate]],ROUND(TblPop[[#This Row],[Peasants]]*Constants!$B$55,0), 0)</f>
        <v>100</v>
      </c>
      <c r="AA74" s="145"/>
      <c r="AB74" s="146">
        <f ca="1">Overview!$I$16 + IF(Magic!AE74&gt;0,Constants!$F$78) + ROUND(6*(Construction!BM75+Construction!CK74)/IF(Explore!S75&gt;0,Construction!F75-20,Construction!F75),4) + tech_6_5_2*Techs!BJ74 + tech_8_4*Techs!BT74</f>
        <v>0.40289999999999998</v>
      </c>
      <c r="AC74" s="142">
        <f ca="1">(Overview!$I$15 + Imps!Z74+ tech_2_5*Techs!AB74 + tech_3_6*Techs!AM74 + tech_6_1*Techs!BJ74 + tech_6_5*Techs!BF74 + tech_7_3_2*Techs!BN74) * (1 + Production!O74/100*prestige_pop_multiplier) + Production!O74/100*prestige_pop_multiplier</f>
        <v>7.6249999999999998E-2</v>
      </c>
    </row>
    <row r="75" spans="1:29" x14ac:dyDescent="0.2">
      <c r="A75" s="140">
        <f>TblRezone[[#This Row],[Hour]]</f>
        <v>72</v>
      </c>
      <c r="B75" s="141">
        <f ca="1">TblImps[[#This Row],[Time]]</f>
        <v>45432.708333333161</v>
      </c>
      <c r="C75" s="97">
        <f ca="1">OFFSET(TblPop[[#This Row],[Peasants]],-1,0)+OFFSET(TblPop[[#This Row],[Net Peasant]],-1,0)+TblMili[[#This Row],[Release Draft]]</f>
        <v>9870</v>
      </c>
      <c r="D75" s="97">
        <f ca="1">TblMili[[#This Row],[Military]]</f>
        <v>2831</v>
      </c>
      <c r="E75" s="97">
        <f ca="1">TblMili[[#This Row],[Draftees]]</f>
        <v>0</v>
      </c>
      <c r="F75" s="97">
        <f ca="1">TblPop[[#This Row],[Peasants]]+TblPop[[#This Row],[Military]]</f>
        <v>12701</v>
      </c>
      <c r="G75" s="142">
        <f ca="1">TblPop[[#This Row],[Military]]/TblPop[[#This Row],[Total]]</f>
        <v>0.22289583497362411</v>
      </c>
      <c r="H75" s="143">
        <f ca="1">MIN(TblPop[[#This Row],[Peasants]],TblPop[[#This Row],[Jobs]])</f>
        <v>9870</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11200</v>
      </c>
      <c r="K75" s="144"/>
      <c r="L75" s="62">
        <f ca="1">TblPop[[#This Row],[Draftees]]</f>
        <v>0</v>
      </c>
      <c r="M75" s="62">
        <f ca="1">TblMili[[#This Row],[Unit 1]]</f>
        <v>0</v>
      </c>
      <c r="N75" s="62">
        <f ca="1">TblMili[[#This Row],[Unit 2]]</f>
        <v>0</v>
      </c>
      <c r="O75" s="62">
        <f ca="1">TblMili[[#This Row],[Unit 3]]</f>
        <v>0</v>
      </c>
      <c r="P75" s="62">
        <f ca="1">TblMili[[#This Row],[Unit 4]]</f>
        <v>0</v>
      </c>
      <c r="Q75" s="62">
        <f ca="1">TblMili[[#This Row],[Spies]]</f>
        <v>0</v>
      </c>
      <c r="R75" s="62">
        <f ca="1">TblMili[[#This Row],[Wizards]]</f>
        <v>0</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12701</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5" s="97">
        <f ca="1">MAX(-5%*TblPop[[#This Row],[Peasants]]-TblPop[[#This Row],[Draft Growth]],MIN(OFFSET(TblPop[[#This Row],[Net max]],1,0)-TblPop[[#This Row],[Peasants]]-TblPop[[#This Row],[Military]]-TblPop[[#This Row],[Draft Growth]],TblPop[[#This Row],[Modded Birth]]-TblPop[[#This Row],[Draft Growth]]))</f>
        <v>-99</v>
      </c>
      <c r="X75" s="97">
        <f ca="1">ROUND(TblPop[[#This Row],[Raw Birth]]*(1+TblPop[[#This Row],[Growth]]),0)</f>
        <v>411</v>
      </c>
      <c r="Y75" s="97">
        <f ca="1">(TblPop[[#This Row],[Peasants]]-TblPop[[#This Row],[Draft Growth]])*raw_pop_growth</f>
        <v>293.13</v>
      </c>
      <c r="Z75" s="97">
        <f ca="1">IF(TblPop[[#This Row],[Military%]]&lt;TblMili[[#This Row],[Draftrate]],ROUND(TblPop[[#This Row],[Peasants]]*Constants!$B$55,0), 0)</f>
        <v>99</v>
      </c>
      <c r="AA75" s="145"/>
      <c r="AB75" s="146">
        <f ca="1">Overview!$I$16 + IF(Magic!AE75&gt;0,Constants!$F$78) + ROUND(6*(Construction!BM76+Construction!CK75)/IF(Explore!S76&gt;0,Construction!F76-20,Construction!F76),4) + tech_6_5_2*Techs!BJ75 + tech_8_4*Techs!BT75</f>
        <v>0.40289999999999998</v>
      </c>
      <c r="AC75" s="142">
        <f ca="1">(Overview!$I$15 + Imps!Z75+ tech_2_5*Techs!AB75 + tech_3_6*Techs!AM75 + tech_6_1*Techs!BJ75 + tech_6_5*Techs!BF75 + tech_7_3_2*Techs!BN75) * (1 + Production!O75/100*prestige_pop_multiplier) + Production!O75/100*prestige_pop_multiplier</f>
        <v>7.6249999999999998E-2</v>
      </c>
    </row>
    <row r="76" spans="1:29" x14ac:dyDescent="0.2">
      <c r="A76" s="147">
        <f>TblRezone[[#This Row],[Hour]]</f>
        <v>73</v>
      </c>
      <c r="B76" s="148">
        <f ca="1">TblImps[[#This Row],[Time]]</f>
        <v>45432.749999999825</v>
      </c>
      <c r="C76" s="35">
        <f ca="1">OFFSET(TblPop[[#This Row],[Peasants]],-1,0)+OFFSET(TblPop[[#This Row],[Net Peasant]],-1,0)+TblMili[[#This Row],[Release Draft]]</f>
        <v>9771</v>
      </c>
      <c r="D76" s="35">
        <f ca="1">TblMili[[#This Row],[Military]]</f>
        <v>2930</v>
      </c>
      <c r="E76" s="35">
        <f ca="1">TblMili[[#This Row],[Draftees]]</f>
        <v>0</v>
      </c>
      <c r="F76" s="35">
        <f ca="1">TblPop[[#This Row],[Peasants]]+TblPop[[#This Row],[Military]]</f>
        <v>12701</v>
      </c>
      <c r="G76" s="149">
        <f ca="1">TblPop[[#This Row],[Military]]/TblPop[[#This Row],[Total]]</f>
        <v>0.23069049681127471</v>
      </c>
      <c r="H76" s="150">
        <f ca="1">MIN(TblPop[[#This Row],[Peasants]],TblPop[[#This Row],[Jobs]])</f>
        <v>9771</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12200</v>
      </c>
      <c r="K76" s="144"/>
      <c r="L76" s="151">
        <f ca="1">TblPop[[#This Row],[Draftees]]</f>
        <v>0</v>
      </c>
      <c r="M76" s="151">
        <f ca="1">TblMili[[#This Row],[Unit 1]]</f>
        <v>0</v>
      </c>
      <c r="N76" s="151">
        <f ca="1">TblMili[[#This Row],[Unit 2]]</f>
        <v>699</v>
      </c>
      <c r="O76" s="151">
        <f ca="1">TblMili[[#This Row],[Unit 3]]</f>
        <v>625</v>
      </c>
      <c r="P76" s="151">
        <f ca="1">TblMili[[#This Row],[Unit 4]]</f>
        <v>638</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12701</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6" s="35">
        <f ca="1">MAX(-5%*TblPop[[#This Row],[Peasants]]-TblPop[[#This Row],[Draft Growth]],MIN(OFFSET(TblPop[[#This Row],[Net max]],1,0)-TblPop[[#This Row],[Peasants]]-TblPop[[#This Row],[Military]]-TblPop[[#This Row],[Draft Growth]],TblPop[[#This Row],[Modded Birth]]-TblPop[[#This Row],[Draft Growth]]))</f>
        <v>1</v>
      </c>
      <c r="X76" s="35">
        <f ca="1">ROUND(TblPop[[#This Row],[Raw Birth]]*(1+TblPop[[#This Row],[Growth]]),0)</f>
        <v>407</v>
      </c>
      <c r="Y76" s="35">
        <f ca="1">(TblPop[[#This Row],[Peasants]]-TblPop[[#This Row],[Draft Growth]])*raw_pop_growth</f>
        <v>290.19</v>
      </c>
      <c r="Z76" s="35">
        <f ca="1">IF(TblPop[[#This Row],[Military%]]&lt;TblMili[[#This Row],[Draftrate]],ROUND(TblPop[[#This Row],[Peasants]]*Constants!$B$55,0), 0)</f>
        <v>98</v>
      </c>
      <c r="AA76" s="152"/>
      <c r="AB76" s="153">
        <f ca="1">Overview!$I$16 + IF(Magic!AE76&gt;0,Constants!$F$78) + ROUND(6*(Construction!BM77+Construction!CK76)/IF(Explore!S77&gt;0,Construction!F77-20,Construction!F77),4) + tech_6_5_2*Techs!BJ76 + tech_8_4*Techs!BT76</f>
        <v>0.40289999999999998</v>
      </c>
      <c r="AC76" s="142">
        <f ca="1">(Overview!$I$15 + Imps!Z76+ tech_2_5*Techs!AB76 + tech_3_6*Techs!AM76 + tech_6_1*Techs!BJ76 + tech_6_5*Techs!BF76 + tech_7_3_2*Techs!BN76) * (1 + Production!O76/100*prestige_pop_multiplier) + Production!O76/100*prestige_pop_multiplier</f>
        <v>7.6249999999999998E-2</v>
      </c>
    </row>
    <row r="77" spans="1:29" x14ac:dyDescent="0.2">
      <c r="A77" s="140">
        <f>TblRezone[[#This Row],[Hour]]</f>
        <v>74</v>
      </c>
      <c r="B77" s="141">
        <f ca="1">TblImps[[#This Row],[Time]]</f>
        <v>45432.79166666649</v>
      </c>
      <c r="C77" s="97">
        <f ca="1">OFFSET(TblPop[[#This Row],[Peasants]],-1,0)+OFFSET(TblPop[[#This Row],[Net Peasant]],-1,0)+TblMili[[#This Row],[Release Draft]]</f>
        <v>9772</v>
      </c>
      <c r="D77" s="97">
        <f ca="1">TblMili[[#This Row],[Military]]</f>
        <v>3028</v>
      </c>
      <c r="E77" s="97">
        <f ca="1">TblMili[[#This Row],[Draftees]]</f>
        <v>0</v>
      </c>
      <c r="F77" s="97">
        <f ca="1">TblPop[[#This Row],[Peasants]]+TblPop[[#This Row],[Military]]</f>
        <v>12800</v>
      </c>
      <c r="G77" s="142">
        <f ca="1">TblPop[[#This Row],[Military]]/TblPop[[#This Row],[Total]]</f>
        <v>0.23656250000000001</v>
      </c>
      <c r="H77" s="143">
        <f ca="1">MIN(TblPop[[#This Row],[Peasants]],TblPop[[#This Row],[Jobs]])</f>
        <v>9772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12200</v>
      </c>
      <c r="K77" s="144"/>
      <c r="L77" s="62">
        <f ca="1">TblPop[[#This Row],[Draftees]]</f>
        <v>0</v>
      </c>
      <c r="M77" s="62">
        <f ca="1">TblMili[[#This Row],[Unit 1]]</f>
        <v>0</v>
      </c>
      <c r="N77" s="62">
        <f ca="1">TblMili[[#This Row],[Unit 2]]</f>
        <v>798</v>
      </c>
      <c r="O77" s="62">
        <f ca="1">TblMili[[#This Row],[Unit 3]]</f>
        <v>625</v>
      </c>
      <c r="P77" s="62">
        <f ca="1">TblMili[[#This Row],[Unit 4]]</f>
        <v>638</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12800</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10455</v>
      </c>
      <c r="W77" s="97">
        <f ca="1">MAX(-5%*TblPop[[#This Row],[Peasants]]-TblPop[[#This Row],[Draft Growth]],MIN(OFFSET(TblPop[[#This Row],[Net max]],1,0)-TblPop[[#This Row],[Peasants]]-TblPop[[#This Row],[Military]]-TblPop[[#This Row],[Draft Growth]],TblPop[[#This Row],[Modded Birth]]-TblPop[[#This Row],[Draft Growth]]))</f>
        <v>1</v>
      </c>
      <c r="X77" s="97">
        <f ca="1">ROUND(TblPop[[#This Row],[Raw Birth]]*(1+TblPop[[#This Row],[Growth]]),0)</f>
        <v>407</v>
      </c>
      <c r="Y77" s="97">
        <f ca="1">(TblPop[[#This Row],[Peasants]]-TblPop[[#This Row],[Draft Growth]])*raw_pop_growth</f>
        <v>290.21999999999997</v>
      </c>
      <c r="Z77" s="97">
        <f ca="1">IF(TblPop[[#This Row],[Military%]]&lt;TblMili[[#This Row],[Draftrate]],ROUND(TblPop[[#This Row],[Peasants]]*Constants!$B$55,0), 0)</f>
        <v>98</v>
      </c>
      <c r="AA77" s="145"/>
      <c r="AB77" s="146">
        <f ca="1">Overview!$I$16 + IF(Magic!AE77&gt;0,Constants!$F$78) + ROUND(6*(Construction!BM78+Construction!CK77)/IF(Explore!S78&gt;0,Construction!F78-20,Construction!F78),4) + tech_6_5_2*Techs!BJ77 + tech_8_4*Techs!BT77</f>
        <v>0.40289999999999998</v>
      </c>
      <c r="AC77" s="142">
        <f ca="1">(Overview!$I$15 + Imps!Z77+ tech_2_5*Techs!AB77 + tech_3_6*Techs!AM77 + tech_6_1*Techs!BJ77 + tech_6_5*Techs!BF77 + tech_7_3_2*Techs!BN77) * (1 + Production!O77/100*prestige_pop_multiplier) + Production!O77/100*prestige_pop_multiplier</f>
        <v>7.6249999999999998E-2</v>
      </c>
    </row>
    <row r="78" spans="1:29" x14ac:dyDescent="0.2">
      <c r="A78" s="140">
        <f>TblRezone[[#This Row],[Hour]]</f>
        <v>75</v>
      </c>
      <c r="B78" s="141">
        <f ca="1">TblImps[[#This Row],[Time]]</f>
        <v>45432.833333333154</v>
      </c>
      <c r="C78" s="97">
        <f ca="1">OFFSET(TblPop[[#This Row],[Peasants]],-1,0)+OFFSET(TblPop[[#This Row],[Net Peasant]],-1,0)+TblMili[[#This Row],[Release Draft]]</f>
        <v>9773</v>
      </c>
      <c r="D78" s="97">
        <f ca="1">TblMili[[#This Row],[Military]]</f>
        <v>3126</v>
      </c>
      <c r="E78" s="97">
        <f ca="1">TblMili[[#This Row],[Draftees]]</f>
        <v>0</v>
      </c>
      <c r="F78" s="97">
        <f ca="1">TblPop[[#This Row],[Peasants]]+TblPop[[#This Row],[Military]]</f>
        <v>12899</v>
      </c>
      <c r="G78" s="142">
        <f ca="1">TblPop[[#This Row],[Military]]/TblPop[[#This Row],[Total]]</f>
        <v>0.2423443677804481</v>
      </c>
      <c r="H78" s="143">
        <f ca="1">MIN(TblPop[[#This Row],[Peasants]],TblPop[[#This Row],[Jobs]])</f>
        <v>9773</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12200</v>
      </c>
      <c r="K78" s="144"/>
      <c r="L78" s="62">
        <f ca="1">TblPop[[#This Row],[Draftees]]</f>
        <v>0</v>
      </c>
      <c r="M78" s="62">
        <f ca="1">TblMili[[#This Row],[Unit 1]]</f>
        <v>0</v>
      </c>
      <c r="N78" s="62">
        <f ca="1">TblMili[[#This Row],[Unit 2]]</f>
        <v>898</v>
      </c>
      <c r="O78" s="62">
        <f ca="1">TblMili[[#This Row],[Unit 3]]</f>
        <v>625</v>
      </c>
      <c r="P78" s="62">
        <f ca="1">TblMili[[#This Row],[Unit 4]]</f>
        <v>638</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12899</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10380</v>
      </c>
      <c r="W78" s="97">
        <f ca="1">MAX(-5%*TblPop[[#This Row],[Peasants]]-TblPop[[#This Row],[Draft Growth]],MIN(OFFSET(TblPop[[#This Row],[Net max]],1,0)-TblPop[[#This Row],[Peasants]]-TblPop[[#This Row],[Military]]-TblPop[[#This Row],[Draft Growth]],TblPop[[#This Row],[Modded Birth]]-TblPop[[#This Row],[Draft Growth]]))</f>
        <v>-58</v>
      </c>
      <c r="X78" s="97">
        <f ca="1">ROUND(TblPop[[#This Row],[Raw Birth]]*(1+TblPop[[#This Row],[Growth]]),0)</f>
        <v>407</v>
      </c>
      <c r="Y78" s="97">
        <f ca="1">(TblPop[[#This Row],[Peasants]]-TblPop[[#This Row],[Draft Growth]])*raw_pop_growth</f>
        <v>290.25</v>
      </c>
      <c r="Z78" s="97">
        <f ca="1">IF(TblPop[[#This Row],[Military%]]&lt;TblMili[[#This Row],[Draftrate]],ROUND(TblPop[[#This Row],[Peasants]]*Constants!$B$55,0), 0)</f>
        <v>98</v>
      </c>
      <c r="AA78" s="145"/>
      <c r="AB78" s="146">
        <f ca="1">Overview!$I$16 + IF(Magic!AE78&gt;0,Constants!$F$78) + ROUND(6*(Construction!BM79+Construction!CK78)/IF(Explore!S79&gt;0,Construction!F79-20,Construction!F79),4) + tech_6_5_2*Techs!BJ78 + tech_8_4*Techs!BT78</f>
        <v>0.40289999999999998</v>
      </c>
      <c r="AC78" s="142">
        <f ca="1">(Overview!$I$15 + Imps!Z78+ tech_2_5*Techs!AB78 + tech_3_6*Techs!AM78 + tech_6_1*Techs!BJ78 + tech_6_5*Techs!BF78 + tech_7_3_2*Techs!BN78) * (1 + Production!O78/100*prestige_pop_multiplier) + Production!O78/100*prestige_pop_multiplier</f>
        <v>7.6249999999999998E-2</v>
      </c>
    </row>
    <row r="79" spans="1:29" x14ac:dyDescent="0.2">
      <c r="A79" s="140">
        <f>TblRezone[[#This Row],[Hour]]</f>
        <v>76</v>
      </c>
      <c r="B79" s="141">
        <f ca="1">TblImps[[#This Row],[Time]]</f>
        <v>45432.874999999818</v>
      </c>
      <c r="C79" s="97">
        <f ca="1">OFFSET(TblPop[[#This Row],[Peasants]],-1,0)+OFFSET(TblPop[[#This Row],[Net Peasant]],-1,0)+TblMili[[#This Row],[Release Draft]]</f>
        <v>9715</v>
      </c>
      <c r="D79" s="97">
        <f ca="1">TblMili[[#This Row],[Military]]</f>
        <v>3224</v>
      </c>
      <c r="E79" s="97">
        <f ca="1">TblMili[[#This Row],[Draftees]]</f>
        <v>0</v>
      </c>
      <c r="F79" s="97">
        <f ca="1">TblPop[[#This Row],[Peasants]]+TblPop[[#This Row],[Military]]</f>
        <v>12939</v>
      </c>
      <c r="G79" s="142">
        <f ca="1">TblPop[[#This Row],[Military]]/TblPop[[#This Row],[Total]]</f>
        <v>0.24916917845273978</v>
      </c>
      <c r="H79" s="143">
        <f ca="1">MIN(TblPop[[#This Row],[Peasants]],TblPop[[#This Row],[Jobs]])</f>
        <v>9715</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12200</v>
      </c>
      <c r="K79" s="144"/>
      <c r="L79" s="62">
        <f ca="1">TblPop[[#This Row],[Draftees]]</f>
        <v>0</v>
      </c>
      <c r="M79" s="62">
        <f ca="1">TblMili[[#This Row],[Unit 1]]</f>
        <v>0</v>
      </c>
      <c r="N79" s="62">
        <f ca="1">TblMili[[#This Row],[Unit 2]]</f>
        <v>950</v>
      </c>
      <c r="O79" s="62">
        <f ca="1">TblMili[[#This Row],[Unit 3]]</f>
        <v>625</v>
      </c>
      <c r="P79" s="62">
        <f ca="1">TblMili[[#This Row],[Unit 4]]</f>
        <v>638</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12939</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79" s="97">
        <f ca="1">MAX(-5%*TblPop[[#This Row],[Peasants]]-TblPop[[#This Row],[Draft Growth]],MIN(OFFSET(TblPop[[#This Row],[Net max]],1,0)-TblPop[[#This Row],[Peasants]]-TblPop[[#This Row],[Military]]-TblPop[[#This Row],[Draft Growth]],TblPop[[#This Row],[Modded Birth]]-TblPop[[#This Row],[Draft Growth]]))</f>
        <v>-97</v>
      </c>
      <c r="X79" s="97">
        <f ca="1">ROUND(TblPop[[#This Row],[Raw Birth]]*(1+TblPop[[#This Row],[Growth]]),0)</f>
        <v>405</v>
      </c>
      <c r="Y79" s="97">
        <f ca="1">(TblPop[[#This Row],[Peasants]]-TblPop[[#This Row],[Draft Growth]])*raw_pop_growth</f>
        <v>288.53999999999996</v>
      </c>
      <c r="Z79" s="97">
        <f ca="1">IF(TblPop[[#This Row],[Military%]]&lt;TblMili[[#This Row],[Draftrate]],ROUND(TblPop[[#This Row],[Peasants]]*Constants!$B$55,0), 0)</f>
        <v>97</v>
      </c>
      <c r="AA79" s="145"/>
      <c r="AB79" s="146">
        <f ca="1">Overview!$I$16 + IF(Magic!AE79&gt;0,Constants!$F$78) + ROUND(6*(Construction!BM80+Construction!CK79)/IF(Explore!S80&gt;0,Construction!F80-20,Construction!F80),4) + tech_6_5_2*Techs!BJ79 + tech_8_4*Techs!BT79</f>
        <v>0.40289999999999998</v>
      </c>
      <c r="AC79" s="142">
        <f ca="1">(Overview!$I$15 + Imps!Z79+ tech_2_5*Techs!AB79 + tech_3_6*Techs!AM79 + tech_6_1*Techs!BJ79 + tech_6_5*Techs!BF79 + tech_7_3_2*Techs!BN79) * (1 + Production!O79/100*prestige_pop_multiplier) + Production!O79/100*prestige_pop_multiplier</f>
        <v>7.6249999999999998E-2</v>
      </c>
    </row>
    <row r="80" spans="1:29" x14ac:dyDescent="0.2">
      <c r="A80" s="140">
        <f>TblRezone[[#This Row],[Hour]]</f>
        <v>77</v>
      </c>
      <c r="B80" s="141">
        <f ca="1">TblImps[[#This Row],[Time]]</f>
        <v>45432.916666666482</v>
      </c>
      <c r="C80" s="97">
        <f ca="1">OFFSET(TblPop[[#This Row],[Peasants]],-1,0)+OFFSET(TblPop[[#This Row],[Net Peasant]],-1,0)+TblMili[[#This Row],[Release Draft]]</f>
        <v>9618</v>
      </c>
      <c r="D80" s="97">
        <f ca="1">TblMili[[#This Row],[Military]]</f>
        <v>3321</v>
      </c>
      <c r="E80" s="97">
        <f ca="1">TblMili[[#This Row],[Draftees]]</f>
        <v>97</v>
      </c>
      <c r="F80" s="97">
        <f ca="1">TblPop[[#This Row],[Peasants]]+TblPop[[#This Row],[Military]]</f>
        <v>12939</v>
      </c>
      <c r="G80" s="142">
        <f ca="1">TblPop[[#This Row],[Military]]/TblPop[[#This Row],[Total]]</f>
        <v>0.2566658938094134</v>
      </c>
      <c r="H80" s="143">
        <f ca="1">MIN(TblPop[[#This Row],[Peasants]],TblPop[[#This Row],[Jobs]])</f>
        <v>9618</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12200</v>
      </c>
      <c r="K80" s="144"/>
      <c r="L80" s="62">
        <f ca="1">TblPop[[#This Row],[Draftees]]</f>
        <v>97</v>
      </c>
      <c r="M80" s="62">
        <f ca="1">TblMili[[#This Row],[Unit 1]]</f>
        <v>0</v>
      </c>
      <c r="N80" s="62">
        <f ca="1">TblMili[[#This Row],[Unit 2]]</f>
        <v>1002</v>
      </c>
      <c r="O80" s="62">
        <f ca="1">TblMili[[#This Row],[Unit 3]]</f>
        <v>625</v>
      </c>
      <c r="P80" s="62">
        <f ca="1">TblMili[[#This Row],[Unit 4]]</f>
        <v>638</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12939</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0" s="97">
        <f ca="1">MAX(-5%*TblPop[[#This Row],[Peasants]]-TblPop[[#This Row],[Draft Growth]],MIN(OFFSET(TblPop[[#This Row],[Net max]],1,0)-TblPop[[#This Row],[Peasants]]-TblPop[[#This Row],[Military]]-TblPop[[#This Row],[Draft Growth]],TblPop[[#This Row],[Modded Birth]]-TblPop[[#This Row],[Draft Growth]]))</f>
        <v>-96</v>
      </c>
      <c r="X80" s="97">
        <f ca="1">ROUND(TblPop[[#This Row],[Raw Birth]]*(1+TblPop[[#This Row],[Growth]]),0)</f>
        <v>401</v>
      </c>
      <c r="Y80" s="97">
        <f ca="1">(TblPop[[#This Row],[Peasants]]-TblPop[[#This Row],[Draft Growth]])*raw_pop_growth</f>
        <v>285.65999999999997</v>
      </c>
      <c r="Z80" s="97">
        <f ca="1">IF(TblPop[[#This Row],[Military%]]&lt;TblMili[[#This Row],[Draftrate]],ROUND(TblPop[[#This Row],[Peasants]]*Constants!$B$55,0), 0)</f>
        <v>96</v>
      </c>
      <c r="AA80" s="145"/>
      <c r="AB80" s="146">
        <f ca="1">Overview!$I$16 + IF(Magic!AE80&gt;0,Constants!$F$78) + ROUND(6*(Construction!BM81+Construction!CK80)/IF(Explore!S81&gt;0,Construction!F81-20,Construction!F81),4) + tech_6_5_2*Techs!BJ80 + tech_8_4*Techs!BT80</f>
        <v>0.40289999999999998</v>
      </c>
      <c r="AC80" s="142">
        <f ca="1">(Overview!$I$15 + Imps!Z80+ tech_2_5*Techs!AB80 + tech_3_6*Techs!AM80 + tech_6_1*Techs!BJ80 + tech_6_5*Techs!BF80 + tech_7_3_2*Techs!BN80) * (1 + Production!O80/100*prestige_pop_multiplier) + Production!O80/100*prestige_pop_multiplier</f>
        <v>7.6249999999999998E-2</v>
      </c>
    </row>
    <row r="81" spans="1:29" x14ac:dyDescent="0.2">
      <c r="A81" s="140">
        <f>TblRezone[[#This Row],[Hour]]</f>
        <v>78</v>
      </c>
      <c r="B81" s="141">
        <f ca="1">TblImps[[#This Row],[Time]]</f>
        <v>45432.958333333147</v>
      </c>
      <c r="C81" s="97">
        <f ca="1">OFFSET(TblPop[[#This Row],[Peasants]],-1,0)+OFFSET(TblPop[[#This Row],[Net Peasant]],-1,0)+TblMili[[#This Row],[Release Draft]]</f>
        <v>9522</v>
      </c>
      <c r="D81" s="97">
        <f ca="1">TblMili[[#This Row],[Military]]</f>
        <v>3417</v>
      </c>
      <c r="E81" s="97">
        <f ca="1">TblMili[[#This Row],[Draftees]]</f>
        <v>193</v>
      </c>
      <c r="F81" s="97">
        <f ca="1">TblPop[[#This Row],[Peasants]]+TblPop[[#This Row],[Military]]</f>
        <v>12939</v>
      </c>
      <c r="G81" s="142">
        <f ca="1">TblPop[[#This Row],[Military]]/TblPop[[#This Row],[Total]]</f>
        <v>0.26408532344076047</v>
      </c>
      <c r="H81" s="143">
        <f ca="1">MIN(TblPop[[#This Row],[Peasants]],TblPop[[#This Row],[Jobs]])</f>
        <v>9522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12200</v>
      </c>
      <c r="K81" s="144"/>
      <c r="L81" s="62">
        <f ca="1">TblPop[[#This Row],[Draftees]]</f>
        <v>193</v>
      </c>
      <c r="M81" s="62">
        <f ca="1">TblMili[[#This Row],[Unit 1]]</f>
        <v>0</v>
      </c>
      <c r="N81" s="62">
        <f ca="1">TblMili[[#This Row],[Unit 2]]</f>
        <v>1002</v>
      </c>
      <c r="O81" s="62">
        <f ca="1">TblMili[[#This Row],[Unit 3]]</f>
        <v>625</v>
      </c>
      <c r="P81" s="62">
        <f ca="1">TblMili[[#This Row],[Unit 4]]</f>
        <v>638</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12939</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1" s="97">
        <f ca="1">MAX(-5%*TblPop[[#This Row],[Peasants]]-TblPop[[#This Row],[Draft Growth]],MIN(OFFSET(TblPop[[#This Row],[Net max]],1,0)-TblPop[[#This Row],[Peasants]]-TblPop[[#This Row],[Military]]-TblPop[[#This Row],[Draft Growth]],TblPop[[#This Row],[Modded Birth]]-TblPop[[#This Row],[Draft Growth]]))</f>
        <v>-95</v>
      </c>
      <c r="X81" s="97">
        <f ca="1">ROUND(TblPop[[#This Row],[Raw Birth]]*(1+TblPop[[#This Row],[Growth]]),0)</f>
        <v>397</v>
      </c>
      <c r="Y81" s="97">
        <f ca="1">(TblPop[[#This Row],[Peasants]]-TblPop[[#This Row],[Draft Growth]])*raw_pop_growth</f>
        <v>282.81</v>
      </c>
      <c r="Z81" s="97">
        <f ca="1">IF(TblPop[[#This Row],[Military%]]&lt;TblMili[[#This Row],[Draftrate]],ROUND(TblPop[[#This Row],[Peasants]]*Constants!$B$55,0), 0)</f>
        <v>95</v>
      </c>
      <c r="AA81" s="145"/>
      <c r="AB81" s="146">
        <f ca="1">Overview!$I$16 + IF(Magic!AE81&gt;0,Constants!$F$78) + ROUND(6*(Construction!BM82+Construction!CK81)/IF(Explore!S82&gt;0,Construction!F82-20,Construction!F82),4) + tech_6_5_2*Techs!BJ81 + tech_8_4*Techs!BT81</f>
        <v>0.40289999999999998</v>
      </c>
      <c r="AC81" s="142">
        <f ca="1">(Overview!$I$15 + Imps!Z81+ tech_2_5*Techs!AB81 + tech_3_6*Techs!AM81 + tech_6_1*Techs!BJ81 + tech_6_5*Techs!BF81 + tech_7_3_2*Techs!BN81) * (1 + Production!O81/100*prestige_pop_multiplier) + Production!O81/100*prestige_pop_multiplier</f>
        <v>7.6249999999999998E-2</v>
      </c>
    </row>
    <row r="82" spans="1:29" x14ac:dyDescent="0.2">
      <c r="A82" s="140">
        <f>TblRezone[[#This Row],[Hour]]</f>
        <v>79</v>
      </c>
      <c r="B82" s="141">
        <f ca="1">TblImps[[#This Row],[Time]]</f>
        <v>45432.999999999811</v>
      </c>
      <c r="C82" s="97">
        <f ca="1">OFFSET(TblPop[[#This Row],[Peasants]],-1,0)+OFFSET(TblPop[[#This Row],[Net Peasant]],-1,0)+TblMili[[#This Row],[Release Draft]]</f>
        <v>9427</v>
      </c>
      <c r="D82" s="97">
        <f ca="1">TblMili[[#This Row],[Military]]</f>
        <v>3512</v>
      </c>
      <c r="E82" s="97">
        <f ca="1">TblMili[[#This Row],[Draftees]]</f>
        <v>288</v>
      </c>
      <c r="F82" s="97">
        <f ca="1">TblPop[[#This Row],[Peasants]]+TblPop[[#This Row],[Military]]</f>
        <v>12939</v>
      </c>
      <c r="G82" s="142">
        <f ca="1">TblPop[[#This Row],[Military]]/TblPop[[#This Row],[Total]]</f>
        <v>0.27142746734678103</v>
      </c>
      <c r="H82" s="143">
        <f ca="1">MIN(TblPop[[#This Row],[Peasants]],TblPop[[#This Row],[Jobs]])</f>
        <v>9427</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12200</v>
      </c>
      <c r="K82" s="144"/>
      <c r="L82" s="62">
        <f ca="1">TblPop[[#This Row],[Draftees]]</f>
        <v>288</v>
      </c>
      <c r="M82" s="62">
        <f ca="1">TblMili[[#This Row],[Unit 1]]</f>
        <v>0</v>
      </c>
      <c r="N82" s="62">
        <f ca="1">TblMili[[#This Row],[Unit 2]]</f>
        <v>1002</v>
      </c>
      <c r="O82" s="62">
        <f ca="1">TblMili[[#This Row],[Unit 3]]</f>
        <v>625</v>
      </c>
      <c r="P82" s="62">
        <f ca="1">TblMili[[#This Row],[Unit 4]]</f>
        <v>696</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12939</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2" s="97">
        <f ca="1">MAX(-5%*TblPop[[#This Row],[Peasants]]-TblPop[[#This Row],[Draft Growth]],MIN(OFFSET(TblPop[[#This Row],[Net max]],1,0)-TblPop[[#This Row],[Peasants]]-TblPop[[#This Row],[Military]]-TblPop[[#This Row],[Draft Growth]],TblPop[[#This Row],[Modded Birth]]-TblPop[[#This Row],[Draft Growth]]))</f>
        <v>-94</v>
      </c>
      <c r="X82" s="97">
        <f ca="1">ROUND(TblPop[[#This Row],[Raw Birth]]*(1+TblPop[[#This Row],[Growth]]),0)</f>
        <v>393</v>
      </c>
      <c r="Y82" s="97">
        <f ca="1">(TblPop[[#This Row],[Peasants]]-TblPop[[#This Row],[Draft Growth]])*raw_pop_growth</f>
        <v>279.99</v>
      </c>
      <c r="Z82" s="97">
        <f ca="1">IF(TblPop[[#This Row],[Military%]]&lt;TblMili[[#This Row],[Draftrate]],ROUND(TblPop[[#This Row],[Peasants]]*Constants!$B$55,0), 0)</f>
        <v>94</v>
      </c>
      <c r="AA82" s="145"/>
      <c r="AB82" s="146">
        <f ca="1">Overview!$I$16 + IF(Magic!AE82&gt;0,Constants!$F$78) + ROUND(6*(Construction!BM83+Construction!CK82)/IF(Explore!S83&gt;0,Construction!F83-20,Construction!F83),4) + tech_6_5_2*Techs!BJ82 + tech_8_4*Techs!BT82</f>
        <v>0.40289999999999998</v>
      </c>
      <c r="AC82" s="142">
        <f ca="1">(Overview!$I$15 + Imps!Z82+ tech_2_5*Techs!AB82 + tech_3_6*Techs!AM82 + tech_6_1*Techs!BJ82 + tech_6_5*Techs!BF82 + tech_7_3_2*Techs!BN82) * (1 + Production!O82/100*prestige_pop_multiplier) + Production!O82/100*prestige_pop_multiplier</f>
        <v>7.6249999999999998E-2</v>
      </c>
    </row>
    <row r="83" spans="1:29" x14ac:dyDescent="0.2">
      <c r="A83" s="140">
        <f>TblRezone[[#This Row],[Hour]]</f>
        <v>80</v>
      </c>
      <c r="B83" s="141">
        <f ca="1">TblImps[[#This Row],[Time]]</f>
        <v>45433.041666666475</v>
      </c>
      <c r="C83" s="97">
        <f ca="1">OFFSET(TblPop[[#This Row],[Peasants]],-1,0)+OFFSET(TblPop[[#This Row],[Net Peasant]],-1,0)+TblMili[[#This Row],[Release Draft]]</f>
        <v>9333</v>
      </c>
      <c r="D83" s="97">
        <f ca="1">TblMili[[#This Row],[Military]]</f>
        <v>3606</v>
      </c>
      <c r="E83" s="97">
        <f ca="1">TblMili[[#This Row],[Draftees]]</f>
        <v>382</v>
      </c>
      <c r="F83" s="97">
        <f ca="1">TblPop[[#This Row],[Peasants]]+TblPop[[#This Row],[Military]]</f>
        <v>12939</v>
      </c>
      <c r="G83" s="142">
        <f ca="1">TblPop[[#This Row],[Military]]/TblPop[[#This Row],[Total]]</f>
        <v>0.27869232552747508</v>
      </c>
      <c r="H83" s="143">
        <f ca="1">MIN(TblPop[[#This Row],[Peasants]],TblPop[[#This Row],[Jobs]])</f>
        <v>9333</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12200</v>
      </c>
      <c r="K83" s="144"/>
      <c r="L83" s="62">
        <f ca="1">TblPop[[#This Row],[Draftees]]</f>
        <v>382</v>
      </c>
      <c r="M83" s="62">
        <f ca="1">TblMili[[#This Row],[Unit 1]]</f>
        <v>0</v>
      </c>
      <c r="N83" s="62">
        <f ca="1">TblMili[[#This Row],[Unit 2]]</f>
        <v>1002</v>
      </c>
      <c r="O83" s="62">
        <f ca="1">TblMili[[#This Row],[Unit 3]]</f>
        <v>625</v>
      </c>
      <c r="P83" s="62">
        <f ca="1">TblMili[[#This Row],[Unit 4]]</f>
        <v>748</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12939</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3" s="97">
        <f ca="1">MAX(-5%*TblPop[[#This Row],[Peasants]]-TblPop[[#This Row],[Draft Growth]],MIN(OFFSET(TblPop[[#This Row],[Net max]],1,0)-TblPop[[#This Row],[Peasants]]-TblPop[[#This Row],[Military]]-TblPop[[#This Row],[Draft Growth]],TblPop[[#This Row],[Modded Birth]]-TblPop[[#This Row],[Draft Growth]]))</f>
        <v>-93</v>
      </c>
      <c r="X83" s="97">
        <f ca="1">ROUND(TblPop[[#This Row],[Raw Birth]]*(1+TblPop[[#This Row],[Growth]]),0)</f>
        <v>389</v>
      </c>
      <c r="Y83" s="97">
        <f ca="1">(TblPop[[#This Row],[Peasants]]-TblPop[[#This Row],[Draft Growth]])*raw_pop_growth</f>
        <v>277.2</v>
      </c>
      <c r="Z83" s="97">
        <f ca="1">IF(TblPop[[#This Row],[Military%]]&lt;TblMili[[#This Row],[Draftrate]],ROUND(TblPop[[#This Row],[Peasants]]*Constants!$B$55,0), 0)</f>
        <v>93</v>
      </c>
      <c r="AA83" s="145"/>
      <c r="AB83" s="146">
        <f ca="1">Overview!$I$16 + IF(Magic!AE83&gt;0,Constants!$F$78) + ROUND(6*(Construction!BM84+Construction!CK83)/IF(Explore!S84&gt;0,Construction!F84-20,Construction!F84),4) + tech_6_5_2*Techs!BJ83 + tech_8_4*Techs!BT83</f>
        <v>0.40289999999999998</v>
      </c>
      <c r="AC83" s="142">
        <f ca="1">(Overview!$I$15 + Imps!Z83+ tech_2_5*Techs!AB83 + tech_3_6*Techs!AM83 + tech_6_1*Techs!BJ83 + tech_6_5*Techs!BF83 + tech_7_3_2*Techs!BN83) * (1 + Production!O83/100*prestige_pop_multiplier) + Production!O83/100*prestige_pop_multiplier</f>
        <v>7.6249999999999998E-2</v>
      </c>
    </row>
    <row r="84" spans="1:29" x14ac:dyDescent="0.2">
      <c r="A84" s="140">
        <f>TblRezone[[#This Row],[Hour]]</f>
        <v>81</v>
      </c>
      <c r="B84" s="141">
        <f ca="1">TblImps[[#This Row],[Time]]</f>
        <v>45433.083333333139</v>
      </c>
      <c r="C84" s="97">
        <f ca="1">OFFSET(TblPop[[#This Row],[Peasants]],-1,0)+OFFSET(TblPop[[#This Row],[Net Peasant]],-1,0)+TblMili[[#This Row],[Release Draft]]</f>
        <v>9240</v>
      </c>
      <c r="D84" s="97">
        <f ca="1">TblMili[[#This Row],[Military]]</f>
        <v>3699</v>
      </c>
      <c r="E84" s="97">
        <f ca="1">TblMili[[#This Row],[Draftees]]</f>
        <v>475</v>
      </c>
      <c r="F84" s="97">
        <f ca="1">TblPop[[#This Row],[Peasants]]+TblPop[[#This Row],[Military]]</f>
        <v>12939</v>
      </c>
      <c r="G84" s="142">
        <f ca="1">TblPop[[#This Row],[Military]]/TblPop[[#This Row],[Total]]</f>
        <v>0.28587989798284258</v>
      </c>
      <c r="H84" s="143">
        <f ca="1">MIN(TblPop[[#This Row],[Peasants]],TblPop[[#This Row],[Jobs]])</f>
        <v>9240</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12200</v>
      </c>
      <c r="K84" s="144"/>
      <c r="L84" s="62">
        <f ca="1">TblPop[[#This Row],[Draftees]]</f>
        <v>475</v>
      </c>
      <c r="M84" s="62">
        <f ca="1">TblMili[[#This Row],[Unit 1]]</f>
        <v>0</v>
      </c>
      <c r="N84" s="62">
        <f ca="1">TblMili[[#This Row],[Unit 2]]</f>
        <v>1002</v>
      </c>
      <c r="O84" s="62">
        <f ca="1">TblMili[[#This Row],[Unit 3]]</f>
        <v>625</v>
      </c>
      <c r="P84" s="62">
        <f ca="1">TblMili[[#This Row],[Unit 4]]</f>
        <v>851</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12939</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4" s="97">
        <f ca="1">MAX(-5%*TblPop[[#This Row],[Peasants]]-TblPop[[#This Row],[Draft Growth]],MIN(OFFSET(TblPop[[#This Row],[Net max]],1,0)-TblPop[[#This Row],[Peasants]]-TblPop[[#This Row],[Military]]-TblPop[[#This Row],[Draft Growth]],TblPop[[#This Row],[Modded Birth]]-TblPop[[#This Row],[Draft Growth]]))</f>
        <v>-92</v>
      </c>
      <c r="X84" s="97">
        <f ca="1">ROUND(TblPop[[#This Row],[Raw Birth]]*(1+TblPop[[#This Row],[Growth]]),0)</f>
        <v>385</v>
      </c>
      <c r="Y84" s="97">
        <f ca="1">(TblPop[[#This Row],[Peasants]]-TblPop[[#This Row],[Draft Growth]])*raw_pop_growth</f>
        <v>274.44</v>
      </c>
      <c r="Z84" s="97">
        <f ca="1">IF(TblPop[[#This Row],[Military%]]&lt;TblMili[[#This Row],[Draftrate]],ROUND(TblPop[[#This Row],[Peasants]]*Constants!$B$55,0), 0)</f>
        <v>92</v>
      </c>
      <c r="AA84" s="145"/>
      <c r="AB84" s="146">
        <f ca="1">Overview!$I$16 + IF(Magic!AE84&gt;0,Constants!$F$78) + ROUND(6*(Construction!BM85+Construction!CK84)/IF(Explore!S85&gt;0,Construction!F85-20,Construction!F85),4) + tech_6_5_2*Techs!BJ84 + tech_8_4*Techs!BT84</f>
        <v>0.40289999999999998</v>
      </c>
      <c r="AC84" s="142">
        <f ca="1">(Overview!$I$15 + Imps!Z84+ tech_2_5*Techs!AB84 + tech_3_6*Techs!AM84 + tech_6_1*Techs!BJ84 + tech_6_5*Techs!BF84 + tech_7_3_2*Techs!BN84) * (1 + Production!O84/100*prestige_pop_multiplier) + Production!O84/100*prestige_pop_multiplier</f>
        <v>7.6249999999999998E-2</v>
      </c>
    </row>
    <row r="85" spans="1:29" x14ac:dyDescent="0.2">
      <c r="A85" s="140">
        <f>TblRezone[[#This Row],[Hour]]</f>
        <v>82</v>
      </c>
      <c r="B85" s="141">
        <f ca="1">TblImps[[#This Row],[Time]]</f>
        <v>45433.124999999804</v>
      </c>
      <c r="C85" s="97">
        <f ca="1">OFFSET(TblPop[[#This Row],[Peasants]],-1,0)+OFFSET(TblPop[[#This Row],[Net Peasant]],-1,0)+TblMili[[#This Row],[Release Draft]]</f>
        <v>9148</v>
      </c>
      <c r="D85" s="97">
        <f ca="1">TblMili[[#This Row],[Military]]</f>
        <v>3791</v>
      </c>
      <c r="E85" s="97">
        <f ca="1">TblMili[[#This Row],[Draftees]]</f>
        <v>567</v>
      </c>
      <c r="F85" s="97">
        <f ca="1">TblPop[[#This Row],[Peasants]]+TblPop[[#This Row],[Military]]</f>
        <v>12939</v>
      </c>
      <c r="G85" s="142">
        <f ca="1">TblPop[[#This Row],[Military]]/TblPop[[#This Row],[Total]]</f>
        <v>0.29299018471288352</v>
      </c>
      <c r="H85" s="143">
        <f ca="1">MIN(TblPop[[#This Row],[Peasants]],TblPop[[#This Row],[Jobs]])</f>
        <v>9148</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12200</v>
      </c>
      <c r="K85" s="144"/>
      <c r="L85" s="62">
        <f ca="1">TblPop[[#This Row],[Draftees]]</f>
        <v>567</v>
      </c>
      <c r="M85" s="62">
        <f ca="1">TblMili[[#This Row],[Unit 1]]</f>
        <v>0</v>
      </c>
      <c r="N85" s="62">
        <f ca="1">TblMili[[#This Row],[Unit 2]]</f>
        <v>1002</v>
      </c>
      <c r="O85" s="62">
        <f ca="1">TblMili[[#This Row],[Unit 3]]</f>
        <v>625</v>
      </c>
      <c r="P85" s="62">
        <f ca="1">TblMili[[#This Row],[Unit 4]]</f>
        <v>953</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12939</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5" s="97">
        <f ca="1">MAX(-5%*TblPop[[#This Row],[Peasants]]-TblPop[[#This Row],[Draft Growth]],MIN(OFFSET(TblPop[[#This Row],[Net max]],1,0)-TblPop[[#This Row],[Peasants]]-TblPop[[#This Row],[Military]]-TblPop[[#This Row],[Draft Growth]],TblPop[[#This Row],[Modded Birth]]-TblPop[[#This Row],[Draft Growth]]))</f>
        <v>-91</v>
      </c>
      <c r="X85" s="97">
        <f ca="1">ROUND(TblPop[[#This Row],[Raw Birth]]*(1+TblPop[[#This Row],[Growth]]),0)</f>
        <v>381</v>
      </c>
      <c r="Y85" s="97">
        <f ca="1">(TblPop[[#This Row],[Peasants]]-TblPop[[#This Row],[Draft Growth]])*raw_pop_growth</f>
        <v>271.70999999999998</v>
      </c>
      <c r="Z85" s="97">
        <f ca="1">IF(TblPop[[#This Row],[Military%]]&lt;TblMili[[#This Row],[Draftrate]],ROUND(TblPop[[#This Row],[Peasants]]*Constants!$B$55,0), 0)</f>
        <v>91</v>
      </c>
      <c r="AA85" s="145"/>
      <c r="AB85" s="146">
        <f ca="1">Overview!$I$16 + IF(Magic!AE85&gt;0,Constants!$F$78) + ROUND(6*(Construction!BM86+Construction!CK85)/IF(Explore!S86&gt;0,Construction!F86-20,Construction!F86),4) + tech_6_5_2*Techs!BJ85 + tech_8_4*Techs!BT85</f>
        <v>0.40289999999999998</v>
      </c>
      <c r="AC85" s="142">
        <f ca="1">(Overview!$I$15 + Imps!Z85+ tech_2_5*Techs!AB85 + tech_3_6*Techs!AM85 + tech_6_1*Techs!BJ85 + tech_6_5*Techs!BF85 + tech_7_3_2*Techs!BN85) * (1 + Production!O85/100*prestige_pop_multiplier) + Production!O85/100*prestige_pop_multiplier</f>
        <v>7.6249999999999998E-2</v>
      </c>
    </row>
    <row r="86" spans="1:29" x14ac:dyDescent="0.2">
      <c r="A86" s="140">
        <f>TblRezone[[#This Row],[Hour]]</f>
        <v>83</v>
      </c>
      <c r="B86" s="141">
        <f ca="1">TblImps[[#This Row],[Time]]</f>
        <v>45433.166666666468</v>
      </c>
      <c r="C86" s="97">
        <f ca="1">OFFSET(TblPop[[#This Row],[Peasants]],-1,0)+OFFSET(TblPop[[#This Row],[Net Peasant]],-1,0)+TblMili[[#This Row],[Release Draft]]</f>
        <v>9057</v>
      </c>
      <c r="D86" s="97">
        <f ca="1">TblMili[[#This Row],[Military]]</f>
        <v>3882</v>
      </c>
      <c r="E86" s="97">
        <f ca="1">TblMili[[#This Row],[Draftees]]</f>
        <v>658</v>
      </c>
      <c r="F86" s="97">
        <f ca="1">TblPop[[#This Row],[Peasants]]+TblPop[[#This Row],[Military]]</f>
        <v>12939</v>
      </c>
      <c r="G86" s="142">
        <f ca="1">TblPop[[#This Row],[Military]]/TblPop[[#This Row],[Total]]</f>
        <v>0.30002318571759795</v>
      </c>
      <c r="H86" s="143">
        <f ca="1">MIN(TblPop[[#This Row],[Peasants]],TblPop[[#This Row],[Jobs]])</f>
        <v>9057</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12200</v>
      </c>
      <c r="K86" s="144"/>
      <c r="L86" s="62">
        <f ca="1">TblPop[[#This Row],[Draftees]]</f>
        <v>658</v>
      </c>
      <c r="M86" s="62">
        <f ca="1">TblMili[[#This Row],[Unit 1]]</f>
        <v>0</v>
      </c>
      <c r="N86" s="62">
        <f ca="1">TblMili[[#This Row],[Unit 2]]</f>
        <v>1050</v>
      </c>
      <c r="O86" s="62">
        <f ca="1">TblMili[[#This Row],[Unit 3]]</f>
        <v>625</v>
      </c>
      <c r="P86" s="62">
        <f ca="1">TblMili[[#This Row],[Unit 4]]</f>
        <v>1054</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12939</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6" s="97">
        <f ca="1">MAX(-5%*TblPop[[#This Row],[Peasants]]-TblPop[[#This Row],[Draft Growth]],MIN(OFFSET(TblPop[[#This Row],[Net max]],1,0)-TblPop[[#This Row],[Peasants]]-TblPop[[#This Row],[Military]]-TblPop[[#This Row],[Draft Growth]],TblPop[[#This Row],[Modded Birth]]-TblPop[[#This Row],[Draft Growth]]))</f>
        <v>-91</v>
      </c>
      <c r="X86" s="97">
        <f ca="1">ROUND(TblPop[[#This Row],[Raw Birth]]*(1+TblPop[[#This Row],[Growth]]),0)</f>
        <v>377</v>
      </c>
      <c r="Y86" s="97">
        <f ca="1">(TblPop[[#This Row],[Peasants]]-TblPop[[#This Row],[Draft Growth]])*raw_pop_growth</f>
        <v>268.98</v>
      </c>
      <c r="Z86" s="97">
        <f ca="1">IF(TblPop[[#This Row],[Military%]]&lt;TblMili[[#This Row],[Draftrate]],ROUND(TblPop[[#This Row],[Peasants]]*Constants!$B$55,0), 0)</f>
        <v>91</v>
      </c>
      <c r="AA86" s="145"/>
      <c r="AB86" s="146">
        <f ca="1">Overview!$I$16 + IF(Magic!AE86&gt;0,Constants!$F$78) + ROUND(6*(Construction!BM87+Construction!CK86)/IF(Explore!S87&gt;0,Construction!F87-20,Construction!F87),4) + tech_6_5_2*Techs!BJ86 + tech_8_4*Techs!BT86</f>
        <v>0.40289999999999998</v>
      </c>
      <c r="AC86" s="142">
        <f ca="1">(Overview!$I$15 + Imps!Z86+ tech_2_5*Techs!AB86 + tech_3_6*Techs!AM86 + tech_6_1*Techs!BJ86 + tech_6_5*Techs!BF86 + tech_7_3_2*Techs!BN86) * (1 + Production!O86/100*prestige_pop_multiplier) + Production!O86/100*prestige_pop_multiplier</f>
        <v>7.6249999999999998E-2</v>
      </c>
    </row>
    <row r="87" spans="1:29" x14ac:dyDescent="0.2">
      <c r="A87" s="140">
        <f>TblRezone[[#This Row],[Hour]]</f>
        <v>84</v>
      </c>
      <c r="B87" s="141">
        <f ca="1">TblImps[[#This Row],[Time]]</f>
        <v>45433.208333333132</v>
      </c>
      <c r="C87" s="97">
        <f ca="1">OFFSET(TblPop[[#This Row],[Peasants]],-1,0)+OFFSET(TblPop[[#This Row],[Net Peasant]],-1,0)+TblMili[[#This Row],[Release Draft]]</f>
        <v>8966</v>
      </c>
      <c r="D87" s="97">
        <f ca="1">TblMili[[#This Row],[Military]]</f>
        <v>3973</v>
      </c>
      <c r="E87" s="97">
        <f ca="1">TblMili[[#This Row],[Draftees]]</f>
        <v>749</v>
      </c>
      <c r="F87" s="97">
        <f ca="1">TblPop[[#This Row],[Peasants]]+TblPop[[#This Row],[Military]]</f>
        <v>12939</v>
      </c>
      <c r="G87" s="142">
        <f ca="1">TblPop[[#This Row],[Military]]/TblPop[[#This Row],[Total]]</f>
        <v>0.30705618672231239</v>
      </c>
      <c r="H87" s="143">
        <f ca="1">MIN(TblPop[[#This Row],[Peasants]],TblPop[[#This Row],[Jobs]])</f>
        <v>8966</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12200</v>
      </c>
      <c r="K87" s="144"/>
      <c r="L87" s="62">
        <f ca="1">TblPop[[#This Row],[Draftees]]</f>
        <v>749</v>
      </c>
      <c r="M87" s="62">
        <f ca="1">TblMili[[#This Row],[Unit 1]]</f>
        <v>0</v>
      </c>
      <c r="N87" s="62">
        <f ca="1">TblMili[[#This Row],[Unit 2]]</f>
        <v>1148</v>
      </c>
      <c r="O87" s="62">
        <f ca="1">TblMili[[#This Row],[Unit 3]]</f>
        <v>625</v>
      </c>
      <c r="P87" s="62">
        <f ca="1">TblMili[[#This Row],[Unit 4]]</f>
        <v>1154</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12939</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7" s="97">
        <f ca="1">MAX(-5%*TblPop[[#This Row],[Peasants]]-TblPop[[#This Row],[Draft Growth]],MIN(OFFSET(TblPop[[#This Row],[Net max]],1,0)-TblPop[[#This Row],[Peasants]]-TblPop[[#This Row],[Military]]-TblPop[[#This Row],[Draft Growth]],TblPop[[#This Row],[Modded Birth]]-TblPop[[#This Row],[Draft Growth]]))</f>
        <v>-90</v>
      </c>
      <c r="X87" s="97">
        <f ca="1">ROUND(TblPop[[#This Row],[Raw Birth]]*(1+TblPop[[#This Row],[Growth]]),0)</f>
        <v>374</v>
      </c>
      <c r="Y87" s="97">
        <f ca="1">(TblPop[[#This Row],[Peasants]]-TblPop[[#This Row],[Draft Growth]])*raw_pop_growth</f>
        <v>266.27999999999997</v>
      </c>
      <c r="Z87" s="97">
        <f ca="1">IF(TblPop[[#This Row],[Military%]]&lt;TblMili[[#This Row],[Draftrate]],ROUND(TblPop[[#This Row],[Peasants]]*Constants!$B$55,0), 0)</f>
        <v>90</v>
      </c>
      <c r="AA87" s="145"/>
      <c r="AB87" s="146">
        <f ca="1">Overview!$I$16 + IF(Magic!AE87&gt;0,Constants!$F$78) + ROUND(6*(Construction!BM88+Construction!CK87)/IF(Explore!S88&gt;0,Construction!F88-20,Construction!F88),4) + tech_6_5_2*Techs!BJ87 + tech_8_4*Techs!BT87</f>
        <v>0.40289999999999998</v>
      </c>
      <c r="AC87" s="142">
        <f ca="1">(Overview!$I$15 + Imps!Z87+ tech_2_5*Techs!AB87 + tech_3_6*Techs!AM87 + tech_6_1*Techs!BJ87 + tech_6_5*Techs!BF87 + tech_7_3_2*Techs!BN87) * (1 + Production!O87/100*prestige_pop_multiplier) + Production!O87/100*prestige_pop_multiplier</f>
        <v>7.6249999999999998E-2</v>
      </c>
    </row>
    <row r="88" spans="1:29" x14ac:dyDescent="0.2">
      <c r="A88" s="140">
        <f>TblRezone[[#This Row],[Hour]]</f>
        <v>85</v>
      </c>
      <c r="B88" s="141">
        <f ca="1">TblImps[[#This Row],[Time]]</f>
        <v>45433.249999999796</v>
      </c>
      <c r="C88" s="97">
        <f ca="1">OFFSET(TblPop[[#This Row],[Peasants]],-1,0)+OFFSET(TblPop[[#This Row],[Net Peasant]],-1,0)+TblMili[[#This Row],[Release Draft]]</f>
        <v>8876</v>
      </c>
      <c r="D88" s="97">
        <f ca="1">TblMili[[#This Row],[Military]]</f>
        <v>4063</v>
      </c>
      <c r="E88" s="97">
        <f ca="1">TblMili[[#This Row],[Draftees]]</f>
        <v>839</v>
      </c>
      <c r="F88" s="97">
        <f ca="1">TblPop[[#This Row],[Peasants]]+TblPop[[#This Row],[Military]]</f>
        <v>12939</v>
      </c>
      <c r="G88" s="142">
        <f ca="1">TblPop[[#This Row],[Military]]/TblPop[[#This Row],[Total]]</f>
        <v>0.31401190200170026</v>
      </c>
      <c r="H88" s="143">
        <f ca="1">MIN(TblPop[[#This Row],[Peasants]],TblPop[[#This Row],[Jobs]])</f>
        <v>8876</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12200</v>
      </c>
      <c r="K88" s="144"/>
      <c r="L88" s="62">
        <f ca="1">TblPop[[#This Row],[Draftees]]</f>
        <v>839</v>
      </c>
      <c r="M88" s="62">
        <f ca="1">TblMili[[#This Row],[Unit 1]]</f>
        <v>0</v>
      </c>
      <c r="N88" s="62">
        <f ca="1">TblMili[[#This Row],[Unit 2]]</f>
        <v>1246</v>
      </c>
      <c r="O88" s="62">
        <f ca="1">TblMili[[#This Row],[Unit 3]]</f>
        <v>650</v>
      </c>
      <c r="P88" s="62">
        <f ca="1">TblMili[[#This Row],[Unit 4]]</f>
        <v>1228</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12939</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8" s="97">
        <f ca="1">MAX(-5%*TblPop[[#This Row],[Peasants]]-TblPop[[#This Row],[Draft Growth]],MIN(OFFSET(TblPop[[#This Row],[Net max]],1,0)-TblPop[[#This Row],[Peasants]]-TblPop[[#This Row],[Military]]-TblPop[[#This Row],[Draft Growth]],TblPop[[#This Row],[Modded Birth]]-TblPop[[#This Row],[Draft Growth]]))</f>
        <v>-89</v>
      </c>
      <c r="X88" s="97">
        <f ca="1">ROUND(TblPop[[#This Row],[Raw Birth]]*(1+TblPop[[#This Row],[Growth]]),0)</f>
        <v>370</v>
      </c>
      <c r="Y88" s="97">
        <f ca="1">(TblPop[[#This Row],[Peasants]]-TblPop[[#This Row],[Draft Growth]])*raw_pop_growth</f>
        <v>263.61</v>
      </c>
      <c r="Z88" s="97">
        <f ca="1">IF(TblPop[[#This Row],[Military%]]&lt;TblMili[[#This Row],[Draftrate]],ROUND(TblPop[[#This Row],[Peasants]]*Constants!$B$55,0), 0)</f>
        <v>89</v>
      </c>
      <c r="AA88" s="145"/>
      <c r="AB88" s="146">
        <f ca="1">Overview!$I$16 + IF(Magic!AE88&gt;0,Constants!$F$78) + ROUND(6*(Construction!BM89+Construction!CK88)/IF(Explore!S89&gt;0,Construction!F89-20,Construction!F89),4) + tech_6_5_2*Techs!BJ88 + tech_8_4*Techs!BT88</f>
        <v>0.40289999999999998</v>
      </c>
      <c r="AC88" s="142">
        <f ca="1">(Overview!$I$15 + Imps!Z88+ tech_2_5*Techs!AB88 + tech_3_6*Techs!AM88 + tech_6_1*Techs!BJ88 + tech_6_5*Techs!BF88 + tech_7_3_2*Techs!BN88) * (1 + Production!O88/100*prestige_pop_multiplier) + Production!O88/100*prestige_pop_multiplier</f>
        <v>7.6249999999999998E-2</v>
      </c>
    </row>
    <row r="89" spans="1:29" x14ac:dyDescent="0.2">
      <c r="A89" s="140">
        <f>TblRezone[[#This Row],[Hour]]</f>
        <v>86</v>
      </c>
      <c r="B89" s="141">
        <f ca="1">TblImps[[#This Row],[Time]]</f>
        <v>45433.291666666461</v>
      </c>
      <c r="C89" s="97">
        <f ca="1">OFFSET(TblPop[[#This Row],[Peasants]],-1,0)+OFFSET(TblPop[[#This Row],[Net Peasant]],-1,0)+TblMili[[#This Row],[Release Draft]]</f>
        <v>8787</v>
      </c>
      <c r="D89" s="97">
        <f ca="1">TblMili[[#This Row],[Military]]</f>
        <v>4152</v>
      </c>
      <c r="E89" s="97">
        <f ca="1">TblMili[[#This Row],[Draftees]]</f>
        <v>928</v>
      </c>
      <c r="F89" s="97">
        <f ca="1">TblPop[[#This Row],[Peasants]]+TblPop[[#This Row],[Military]]</f>
        <v>12939</v>
      </c>
      <c r="G89" s="142">
        <f ca="1">TblPop[[#This Row],[Military]]/TblPop[[#This Row],[Total]]</f>
        <v>0.32089033155576163</v>
      </c>
      <c r="H89" s="143">
        <f ca="1">MIN(TblPop[[#This Row],[Peasants]],TblPop[[#This Row],[Jobs]])</f>
        <v>8787</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12200</v>
      </c>
      <c r="K89" s="144"/>
      <c r="L89" s="62">
        <f ca="1">TblPop[[#This Row],[Draftees]]</f>
        <v>928</v>
      </c>
      <c r="M89" s="62">
        <f ca="1">TblMili[[#This Row],[Unit 1]]</f>
        <v>0</v>
      </c>
      <c r="N89" s="62">
        <f ca="1">TblMili[[#This Row],[Unit 2]]</f>
        <v>1246</v>
      </c>
      <c r="O89" s="62">
        <f ca="1">TblMili[[#This Row],[Unit 3]]</f>
        <v>700</v>
      </c>
      <c r="P89" s="62">
        <f ca="1">TblMili[[#This Row],[Unit 4]]</f>
        <v>1228</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12939</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9" s="97">
        <f ca="1">MAX(-5%*TblPop[[#This Row],[Peasants]]-TblPop[[#This Row],[Draft Growth]],MIN(OFFSET(TblPop[[#This Row],[Net max]],1,0)-TblPop[[#This Row],[Peasants]]-TblPop[[#This Row],[Military]]-TblPop[[#This Row],[Draft Growth]],TblPop[[#This Row],[Modded Birth]]-TblPop[[#This Row],[Draft Growth]]))</f>
        <v>-88</v>
      </c>
      <c r="X89" s="97">
        <f ca="1">ROUND(TblPop[[#This Row],[Raw Birth]]*(1+TblPop[[#This Row],[Growth]]),0)</f>
        <v>366</v>
      </c>
      <c r="Y89" s="97">
        <f ca="1">(TblPop[[#This Row],[Peasants]]-TblPop[[#This Row],[Draft Growth]])*raw_pop_growth</f>
        <v>260.96999999999997</v>
      </c>
      <c r="Z89" s="97">
        <f ca="1">IF(TblPop[[#This Row],[Military%]]&lt;TblMili[[#This Row],[Draftrate]],ROUND(TblPop[[#This Row],[Peasants]]*Constants!$B$55,0), 0)</f>
        <v>88</v>
      </c>
      <c r="AA89" s="145"/>
      <c r="AB89" s="146">
        <f ca="1">Overview!$I$16 + IF(Magic!AE89&gt;0,Constants!$F$78) + ROUND(6*(Construction!BM90+Construction!CK89)/IF(Explore!S90&gt;0,Construction!F90-20,Construction!F90),4) + tech_6_5_2*Techs!BJ89 + tech_8_4*Techs!BT89</f>
        <v>0.40289999999999998</v>
      </c>
      <c r="AC89" s="142">
        <f ca="1">(Overview!$I$15 + Imps!Z89+ tech_2_5*Techs!AB89 + tech_3_6*Techs!AM89 + tech_6_1*Techs!BJ89 + tech_6_5*Techs!BF89 + tech_7_3_2*Techs!BN89) * (1 + Production!O89/100*prestige_pop_multiplier) + Production!O89/100*prestige_pop_multiplier</f>
        <v>7.6249999999999998E-2</v>
      </c>
    </row>
    <row r="90" spans="1:29" x14ac:dyDescent="0.2">
      <c r="A90" s="140">
        <f>TblRezone[[#This Row],[Hour]]</f>
        <v>87</v>
      </c>
      <c r="B90" s="141">
        <f ca="1">TblImps[[#This Row],[Time]]</f>
        <v>45433.333333333125</v>
      </c>
      <c r="C90" s="97">
        <f ca="1">OFFSET(TblPop[[#This Row],[Peasants]],-1,0)+OFFSET(TblPop[[#This Row],[Net Peasant]],-1,0)+TblMili[[#This Row],[Release Draft]]</f>
        <v>8699</v>
      </c>
      <c r="D90" s="97">
        <f ca="1">TblMili[[#This Row],[Military]]</f>
        <v>4240</v>
      </c>
      <c r="E90" s="97">
        <f ca="1">TblMili[[#This Row],[Draftees]]</f>
        <v>1016</v>
      </c>
      <c r="F90" s="97">
        <f ca="1">TblPop[[#This Row],[Peasants]]+TblPop[[#This Row],[Military]]</f>
        <v>12939</v>
      </c>
      <c r="G90" s="142">
        <f ca="1">TblPop[[#This Row],[Military]]/TblPop[[#This Row],[Total]]</f>
        <v>0.3276914753844965</v>
      </c>
      <c r="H90" s="143">
        <f ca="1">MIN(TblPop[[#This Row],[Peasants]],TblPop[[#This Row],[Jobs]])</f>
        <v>8699</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12200</v>
      </c>
      <c r="K90" s="144"/>
      <c r="L90" s="62">
        <f ca="1">TblPop[[#This Row],[Draftees]]</f>
        <v>1016</v>
      </c>
      <c r="M90" s="62">
        <f ca="1">TblMili[[#This Row],[Unit 1]]</f>
        <v>0</v>
      </c>
      <c r="N90" s="62">
        <f ca="1">TblMili[[#This Row],[Unit 2]]</f>
        <v>1246</v>
      </c>
      <c r="O90" s="62">
        <f ca="1">TblMili[[#This Row],[Unit 3]]</f>
        <v>700</v>
      </c>
      <c r="P90" s="62">
        <f ca="1">TblMili[[#This Row],[Unit 4]]</f>
        <v>1228</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12939</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0" s="97">
        <f ca="1">MAX(-5%*TblPop[[#This Row],[Peasants]]-TblPop[[#This Row],[Draft Growth]],MIN(OFFSET(TblPop[[#This Row],[Net max]],1,0)-TblPop[[#This Row],[Peasants]]-TblPop[[#This Row],[Military]]-TblPop[[#This Row],[Draft Growth]],TblPop[[#This Row],[Modded Birth]]-TblPop[[#This Row],[Draft Growth]]))</f>
        <v>-87</v>
      </c>
      <c r="X90" s="97">
        <f ca="1">ROUND(TblPop[[#This Row],[Raw Birth]]*(1+TblPop[[#This Row],[Growth]]),0)</f>
        <v>362</v>
      </c>
      <c r="Y90" s="97">
        <f ca="1">(TblPop[[#This Row],[Peasants]]-TblPop[[#This Row],[Draft Growth]])*raw_pop_growth</f>
        <v>258.36</v>
      </c>
      <c r="Z90" s="97">
        <f ca="1">IF(TblPop[[#This Row],[Military%]]&lt;TblMili[[#This Row],[Draftrate]],ROUND(TblPop[[#This Row],[Peasants]]*Constants!$B$55,0), 0)</f>
        <v>87</v>
      </c>
      <c r="AA90" s="145"/>
      <c r="AB90" s="146">
        <f ca="1">Overview!$I$16 + IF(Magic!AE90&gt;0,Constants!$F$78) + ROUND(6*(Construction!BM91+Construction!CK90)/IF(Explore!S91&gt;0,Construction!F91-20,Construction!F91),4) + tech_6_5_2*Techs!BJ90 + tech_8_4*Techs!BT90</f>
        <v>0.40289999999999998</v>
      </c>
      <c r="AC90" s="142">
        <f ca="1">(Overview!$I$15 + Imps!Z90+ tech_2_5*Techs!AB90 + tech_3_6*Techs!AM90 + tech_6_1*Techs!BJ90 + tech_6_5*Techs!BF90 + tech_7_3_2*Techs!BN90) * (1 + Production!O90/100*prestige_pop_multiplier) + Production!O90/100*prestige_pop_multiplier</f>
        <v>7.6249999999999998E-2</v>
      </c>
    </row>
    <row r="91" spans="1:29" x14ac:dyDescent="0.2">
      <c r="A91" s="140">
        <f>TblRezone[[#This Row],[Hour]]</f>
        <v>88</v>
      </c>
      <c r="B91" s="141">
        <f ca="1">TblImps[[#This Row],[Time]]</f>
        <v>45433.374999999789</v>
      </c>
      <c r="C91" s="97">
        <f ca="1">OFFSET(TblPop[[#This Row],[Peasants]],-1,0)+OFFSET(TblPop[[#This Row],[Net Peasant]],-1,0)+TblMili[[#This Row],[Release Draft]]</f>
        <v>8612</v>
      </c>
      <c r="D91" s="97">
        <f ca="1">TblMili[[#This Row],[Military]]</f>
        <v>4327</v>
      </c>
      <c r="E91" s="97">
        <f ca="1">TblMili[[#This Row],[Draftees]]</f>
        <v>1103</v>
      </c>
      <c r="F91" s="97">
        <f ca="1">TblPop[[#This Row],[Peasants]]+TblPop[[#This Row],[Military]]</f>
        <v>12939</v>
      </c>
      <c r="G91" s="142">
        <f ca="1">TblPop[[#This Row],[Military]]/TblPop[[#This Row],[Total]]</f>
        <v>0.33441533348790481</v>
      </c>
      <c r="H91" s="143">
        <f ca="1">MIN(TblPop[[#This Row],[Peasants]],TblPop[[#This Row],[Jobs]])</f>
        <v>8612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12200</v>
      </c>
      <c r="K91" s="144"/>
      <c r="L91" s="62">
        <f ca="1">TblPop[[#This Row],[Draftees]]</f>
        <v>1103</v>
      </c>
      <c r="M91" s="62">
        <f ca="1">TblMili[[#This Row],[Unit 1]]</f>
        <v>0</v>
      </c>
      <c r="N91" s="62">
        <f ca="1">TblMili[[#This Row],[Unit 2]]</f>
        <v>1246</v>
      </c>
      <c r="O91" s="62">
        <f ca="1">TblMili[[#This Row],[Unit 3]]</f>
        <v>700</v>
      </c>
      <c r="P91" s="62">
        <f ca="1">TblMili[[#This Row],[Unit 4]]</f>
        <v>1228</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12939</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1" s="97">
        <f ca="1">MAX(-5%*TblPop[[#This Row],[Peasants]]-TblPop[[#This Row],[Draft Growth]],MIN(OFFSET(TblPop[[#This Row],[Net max]],1,0)-TblPop[[#This Row],[Peasants]]-TblPop[[#This Row],[Military]]-TblPop[[#This Row],[Draft Growth]],TblPop[[#This Row],[Modded Birth]]-TblPop[[#This Row],[Draft Growth]]))</f>
        <v>-86</v>
      </c>
      <c r="X91" s="97">
        <f ca="1">ROUND(TblPop[[#This Row],[Raw Birth]]*(1+TblPop[[#This Row],[Growth]]),0)</f>
        <v>359</v>
      </c>
      <c r="Y91" s="97">
        <f ca="1">(TblPop[[#This Row],[Peasants]]-TblPop[[#This Row],[Draft Growth]])*raw_pop_growth</f>
        <v>255.78</v>
      </c>
      <c r="Z91" s="97">
        <f ca="1">IF(TblPop[[#This Row],[Military%]]&lt;TblMili[[#This Row],[Draftrate]],ROUND(TblPop[[#This Row],[Peasants]]*Constants!$B$55,0), 0)</f>
        <v>86</v>
      </c>
      <c r="AA91" s="145"/>
      <c r="AB91" s="146">
        <f ca="1">Overview!$I$16 + IF(Magic!AE91&gt;0,Constants!$F$78) + ROUND(6*(Construction!BM92+Construction!CK91)/IF(Explore!S92&gt;0,Construction!F92-20,Construction!F92),4) + tech_6_5_2*Techs!BJ91 + tech_8_4*Techs!BT91</f>
        <v>0.40289999999999998</v>
      </c>
      <c r="AC91" s="142">
        <f ca="1">(Overview!$I$15 + Imps!Z91+ tech_2_5*Techs!AB91 + tech_3_6*Techs!AM91 + tech_6_1*Techs!BJ91 + tech_6_5*Techs!BF91 + tech_7_3_2*Techs!BN91) * (1 + Production!O91/100*prestige_pop_multiplier) + Production!O91/100*prestige_pop_multiplier</f>
        <v>7.6249999999999998E-2</v>
      </c>
    </row>
    <row r="92" spans="1:29" x14ac:dyDescent="0.2">
      <c r="A92" s="140">
        <f>TblRezone[[#This Row],[Hour]]</f>
        <v>89</v>
      </c>
      <c r="B92" s="141">
        <f ca="1">TblImps[[#This Row],[Time]]</f>
        <v>45433.416666666453</v>
      </c>
      <c r="C92" s="97">
        <f ca="1">OFFSET(TblPop[[#This Row],[Peasants]],-1,0)+OFFSET(TblPop[[#This Row],[Net Peasant]],-1,0)+TblMili[[#This Row],[Release Draft]]</f>
        <v>8526</v>
      </c>
      <c r="D92" s="97">
        <f ca="1">TblMili[[#This Row],[Military]]</f>
        <v>4413</v>
      </c>
      <c r="E92" s="97">
        <f ca="1">TblMili[[#This Row],[Draftees]]</f>
        <v>1189</v>
      </c>
      <c r="F92" s="97">
        <f ca="1">TblPop[[#This Row],[Peasants]]+TblPop[[#This Row],[Military]]</f>
        <v>12939</v>
      </c>
      <c r="G92" s="142">
        <f ca="1">TblPop[[#This Row],[Military]]/TblPop[[#This Row],[Total]]</f>
        <v>0.34106190586598656</v>
      </c>
      <c r="H92" s="143">
        <f ca="1">MIN(TblPop[[#This Row],[Peasants]],TblPop[[#This Row],[Jobs]])</f>
        <v>8526</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12200</v>
      </c>
      <c r="K92" s="144"/>
      <c r="L92" s="62">
        <f ca="1">TblPop[[#This Row],[Draftees]]</f>
        <v>1189</v>
      </c>
      <c r="M92" s="62">
        <f ca="1">TblMili[[#This Row],[Unit 1]]</f>
        <v>0</v>
      </c>
      <c r="N92" s="62">
        <f ca="1">TblMili[[#This Row],[Unit 2]]</f>
        <v>1246</v>
      </c>
      <c r="O92" s="62">
        <f ca="1">TblMili[[#This Row],[Unit 3]]</f>
        <v>700</v>
      </c>
      <c r="P92" s="62">
        <f ca="1">TblMili[[#This Row],[Unit 4]]</f>
        <v>1228</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12939</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2" s="97">
        <f ca="1">MAX(-5%*TblPop[[#This Row],[Peasants]]-TblPop[[#This Row],[Draft Growth]],MIN(OFFSET(TblPop[[#This Row],[Net max]],1,0)-TblPop[[#This Row],[Peasants]]-TblPop[[#This Row],[Military]]-TblPop[[#This Row],[Draft Growth]],TblPop[[#This Row],[Modded Birth]]-TblPop[[#This Row],[Draft Growth]]))</f>
        <v>-85</v>
      </c>
      <c r="X92" s="97">
        <f ca="1">ROUND(TblPop[[#This Row],[Raw Birth]]*(1+TblPop[[#This Row],[Growth]]),0)</f>
        <v>355</v>
      </c>
      <c r="Y92" s="97">
        <f ca="1">(TblPop[[#This Row],[Peasants]]-TblPop[[#This Row],[Draft Growth]])*raw_pop_growth</f>
        <v>253.23</v>
      </c>
      <c r="Z92" s="97">
        <f ca="1">IF(TblPop[[#This Row],[Military%]]&lt;TblMili[[#This Row],[Draftrate]],ROUND(TblPop[[#This Row],[Peasants]]*Constants!$B$55,0), 0)</f>
        <v>85</v>
      </c>
      <c r="AA92" s="145"/>
      <c r="AB92" s="146">
        <f ca="1">Overview!$I$16 + IF(Magic!AE92&gt;0,Constants!$F$78) + ROUND(6*(Construction!BM93+Construction!CK92)/IF(Explore!S93&gt;0,Construction!F93-20,Construction!F93),4) + tech_6_5_2*Techs!BJ92 + tech_8_4*Techs!BT92</f>
        <v>0.40289999999999998</v>
      </c>
      <c r="AC92" s="142">
        <f ca="1">(Overview!$I$15 + Imps!Z92+ tech_2_5*Techs!AB92 + tech_3_6*Techs!AM92 + tech_6_1*Techs!BJ92 + tech_6_5*Techs!BF92 + tech_7_3_2*Techs!BN92) * (1 + Production!O92/100*prestige_pop_multiplier) + Production!O92/100*prestige_pop_multiplier</f>
        <v>7.6249999999999998E-2</v>
      </c>
    </row>
    <row r="93" spans="1:29" x14ac:dyDescent="0.2">
      <c r="A93" s="140">
        <f>TblRezone[[#This Row],[Hour]]</f>
        <v>90</v>
      </c>
      <c r="B93" s="141">
        <f ca="1">TblImps[[#This Row],[Time]]</f>
        <v>45433.458333333117</v>
      </c>
      <c r="C93" s="97">
        <f ca="1">OFFSET(TblPop[[#This Row],[Peasants]],-1,0)+OFFSET(TblPop[[#This Row],[Net Peasant]],-1,0)+TblMili[[#This Row],[Release Draft]]</f>
        <v>8441</v>
      </c>
      <c r="D93" s="97">
        <f ca="1">TblMili[[#This Row],[Military]]</f>
        <v>4498</v>
      </c>
      <c r="E93" s="97">
        <f ca="1">TblMili[[#This Row],[Draftees]]</f>
        <v>1274</v>
      </c>
      <c r="F93" s="97">
        <f ca="1">TblPop[[#This Row],[Peasants]]+TblPop[[#This Row],[Military]]</f>
        <v>12939</v>
      </c>
      <c r="G93" s="142">
        <f ca="1">TblPop[[#This Row],[Military]]/TblPop[[#This Row],[Total]]</f>
        <v>0.34763119251874181</v>
      </c>
      <c r="H93" s="143">
        <f ca="1">MIN(TblPop[[#This Row],[Peasants]],TblPop[[#This Row],[Jobs]])</f>
        <v>8441</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12200</v>
      </c>
      <c r="K93" s="144"/>
      <c r="L93" s="62">
        <f ca="1">TblPop[[#This Row],[Draftees]]</f>
        <v>1274</v>
      </c>
      <c r="M93" s="62">
        <f ca="1">TblMili[[#This Row],[Unit 1]]</f>
        <v>0</v>
      </c>
      <c r="N93" s="62">
        <f ca="1">TblMili[[#This Row],[Unit 2]]</f>
        <v>1246</v>
      </c>
      <c r="O93" s="62">
        <f ca="1">TblMili[[#This Row],[Unit 3]]</f>
        <v>700</v>
      </c>
      <c r="P93" s="62">
        <f ca="1">TblMili[[#This Row],[Unit 4]]</f>
        <v>1228</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12939</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3" s="97">
        <f ca="1">MAX(-5%*TblPop[[#This Row],[Peasants]]-TblPop[[#This Row],[Draft Growth]],MIN(OFFSET(TblPop[[#This Row],[Net max]],1,0)-TblPop[[#This Row],[Peasants]]-TblPop[[#This Row],[Military]]-TblPop[[#This Row],[Draft Growth]],TblPop[[#This Row],[Modded Birth]]-TblPop[[#This Row],[Draft Growth]]))</f>
        <v>-84</v>
      </c>
      <c r="X93" s="97">
        <f ca="1">ROUND(TblPop[[#This Row],[Raw Birth]]*(1+TblPop[[#This Row],[Growth]]),0)</f>
        <v>352</v>
      </c>
      <c r="Y93" s="97">
        <f ca="1">(TblPop[[#This Row],[Peasants]]-TblPop[[#This Row],[Draft Growth]])*raw_pop_growth</f>
        <v>250.70999999999998</v>
      </c>
      <c r="Z93" s="97">
        <f ca="1">IF(TblPop[[#This Row],[Military%]]&lt;TblMili[[#This Row],[Draftrate]],ROUND(TblPop[[#This Row],[Peasants]]*Constants!$B$55,0), 0)</f>
        <v>84</v>
      </c>
      <c r="AA93" s="145"/>
      <c r="AB93" s="146">
        <f ca="1">Overview!$I$16 + IF(Magic!AE93&gt;0,Constants!$F$78) + ROUND(6*(Construction!BM94+Construction!CK93)/IF(Explore!S94&gt;0,Construction!F94-20,Construction!F94),4) + tech_6_5_2*Techs!BJ93 + tech_8_4*Techs!BT93</f>
        <v>0.40289999999999998</v>
      </c>
      <c r="AC93" s="142">
        <f ca="1">(Overview!$I$15 + Imps!Z93+ tech_2_5*Techs!AB93 + tech_3_6*Techs!AM93 + tech_6_1*Techs!BJ93 + tech_6_5*Techs!BF93 + tech_7_3_2*Techs!BN93) * (1 + Production!O93/100*prestige_pop_multiplier) + Production!O93/100*prestige_pop_multiplier</f>
        <v>7.6249999999999998E-2</v>
      </c>
    </row>
    <row r="94" spans="1:29" x14ac:dyDescent="0.2">
      <c r="A94" s="140">
        <f>TblRezone[[#This Row],[Hour]]</f>
        <v>91</v>
      </c>
      <c r="B94" s="141">
        <f ca="1">TblImps[[#This Row],[Time]]</f>
        <v>45433.499999999782</v>
      </c>
      <c r="C94" s="97">
        <f ca="1">OFFSET(TblPop[[#This Row],[Peasants]],-1,0)+OFFSET(TblPop[[#This Row],[Net Peasant]],-1,0)+TblMili[[#This Row],[Release Draft]]</f>
        <v>8357</v>
      </c>
      <c r="D94" s="97">
        <f ca="1">TblMili[[#This Row],[Military]]</f>
        <v>4582</v>
      </c>
      <c r="E94" s="97">
        <f ca="1">TblMili[[#This Row],[Draftees]]</f>
        <v>1358</v>
      </c>
      <c r="F94" s="97">
        <f ca="1">TblPop[[#This Row],[Peasants]]+TblPop[[#This Row],[Military]]</f>
        <v>12939</v>
      </c>
      <c r="G94" s="142">
        <f ca="1">TblPop[[#This Row],[Military]]/TblPop[[#This Row],[Total]]</f>
        <v>0.35412319344617049</v>
      </c>
      <c r="H94" s="143">
        <f ca="1">MIN(TblPop[[#This Row],[Peasants]],TblPop[[#This Row],[Jobs]])</f>
        <v>8357</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12200</v>
      </c>
      <c r="K94" s="144"/>
      <c r="L94" s="62">
        <f ca="1">TblPop[[#This Row],[Draftees]]</f>
        <v>1358</v>
      </c>
      <c r="M94" s="62">
        <f ca="1">TblMili[[#This Row],[Unit 1]]</f>
        <v>0</v>
      </c>
      <c r="N94" s="62">
        <f ca="1">TblMili[[#This Row],[Unit 2]]</f>
        <v>1246</v>
      </c>
      <c r="O94" s="62">
        <f ca="1">TblMili[[#This Row],[Unit 3]]</f>
        <v>700</v>
      </c>
      <c r="P94" s="62">
        <f ca="1">TblMili[[#This Row],[Unit 4]]</f>
        <v>1228</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12939</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4" s="97">
        <f ca="1">MAX(-5%*TblPop[[#This Row],[Peasants]]-TblPop[[#This Row],[Draft Growth]],MIN(OFFSET(TblPop[[#This Row],[Net max]],1,0)-TblPop[[#This Row],[Peasants]]-TblPop[[#This Row],[Military]]-TblPop[[#This Row],[Draft Growth]],TblPop[[#This Row],[Modded Birth]]-TblPop[[#This Row],[Draft Growth]]))</f>
        <v>-84</v>
      </c>
      <c r="X94" s="97">
        <f ca="1">ROUND(TblPop[[#This Row],[Raw Birth]]*(1+TblPop[[#This Row],[Growth]]),0)</f>
        <v>348</v>
      </c>
      <c r="Y94" s="97">
        <f ca="1">(TblPop[[#This Row],[Peasants]]-TblPop[[#This Row],[Draft Growth]])*raw_pop_growth</f>
        <v>248.19</v>
      </c>
      <c r="Z94" s="97">
        <f ca="1">IF(TblPop[[#This Row],[Military%]]&lt;TblMili[[#This Row],[Draftrate]],ROUND(TblPop[[#This Row],[Peasants]]*Constants!$B$55,0), 0)</f>
        <v>84</v>
      </c>
      <c r="AA94" s="145"/>
      <c r="AB94" s="146">
        <f ca="1">Overview!$I$16 + IF(Magic!AE94&gt;0,Constants!$F$78) + ROUND(6*(Construction!BM95+Construction!CK94)/IF(Explore!S95&gt;0,Construction!F95-20,Construction!F95),4) + tech_6_5_2*Techs!BJ94 + tech_8_4*Techs!BT94</f>
        <v>0.40289999999999998</v>
      </c>
      <c r="AC94" s="142">
        <f ca="1">(Overview!$I$15 + Imps!Z94+ tech_2_5*Techs!AB94 + tech_3_6*Techs!AM94 + tech_6_1*Techs!BJ94 + tech_6_5*Techs!BF94 + tech_7_3_2*Techs!BN94) * (1 + Production!O94/100*prestige_pop_multiplier) + Production!O94/100*prestige_pop_multiplier</f>
        <v>7.6249999999999998E-2</v>
      </c>
    </row>
    <row r="95" spans="1:29" x14ac:dyDescent="0.2">
      <c r="A95" s="140">
        <f>TblRezone[[#This Row],[Hour]]</f>
        <v>92</v>
      </c>
      <c r="B95" s="141">
        <f ca="1">TblImps[[#This Row],[Time]]</f>
        <v>45433.541666666446</v>
      </c>
      <c r="C95" s="97">
        <f ca="1">OFFSET(TblPop[[#This Row],[Peasants]],-1,0)+OFFSET(TblPop[[#This Row],[Net Peasant]],-1,0)+TblMili[[#This Row],[Release Draft]]</f>
        <v>8273</v>
      </c>
      <c r="D95" s="97">
        <f ca="1">TblMili[[#This Row],[Military]]</f>
        <v>4666</v>
      </c>
      <c r="E95" s="97">
        <f ca="1">TblMili[[#This Row],[Draftees]]</f>
        <v>1442</v>
      </c>
      <c r="F95" s="97">
        <f ca="1">TblPop[[#This Row],[Peasants]]+TblPop[[#This Row],[Military]]</f>
        <v>12939</v>
      </c>
      <c r="G95" s="142">
        <f ca="1">TblPop[[#This Row],[Military]]/TblPop[[#This Row],[Total]]</f>
        <v>0.36061519437359918</v>
      </c>
      <c r="H95" s="143">
        <f ca="1">MIN(TblPop[[#This Row],[Peasants]],TblPop[[#This Row],[Jobs]])</f>
        <v>8273</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12200</v>
      </c>
      <c r="K95" s="144"/>
      <c r="L95" s="62">
        <f ca="1">TblPop[[#This Row],[Draftees]]</f>
        <v>1442</v>
      </c>
      <c r="M95" s="62">
        <f ca="1">TblMili[[#This Row],[Unit 1]]</f>
        <v>0</v>
      </c>
      <c r="N95" s="62">
        <f ca="1">TblMili[[#This Row],[Unit 2]]</f>
        <v>1246</v>
      </c>
      <c r="O95" s="62">
        <f ca="1">TblMili[[#This Row],[Unit 3]]</f>
        <v>700</v>
      </c>
      <c r="P95" s="62">
        <f ca="1">TblMili[[#This Row],[Unit 4]]</f>
        <v>1228</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12939</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5" s="97">
        <f ca="1">MAX(-5%*TblPop[[#This Row],[Peasants]]-TblPop[[#This Row],[Draft Growth]],MIN(OFFSET(TblPop[[#This Row],[Net max]],1,0)-TblPop[[#This Row],[Peasants]]-TblPop[[#This Row],[Military]]-TblPop[[#This Row],[Draft Growth]],TblPop[[#This Row],[Modded Birth]]-TblPop[[#This Row],[Draft Growth]]))</f>
        <v>-83</v>
      </c>
      <c r="X95" s="97">
        <f ca="1">ROUND(TblPop[[#This Row],[Raw Birth]]*(1+TblPop[[#This Row],[Growth]]),0)</f>
        <v>345</v>
      </c>
      <c r="Y95" s="97">
        <f ca="1">(TblPop[[#This Row],[Peasants]]-TblPop[[#This Row],[Draft Growth]])*raw_pop_growth</f>
        <v>245.7</v>
      </c>
      <c r="Z95" s="97">
        <f ca="1">IF(TblPop[[#This Row],[Military%]]&lt;TblMili[[#This Row],[Draftrate]],ROUND(TblPop[[#This Row],[Peasants]]*Constants!$B$55,0), 0)</f>
        <v>83</v>
      </c>
      <c r="AA95" s="145"/>
      <c r="AB95" s="146">
        <f ca="1">Overview!$I$16 + IF(Magic!AE95&gt;0,Constants!$F$78) + ROUND(6*(Construction!BM96+Construction!CK95)/IF(Explore!S96&gt;0,Construction!F96-20,Construction!F96),4) + tech_6_5_2*Techs!BJ95 + tech_8_4*Techs!BT95</f>
        <v>0.40289999999999998</v>
      </c>
      <c r="AC95" s="142">
        <f ca="1">(Overview!$I$15 + Imps!Z95+ tech_2_5*Techs!AB95 + tech_3_6*Techs!AM95 + tech_6_1*Techs!BJ95 + tech_6_5*Techs!BF95 + tech_7_3_2*Techs!BN95) * (1 + Production!O95/100*prestige_pop_multiplier) + Production!O95/100*prestige_pop_multiplier</f>
        <v>7.6249999999999998E-2</v>
      </c>
    </row>
    <row r="96" spans="1:29" x14ac:dyDescent="0.2">
      <c r="A96" s="140">
        <f>TblRezone[[#This Row],[Hour]]</f>
        <v>93</v>
      </c>
      <c r="B96" s="141">
        <f ca="1">TblImps[[#This Row],[Time]]</f>
        <v>45433.58333333311</v>
      </c>
      <c r="C96" s="97">
        <f ca="1">OFFSET(TblPop[[#This Row],[Peasants]],-1,0)+OFFSET(TblPop[[#This Row],[Net Peasant]],-1,0)+TblMili[[#This Row],[Release Draft]]</f>
        <v>8190</v>
      </c>
      <c r="D96" s="97">
        <f ca="1">TblMili[[#This Row],[Military]]</f>
        <v>4749</v>
      </c>
      <c r="E96" s="97">
        <f ca="1">TblMili[[#This Row],[Draftees]]</f>
        <v>1525</v>
      </c>
      <c r="F96" s="97">
        <f ca="1">TblPop[[#This Row],[Peasants]]+TblPop[[#This Row],[Military]]</f>
        <v>12939</v>
      </c>
      <c r="G96" s="142">
        <f ca="1">TblPop[[#This Row],[Military]]/TblPop[[#This Row],[Total]]</f>
        <v>0.36702990957570136</v>
      </c>
      <c r="H96" s="143">
        <f ca="1">MIN(TblPop[[#This Row],[Peasants]],TblPop[[#This Row],[Jobs]])</f>
        <v>8190</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12200</v>
      </c>
      <c r="K96" s="144"/>
      <c r="L96" s="62">
        <f ca="1">TblPop[[#This Row],[Draftees]]</f>
        <v>1525</v>
      </c>
      <c r="M96" s="62">
        <f ca="1">TblMili[[#This Row],[Unit 1]]</f>
        <v>0</v>
      </c>
      <c r="N96" s="62">
        <f ca="1">TblMili[[#This Row],[Unit 2]]</f>
        <v>1246</v>
      </c>
      <c r="O96" s="62">
        <f ca="1">TblMili[[#This Row],[Unit 3]]</f>
        <v>700</v>
      </c>
      <c r="P96" s="62">
        <f ca="1">TblMili[[#This Row],[Unit 4]]</f>
        <v>1228</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12939</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6" s="97">
        <f ca="1">MAX(-5%*TblPop[[#This Row],[Peasants]]-TblPop[[#This Row],[Draft Growth]],MIN(OFFSET(TblPop[[#This Row],[Net max]],1,0)-TblPop[[#This Row],[Peasants]]-TblPop[[#This Row],[Military]]-TblPop[[#This Row],[Draft Growth]],TblPop[[#This Row],[Modded Birth]]-TblPop[[#This Row],[Draft Growth]]))</f>
        <v>-82</v>
      </c>
      <c r="X96" s="97">
        <f ca="1">ROUND(TblPop[[#This Row],[Raw Birth]]*(1+TblPop[[#This Row],[Growth]]),0)</f>
        <v>341</v>
      </c>
      <c r="Y96" s="97">
        <f ca="1">(TblPop[[#This Row],[Peasants]]-TblPop[[#This Row],[Draft Growth]])*raw_pop_growth</f>
        <v>243.23999999999998</v>
      </c>
      <c r="Z96" s="97">
        <f ca="1">IF(TblPop[[#This Row],[Military%]]&lt;TblMili[[#This Row],[Draftrate]],ROUND(TblPop[[#This Row],[Peasants]]*Constants!$B$55,0), 0)</f>
        <v>82</v>
      </c>
      <c r="AA96" s="145"/>
      <c r="AB96" s="146">
        <f ca="1">Overview!$I$16 + IF(Magic!AE96&gt;0,Constants!$F$78) + ROUND(6*(Construction!BM97+Construction!CK96)/IF(Explore!S97&gt;0,Construction!F97-20,Construction!F97),4) + tech_6_5_2*Techs!BJ96 + tech_8_4*Techs!BT96</f>
        <v>0.40289999999999998</v>
      </c>
      <c r="AC96" s="142">
        <f ca="1">(Overview!$I$15 + Imps!Z96+ tech_2_5*Techs!AB96 + tech_3_6*Techs!AM96 + tech_6_1*Techs!BJ96 + tech_6_5*Techs!BF96 + tech_7_3_2*Techs!BN96) * (1 + Production!O96/100*prestige_pop_multiplier) + Production!O96/100*prestige_pop_multiplier</f>
        <v>7.6249999999999998E-2</v>
      </c>
    </row>
    <row r="97" spans="1:29" x14ac:dyDescent="0.2">
      <c r="A97" s="140">
        <f>TblRezone[[#This Row],[Hour]]</f>
        <v>94</v>
      </c>
      <c r="B97" s="141">
        <f ca="1">TblImps[[#This Row],[Time]]</f>
        <v>45433.624999999774</v>
      </c>
      <c r="C97" s="97">
        <f ca="1">OFFSET(TblPop[[#This Row],[Peasants]],-1,0)+OFFSET(TblPop[[#This Row],[Net Peasant]],-1,0)+TblMili[[#This Row],[Release Draft]]</f>
        <v>8108</v>
      </c>
      <c r="D97" s="97">
        <f ca="1">TblMili[[#This Row],[Military]]</f>
        <v>4831</v>
      </c>
      <c r="E97" s="97">
        <f ca="1">TblMili[[#This Row],[Draftees]]</f>
        <v>1607</v>
      </c>
      <c r="F97" s="97">
        <f ca="1">TblPop[[#This Row],[Peasants]]+TblPop[[#This Row],[Military]]</f>
        <v>12939</v>
      </c>
      <c r="G97" s="142">
        <f ca="1">TblPop[[#This Row],[Military]]/TblPop[[#This Row],[Total]]</f>
        <v>0.37336733905247699</v>
      </c>
      <c r="H97" s="143">
        <f ca="1">MIN(TblPop[[#This Row],[Peasants]],TblPop[[#This Row],[Jobs]])</f>
        <v>8108</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12200</v>
      </c>
      <c r="K97" s="144"/>
      <c r="L97" s="62">
        <f ca="1">TblPop[[#This Row],[Draftees]]</f>
        <v>1607</v>
      </c>
      <c r="M97" s="62">
        <f ca="1">TblMili[[#This Row],[Unit 1]]</f>
        <v>0</v>
      </c>
      <c r="N97" s="62">
        <f ca="1">TblMili[[#This Row],[Unit 2]]</f>
        <v>1246</v>
      </c>
      <c r="O97" s="62">
        <f ca="1">TblMili[[#This Row],[Unit 3]]</f>
        <v>700</v>
      </c>
      <c r="P97" s="62">
        <f ca="1">TblMili[[#This Row],[Unit 4]]</f>
        <v>1228</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12939</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7" s="97">
        <f ca="1">MAX(-5%*TblPop[[#This Row],[Peasants]]-TblPop[[#This Row],[Draft Growth]],MIN(OFFSET(TblPop[[#This Row],[Net max]],1,0)-TblPop[[#This Row],[Peasants]]-TblPop[[#This Row],[Military]]-TblPop[[#This Row],[Draft Growth]],TblPop[[#This Row],[Modded Birth]]-TblPop[[#This Row],[Draft Growth]]))</f>
        <v>-81</v>
      </c>
      <c r="X97" s="97">
        <f ca="1">ROUND(TblPop[[#This Row],[Raw Birth]]*(1+TblPop[[#This Row],[Growth]]),0)</f>
        <v>338</v>
      </c>
      <c r="Y97" s="97">
        <f ca="1">(TblPop[[#This Row],[Peasants]]-TblPop[[#This Row],[Draft Growth]])*raw_pop_growth</f>
        <v>240.81</v>
      </c>
      <c r="Z97" s="97">
        <f ca="1">IF(TblPop[[#This Row],[Military%]]&lt;TblMili[[#This Row],[Draftrate]],ROUND(TblPop[[#This Row],[Peasants]]*Constants!$B$55,0), 0)</f>
        <v>81</v>
      </c>
      <c r="AA97" s="145"/>
      <c r="AB97" s="146">
        <f ca="1">Overview!$I$16 + IF(Magic!AE97&gt;0,Constants!$F$78) + ROUND(6*(Construction!BM98+Construction!CK97)/IF(Explore!S98&gt;0,Construction!F98-20,Construction!F98),4) + tech_6_5_2*Techs!BJ97 + tech_8_4*Techs!BT97</f>
        <v>0.40289999999999998</v>
      </c>
      <c r="AC97" s="142">
        <f ca="1">(Overview!$I$15 + Imps!Z97+ tech_2_5*Techs!AB97 + tech_3_6*Techs!AM97 + tech_6_1*Techs!BJ97 + tech_6_5*Techs!BF97 + tech_7_3_2*Techs!BN97) * (1 + Production!O97/100*prestige_pop_multiplier) + Production!O97/100*prestige_pop_multiplier</f>
        <v>7.6249999999999998E-2</v>
      </c>
    </row>
    <row r="98" spans="1:29" x14ac:dyDescent="0.2">
      <c r="A98" s="140">
        <f>TblRezone[[#This Row],[Hour]]</f>
        <v>95</v>
      </c>
      <c r="B98" s="141">
        <f ca="1">TblImps[[#This Row],[Time]]</f>
        <v>45433.666666666439</v>
      </c>
      <c r="C98" s="97">
        <f ca="1">OFFSET(TblPop[[#This Row],[Peasants]],-1,0)+OFFSET(TblPop[[#This Row],[Net Peasant]],-1,0)+TblMili[[#This Row],[Release Draft]]</f>
        <v>8027</v>
      </c>
      <c r="D98" s="97">
        <f ca="1">TblMili[[#This Row],[Military]]</f>
        <v>4912</v>
      </c>
      <c r="E98" s="97">
        <f ca="1">TblMili[[#This Row],[Draftees]]</f>
        <v>1688</v>
      </c>
      <c r="F98" s="97">
        <f ca="1">TblPop[[#This Row],[Peasants]]+TblPop[[#This Row],[Military]]</f>
        <v>12939</v>
      </c>
      <c r="G98" s="142">
        <f ca="1">TblPop[[#This Row],[Military]]/TblPop[[#This Row],[Total]]</f>
        <v>0.37962748280392611</v>
      </c>
      <c r="H98" s="143">
        <f ca="1">MIN(TblPop[[#This Row],[Peasants]],TblPop[[#This Row],[Jobs]])</f>
        <v>8027</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12200</v>
      </c>
      <c r="K98" s="144"/>
      <c r="L98" s="62">
        <f ca="1">TblPop[[#This Row],[Draftees]]</f>
        <v>1688</v>
      </c>
      <c r="M98" s="62">
        <f ca="1">TblMili[[#This Row],[Unit 1]]</f>
        <v>0</v>
      </c>
      <c r="N98" s="62">
        <f ca="1">TblMili[[#This Row],[Unit 2]]</f>
        <v>1246</v>
      </c>
      <c r="O98" s="62">
        <f ca="1">TblMili[[#This Row],[Unit 3]]</f>
        <v>700</v>
      </c>
      <c r="P98" s="62">
        <f ca="1">TblMili[[#This Row],[Unit 4]]</f>
        <v>1228</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12939</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8" s="97">
        <f ca="1">MAX(-5%*TblPop[[#This Row],[Peasants]]-TblPop[[#This Row],[Draft Growth]],MIN(OFFSET(TblPop[[#This Row],[Net max]],1,0)-TblPop[[#This Row],[Peasants]]-TblPop[[#This Row],[Military]]-TblPop[[#This Row],[Draft Growth]],TblPop[[#This Row],[Modded Birth]]-TblPop[[#This Row],[Draft Growth]]))</f>
        <v>-80</v>
      </c>
      <c r="X98" s="97">
        <f ca="1">ROUND(TblPop[[#This Row],[Raw Birth]]*(1+TblPop[[#This Row],[Growth]]),0)</f>
        <v>334</v>
      </c>
      <c r="Y98" s="97">
        <f ca="1">(TblPop[[#This Row],[Peasants]]-TblPop[[#This Row],[Draft Growth]])*raw_pop_growth</f>
        <v>238.41</v>
      </c>
      <c r="Z98" s="97">
        <f ca="1">IF(TblPop[[#This Row],[Military%]]&lt;TblMili[[#This Row],[Draftrate]],ROUND(TblPop[[#This Row],[Peasants]]*Constants!$B$55,0), 0)</f>
        <v>80</v>
      </c>
      <c r="AA98" s="145"/>
      <c r="AB98" s="146">
        <f ca="1">Overview!$I$16 + IF(Magic!AE98&gt;0,Constants!$F$78) + ROUND(6*(Construction!BM99+Construction!CK98)/IF(Explore!S99&gt;0,Construction!F99-20,Construction!F99),4) + tech_6_5_2*Techs!BJ98 + tech_8_4*Techs!BT98</f>
        <v>0.40289999999999998</v>
      </c>
      <c r="AC98" s="142">
        <f ca="1">(Overview!$I$15 + Imps!Z98+ tech_2_5*Techs!AB98 + tech_3_6*Techs!AM98 + tech_6_1*Techs!BJ98 + tech_6_5*Techs!BF98 + tech_7_3_2*Techs!BN98) * (1 + Production!O98/100*prestige_pop_multiplier) + Production!O98/100*prestige_pop_multiplier</f>
        <v>7.6249999999999998E-2</v>
      </c>
    </row>
    <row r="99" spans="1:29" x14ac:dyDescent="0.2">
      <c r="A99" s="140">
        <f>TblRezone[[#This Row],[Hour]]</f>
        <v>96</v>
      </c>
      <c r="B99" s="141">
        <f ca="1">TblImps[[#This Row],[Time]]</f>
        <v>45433.708333333103</v>
      </c>
      <c r="C99" s="97">
        <f ca="1">OFFSET(TblPop[[#This Row],[Peasants]],-1,0)+OFFSET(TblPop[[#This Row],[Net Peasant]],-1,0)+TblMili[[#This Row],[Release Draft]]</f>
        <v>7947</v>
      </c>
      <c r="D99" s="97">
        <f ca="1">TblMili[[#This Row],[Military]]</f>
        <v>4992</v>
      </c>
      <c r="E99" s="97">
        <f ca="1">TblMili[[#This Row],[Draftees]]</f>
        <v>1768</v>
      </c>
      <c r="F99" s="97">
        <f ca="1">TblPop[[#This Row],[Peasants]]+TblPop[[#This Row],[Military]]</f>
        <v>12939</v>
      </c>
      <c r="G99" s="142">
        <f ca="1">TblPop[[#This Row],[Military]]/TblPop[[#This Row],[Total]]</f>
        <v>0.38581034083004867</v>
      </c>
      <c r="H99" s="143">
        <f ca="1">MIN(TblPop[[#This Row],[Peasants]],TblPop[[#This Row],[Jobs]])</f>
        <v>7947</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12200</v>
      </c>
      <c r="K99" s="144"/>
      <c r="L99" s="62">
        <f ca="1">TblPop[[#This Row],[Draftees]]</f>
        <v>1768</v>
      </c>
      <c r="M99" s="62">
        <f ca="1">TblMili[[#This Row],[Unit 1]]</f>
        <v>0</v>
      </c>
      <c r="N99" s="62">
        <f ca="1">TblMili[[#This Row],[Unit 2]]</f>
        <v>1246</v>
      </c>
      <c r="O99" s="62">
        <f ca="1">TblMili[[#This Row],[Unit 3]]</f>
        <v>700</v>
      </c>
      <c r="P99" s="62">
        <f ca="1">TblMili[[#This Row],[Unit 4]]</f>
        <v>1228</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12939</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9" s="97">
        <f ca="1">MAX(-5%*TblPop[[#This Row],[Peasants]]-TblPop[[#This Row],[Draft Growth]],MIN(OFFSET(TblPop[[#This Row],[Net max]],1,0)-TblPop[[#This Row],[Peasants]]-TblPop[[#This Row],[Military]]-TblPop[[#This Row],[Draft Growth]],TblPop[[#This Row],[Modded Birth]]-TblPop[[#This Row],[Draft Growth]]))</f>
        <v>-79</v>
      </c>
      <c r="X99" s="97">
        <f ca="1">ROUND(TblPop[[#This Row],[Raw Birth]]*(1+TblPop[[#This Row],[Growth]]),0)</f>
        <v>331</v>
      </c>
      <c r="Y99" s="97">
        <f ca="1">(TblPop[[#This Row],[Peasants]]-TblPop[[#This Row],[Draft Growth]])*raw_pop_growth</f>
        <v>236.04</v>
      </c>
      <c r="Z99" s="97">
        <f ca="1">IF(TblPop[[#This Row],[Military%]]&lt;TblMili[[#This Row],[Draftrate]],ROUND(TblPop[[#This Row],[Peasants]]*Constants!$B$55,0), 0)</f>
        <v>79</v>
      </c>
      <c r="AA99" s="145"/>
      <c r="AB99" s="146">
        <f ca="1">Overview!$I$16 + IF(Magic!AE99&gt;0,Constants!$F$78) + ROUND(6*(Construction!BM100+Construction!CK99)/IF(Explore!S100&gt;0,Construction!F100-20,Construction!F100),4) + tech_6_5_2*Techs!BJ99 + tech_8_4*Techs!BT99</f>
        <v>0.40289999999999998</v>
      </c>
      <c r="AC99" s="142">
        <f ca="1">(Overview!$I$15 + Imps!Z99+ tech_2_5*Techs!AB99 + tech_3_6*Techs!AM99 + tech_6_1*Techs!BJ99 + tech_6_5*Techs!BF99 + tech_7_3_2*Techs!BN99) * (1 + Production!O99/100*prestige_pop_multiplier) + Production!O99/100*prestige_pop_multiplier</f>
        <v>7.6249999999999998E-2</v>
      </c>
    </row>
    <row r="100" spans="1:29" x14ac:dyDescent="0.2">
      <c r="A100" s="140">
        <f>TblRezone[[#This Row],[Hour]]</f>
        <v>97</v>
      </c>
      <c r="B100" s="141">
        <f ca="1">TblImps[[#This Row],[Time]]</f>
        <v>45433.749999999767</v>
      </c>
      <c r="C100" s="97">
        <f ca="1">OFFSET(TblPop[[#This Row],[Peasants]],-1,0)+OFFSET(TblPop[[#This Row],[Net Peasant]],-1,0)+TblMili[[#This Row],[Release Draft]]</f>
        <v>7868</v>
      </c>
      <c r="D100" s="97">
        <f ca="1">TblMili[[#This Row],[Military]]</f>
        <v>5071</v>
      </c>
      <c r="E100" s="97">
        <f ca="1">TblMili[[#This Row],[Draftees]]</f>
        <v>1847</v>
      </c>
      <c r="F100" s="97">
        <f ca="1">TblPop[[#This Row],[Peasants]]+TblPop[[#This Row],[Military]]</f>
        <v>12939</v>
      </c>
      <c r="G100" s="142">
        <f ca="1">TblPop[[#This Row],[Military]]/TblPop[[#This Row],[Total]]</f>
        <v>0.39191591313084473</v>
      </c>
      <c r="H100" s="143">
        <f ca="1">MIN(TblPop[[#This Row],[Peasants]],TblPop[[#This Row],[Jobs]])</f>
        <v>7868</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12200</v>
      </c>
      <c r="K100" s="144"/>
      <c r="L100" s="62">
        <f ca="1">TblPop[[#This Row],[Draftees]]</f>
        <v>1847</v>
      </c>
      <c r="M100" s="62">
        <f ca="1">TblMili[[#This Row],[Unit 1]]</f>
        <v>0</v>
      </c>
      <c r="N100" s="62">
        <f ca="1">TblMili[[#This Row],[Unit 2]]</f>
        <v>1246</v>
      </c>
      <c r="O100" s="62">
        <f ca="1">TblMili[[#This Row],[Unit 3]]</f>
        <v>700</v>
      </c>
      <c r="P100" s="62">
        <f ca="1">TblMili[[#This Row],[Unit 4]]</f>
        <v>1228</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12939</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0" s="97">
        <f ca="1">MAX(-5%*TblPop[[#This Row],[Peasants]]-TblPop[[#This Row],[Draft Growth]],MIN(OFFSET(TblPop[[#This Row],[Net max]],1,0)-TblPop[[#This Row],[Peasants]]-TblPop[[#This Row],[Military]]-TblPop[[#This Row],[Draft Growth]],TblPop[[#This Row],[Modded Birth]]-TblPop[[#This Row],[Draft Growth]]))</f>
        <v>-79</v>
      </c>
      <c r="X100" s="97">
        <f ca="1">ROUND(TblPop[[#This Row],[Raw Birth]]*(1+TblPop[[#This Row],[Growth]]),0)</f>
        <v>328</v>
      </c>
      <c r="Y100" s="97">
        <f ca="1">(TblPop[[#This Row],[Peasants]]-TblPop[[#This Row],[Draft Growth]])*raw_pop_growth</f>
        <v>233.67</v>
      </c>
      <c r="Z100" s="97">
        <f ca="1">IF(TblPop[[#This Row],[Military%]]&lt;TblMili[[#This Row],[Draftrate]],ROUND(TblPop[[#This Row],[Peasants]]*Constants!$B$55,0), 0)</f>
        <v>79</v>
      </c>
      <c r="AA100" s="145"/>
      <c r="AB100" s="146">
        <f ca="1">Overview!$I$16 + IF(Magic!AE100&gt;0,Constants!$F$78) + ROUND(6*(Construction!BM101+Construction!CK100)/IF(Explore!S101&gt;0,Construction!F101-20,Construction!F101),4) + tech_6_5_2*Techs!BJ100 + tech_8_4*Techs!BT100</f>
        <v>0.40289999999999998</v>
      </c>
      <c r="AC100" s="142">
        <f ca="1">(Overview!$I$15 + Imps!Z100+ tech_2_5*Techs!AB100 + tech_3_6*Techs!AM100 + tech_6_1*Techs!BJ100 + tech_6_5*Techs!BF100 + tech_7_3_2*Techs!BN100) * (1 + Production!O100/100*prestige_pop_multiplier) + Production!O100/100*prestige_pop_multiplier</f>
        <v>7.6249999999999998E-2</v>
      </c>
    </row>
    <row r="101" spans="1:29" x14ac:dyDescent="0.2">
      <c r="A101" s="140">
        <f>TblRezone[[#This Row],[Hour]]</f>
        <v>98</v>
      </c>
      <c r="B101" s="141">
        <f ca="1">TblImps[[#This Row],[Time]]</f>
        <v>45433.791666666431</v>
      </c>
      <c r="C101" s="97">
        <f ca="1">OFFSET(TblPop[[#This Row],[Peasants]],-1,0)+OFFSET(TblPop[[#This Row],[Net Peasant]],-1,0)+TblMili[[#This Row],[Release Draft]]</f>
        <v>7789</v>
      </c>
      <c r="D101" s="97">
        <f ca="1">TblMili[[#This Row],[Military]]</f>
        <v>5150</v>
      </c>
      <c r="E101" s="97">
        <f ca="1">TblMili[[#This Row],[Draftees]]</f>
        <v>1926</v>
      </c>
      <c r="F101" s="97">
        <f ca="1">TblPop[[#This Row],[Peasants]]+TblPop[[#This Row],[Military]]</f>
        <v>12939</v>
      </c>
      <c r="G101" s="142">
        <f ca="1">TblPop[[#This Row],[Military]]/TblPop[[#This Row],[Total]]</f>
        <v>0.39802148543164079</v>
      </c>
      <c r="H101" s="143">
        <f ca="1">MIN(TblPop[[#This Row],[Peasants]],TblPop[[#This Row],[Jobs]])</f>
        <v>7789</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12200</v>
      </c>
      <c r="K101" s="144"/>
      <c r="L101" s="62">
        <f ca="1">TblPop[[#This Row],[Draftees]]</f>
        <v>1926</v>
      </c>
      <c r="M101" s="62">
        <f ca="1">TblMili[[#This Row],[Unit 1]]</f>
        <v>0</v>
      </c>
      <c r="N101" s="62">
        <f ca="1">TblMili[[#This Row],[Unit 2]]</f>
        <v>1246</v>
      </c>
      <c r="O101" s="62">
        <f ca="1">TblMili[[#This Row],[Unit 3]]</f>
        <v>700</v>
      </c>
      <c r="P101" s="62">
        <f ca="1">TblMili[[#This Row],[Unit 4]]</f>
        <v>1228</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12939</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1" s="97">
        <f ca="1">MAX(-5%*TblPop[[#This Row],[Peasants]]-TblPop[[#This Row],[Draft Growth]],MIN(OFFSET(TblPop[[#This Row],[Net max]],1,0)-TblPop[[#This Row],[Peasants]]-TblPop[[#This Row],[Military]]-TblPop[[#This Row],[Draft Growth]],TblPop[[#This Row],[Modded Birth]]-TblPop[[#This Row],[Draft Growth]]))</f>
        <v>-78</v>
      </c>
      <c r="X101" s="97">
        <f ca="1">ROUND(TblPop[[#This Row],[Raw Birth]]*(1+TblPop[[#This Row],[Growth]]),0)</f>
        <v>325</v>
      </c>
      <c r="Y101" s="97">
        <f ca="1">(TblPop[[#This Row],[Peasants]]-TblPop[[#This Row],[Draft Growth]])*raw_pop_growth</f>
        <v>231.32999999999998</v>
      </c>
      <c r="Z101" s="97">
        <f ca="1">IF(TblPop[[#This Row],[Military%]]&lt;TblMili[[#This Row],[Draftrate]],ROUND(TblPop[[#This Row],[Peasants]]*Constants!$B$55,0), 0)</f>
        <v>78</v>
      </c>
      <c r="AA101" s="145"/>
      <c r="AB101" s="146">
        <f ca="1">Overview!$I$16 + IF(Magic!AE101&gt;0,Constants!$F$78) + ROUND(6*(Construction!BM102+Construction!CK101)/IF(Explore!S102&gt;0,Construction!F102-20,Construction!F102),4) + tech_6_5_2*Techs!BJ101 + tech_8_4*Techs!BT101</f>
        <v>0.40289999999999998</v>
      </c>
      <c r="AC101" s="142">
        <f ca="1">(Overview!$I$15 + Imps!Z101+ tech_2_5*Techs!AB101 + tech_3_6*Techs!AM101 + tech_6_1*Techs!BJ101 + tech_6_5*Techs!BF101 + tech_7_3_2*Techs!BN101) * (1 + Production!O101/100*prestige_pop_multiplier) + Production!O101/100*prestige_pop_multiplier</f>
        <v>7.6249999999999998E-2</v>
      </c>
    </row>
    <row r="102" spans="1:29" x14ac:dyDescent="0.2">
      <c r="A102" s="140">
        <f>TblRezone[[#This Row],[Hour]]</f>
        <v>99</v>
      </c>
      <c r="B102" s="141">
        <f ca="1">TblImps[[#This Row],[Time]]</f>
        <v>45433.833333333096</v>
      </c>
      <c r="C102" s="97">
        <f ca="1">OFFSET(TblPop[[#This Row],[Peasants]],-1,0)+OFFSET(TblPop[[#This Row],[Net Peasant]],-1,0)+TblMili[[#This Row],[Release Draft]]</f>
        <v>7711</v>
      </c>
      <c r="D102" s="97">
        <f ca="1">TblMili[[#This Row],[Military]]</f>
        <v>5228</v>
      </c>
      <c r="E102" s="97">
        <f ca="1">TblMili[[#This Row],[Draftees]]</f>
        <v>2004</v>
      </c>
      <c r="F102" s="97">
        <f ca="1">TblPop[[#This Row],[Peasants]]+TblPop[[#This Row],[Military]]</f>
        <v>12939</v>
      </c>
      <c r="G102" s="142">
        <f ca="1">TblPop[[#This Row],[Military]]/TblPop[[#This Row],[Total]]</f>
        <v>0.40404977200711029</v>
      </c>
      <c r="H102" s="143">
        <f ca="1">MIN(TblPop[[#This Row],[Peasants]],TblPop[[#This Row],[Jobs]])</f>
        <v>7711</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12200</v>
      </c>
      <c r="K102" s="144"/>
      <c r="L102" s="62">
        <f ca="1">TblPop[[#This Row],[Draftees]]</f>
        <v>2004</v>
      </c>
      <c r="M102" s="62">
        <f ca="1">TblMili[[#This Row],[Unit 1]]</f>
        <v>0</v>
      </c>
      <c r="N102" s="62">
        <f ca="1">TblMili[[#This Row],[Unit 2]]</f>
        <v>1246</v>
      </c>
      <c r="O102" s="62">
        <f ca="1">TblMili[[#This Row],[Unit 3]]</f>
        <v>700</v>
      </c>
      <c r="P102" s="62">
        <f ca="1">TblMili[[#This Row],[Unit 4]]</f>
        <v>1228</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12939</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2" s="97">
        <f ca="1">MAX(-5%*TblPop[[#This Row],[Peasants]]-TblPop[[#This Row],[Draft Growth]],MIN(OFFSET(TblPop[[#This Row],[Net max]],1,0)-TblPop[[#This Row],[Peasants]]-TblPop[[#This Row],[Military]]-TblPop[[#This Row],[Draft Growth]],TblPop[[#This Row],[Modded Birth]]-TblPop[[#This Row],[Draft Growth]]))</f>
        <v>-77</v>
      </c>
      <c r="X102" s="97">
        <f ca="1">ROUND(TblPop[[#This Row],[Raw Birth]]*(1+TblPop[[#This Row],[Growth]]),0)</f>
        <v>321</v>
      </c>
      <c r="Y102" s="97">
        <f ca="1">(TblPop[[#This Row],[Peasants]]-TblPop[[#This Row],[Draft Growth]])*raw_pop_growth</f>
        <v>229.01999999999998</v>
      </c>
      <c r="Z102" s="97">
        <f ca="1">IF(TblPop[[#This Row],[Military%]]&lt;TblMili[[#This Row],[Draftrate]],ROUND(TblPop[[#This Row],[Peasants]]*Constants!$B$55,0), 0)</f>
        <v>77</v>
      </c>
      <c r="AA102" s="145"/>
      <c r="AB102" s="146">
        <f ca="1">Overview!$I$16 + IF(Magic!AE102&gt;0,Constants!$F$78) + ROUND(6*(Construction!BM103+Construction!CK102)/IF(Explore!S103&gt;0,Construction!F103-20,Construction!F103),4) + tech_6_5_2*Techs!BJ102 + tech_8_4*Techs!BT102</f>
        <v>0.40289999999999998</v>
      </c>
      <c r="AC102" s="142">
        <f ca="1">(Overview!$I$15 + Imps!Z102+ tech_2_5*Techs!AB102 + tech_3_6*Techs!AM102 + tech_6_1*Techs!BJ102 + tech_6_5*Techs!BF102 + tech_7_3_2*Techs!BN102) * (1 + Production!O102/100*prestige_pop_multiplier) + Production!O102/100*prestige_pop_multiplier</f>
        <v>7.6249999999999998E-2</v>
      </c>
    </row>
    <row r="103" spans="1:29" x14ac:dyDescent="0.2">
      <c r="A103" s="140">
        <f>TblRezone[[#This Row],[Hour]]</f>
        <v>100</v>
      </c>
      <c r="B103" s="141">
        <f ca="1">TblImps[[#This Row],[Time]]</f>
        <v>45433.87499999976</v>
      </c>
      <c r="C103" s="97">
        <f ca="1">OFFSET(TblPop[[#This Row],[Peasants]],-1,0)+OFFSET(TblPop[[#This Row],[Net Peasant]],-1,0)+TblMili[[#This Row],[Release Draft]]</f>
        <v>7634</v>
      </c>
      <c r="D103" s="97">
        <f ca="1">TblMili[[#This Row],[Military]]</f>
        <v>5305</v>
      </c>
      <c r="E103" s="97">
        <f ca="1">TblMili[[#This Row],[Draftees]]</f>
        <v>2081</v>
      </c>
      <c r="F103" s="97">
        <f ca="1">TblPop[[#This Row],[Peasants]]+TblPop[[#This Row],[Military]]</f>
        <v>12939</v>
      </c>
      <c r="G103" s="142">
        <f ca="1">TblPop[[#This Row],[Military]]/TblPop[[#This Row],[Total]]</f>
        <v>0.41000077285725328</v>
      </c>
      <c r="H103" s="143">
        <f ca="1">MIN(TblPop[[#This Row],[Peasants]],TblPop[[#This Row],[Jobs]])</f>
        <v>7634</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12200</v>
      </c>
      <c r="K103" s="144"/>
      <c r="L103" s="62">
        <f ca="1">TblPop[[#This Row],[Draftees]]</f>
        <v>2081</v>
      </c>
      <c r="M103" s="62">
        <f ca="1">TblMili[[#This Row],[Unit 1]]</f>
        <v>0</v>
      </c>
      <c r="N103" s="62">
        <f ca="1">TblMili[[#This Row],[Unit 2]]</f>
        <v>1246</v>
      </c>
      <c r="O103" s="62">
        <f ca="1">TblMili[[#This Row],[Unit 3]]</f>
        <v>700</v>
      </c>
      <c r="P103" s="62">
        <f ca="1">TblMili[[#This Row],[Unit 4]]</f>
        <v>1228</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12939</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3" s="97">
        <f ca="1">MAX(-5%*TblPop[[#This Row],[Peasants]]-TblPop[[#This Row],[Draft Growth]],MIN(OFFSET(TblPop[[#This Row],[Net max]],1,0)-TblPop[[#This Row],[Peasants]]-TblPop[[#This Row],[Military]]-TblPop[[#This Row],[Draft Growth]],TblPop[[#This Row],[Modded Birth]]-TblPop[[#This Row],[Draft Growth]]))</f>
        <v>-76</v>
      </c>
      <c r="X103" s="97">
        <f ca="1">ROUND(TblPop[[#This Row],[Raw Birth]]*(1+TblPop[[#This Row],[Growth]]),0)</f>
        <v>318</v>
      </c>
      <c r="Y103" s="97">
        <f ca="1">(TblPop[[#This Row],[Peasants]]-TblPop[[#This Row],[Draft Growth]])*raw_pop_growth</f>
        <v>226.73999999999998</v>
      </c>
      <c r="Z103" s="97">
        <f ca="1">IF(TblPop[[#This Row],[Military%]]&lt;TblMili[[#This Row],[Draftrate]],ROUND(TblPop[[#This Row],[Peasants]]*Constants!$B$55,0), 0)</f>
        <v>76</v>
      </c>
      <c r="AA103" s="145"/>
      <c r="AB103" s="146">
        <f ca="1">Overview!$I$16 + IF(Magic!AE103&gt;0,Constants!$F$78) + ROUND(6*(Construction!BM104+Construction!CK103)/IF(Explore!S104&gt;0,Construction!F104-20,Construction!F104),4) + tech_6_5_2*Techs!BJ103 + tech_8_4*Techs!BT103</f>
        <v>0.40289999999999998</v>
      </c>
      <c r="AC103" s="142">
        <f ca="1">(Overview!$I$15 + Imps!Z103+ tech_2_5*Techs!AB103 + tech_3_6*Techs!AM103 + tech_6_1*Techs!BJ103 + tech_6_5*Techs!BF103 + tech_7_3_2*Techs!BN103) * (1 + Production!O103/100*prestige_pop_multiplier) + Production!O103/100*prestige_pop_multiplier</f>
        <v>7.6249999999999998E-2</v>
      </c>
    </row>
    <row r="104" spans="1:29" x14ac:dyDescent="0.2">
      <c r="A104" s="140">
        <f>TblRezone[[#This Row],[Hour]]</f>
        <v>101</v>
      </c>
      <c r="B104" s="141">
        <f ca="1">TblImps[[#This Row],[Time]]</f>
        <v>45433.916666666424</v>
      </c>
      <c r="C104" s="97">
        <f ca="1">OFFSET(TblPop[[#This Row],[Peasants]],-1,0)+OFFSET(TblPop[[#This Row],[Net Peasant]],-1,0)+TblMili[[#This Row],[Release Draft]]</f>
        <v>7558</v>
      </c>
      <c r="D104" s="97">
        <f ca="1">TblMili[[#This Row],[Military]]</f>
        <v>5381</v>
      </c>
      <c r="E104" s="97">
        <f ca="1">TblMili[[#This Row],[Draftees]]</f>
        <v>2157</v>
      </c>
      <c r="F104" s="97">
        <f ca="1">TblPop[[#This Row],[Peasants]]+TblPop[[#This Row],[Military]]</f>
        <v>12939</v>
      </c>
      <c r="G104" s="142">
        <f ca="1">TblPop[[#This Row],[Military]]/TblPop[[#This Row],[Total]]</f>
        <v>0.41587448798206972</v>
      </c>
      <c r="H104" s="143">
        <f ca="1">MIN(TblPop[[#This Row],[Peasants]],TblPop[[#This Row],[Jobs]])</f>
        <v>7558</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12200</v>
      </c>
      <c r="K104" s="144"/>
      <c r="L104" s="62">
        <f ca="1">TblPop[[#This Row],[Draftees]]</f>
        <v>2157</v>
      </c>
      <c r="M104" s="62">
        <f ca="1">TblMili[[#This Row],[Unit 1]]</f>
        <v>0</v>
      </c>
      <c r="N104" s="62">
        <f ca="1">TblMili[[#This Row],[Unit 2]]</f>
        <v>1246</v>
      </c>
      <c r="O104" s="62">
        <f ca="1">TblMili[[#This Row],[Unit 3]]</f>
        <v>700</v>
      </c>
      <c r="P104" s="62">
        <f ca="1">TblMili[[#This Row],[Unit 4]]</f>
        <v>1228</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12939</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4" s="97">
        <f ca="1">MAX(-5%*TblPop[[#This Row],[Peasants]]-TblPop[[#This Row],[Draft Growth]],MIN(OFFSET(TblPop[[#This Row],[Net max]],1,0)-TblPop[[#This Row],[Peasants]]-TblPop[[#This Row],[Military]]-TblPop[[#This Row],[Draft Growth]],TblPop[[#This Row],[Modded Birth]]-TblPop[[#This Row],[Draft Growth]]))</f>
        <v>-76</v>
      </c>
      <c r="X104" s="97">
        <f ca="1">ROUND(TblPop[[#This Row],[Raw Birth]]*(1+TblPop[[#This Row],[Growth]]),0)</f>
        <v>315</v>
      </c>
      <c r="Y104" s="97">
        <f ca="1">(TblPop[[#This Row],[Peasants]]-TblPop[[#This Row],[Draft Growth]])*raw_pop_growth</f>
        <v>224.45999999999998</v>
      </c>
      <c r="Z104" s="97">
        <f ca="1">IF(TblPop[[#This Row],[Military%]]&lt;TblMili[[#This Row],[Draftrate]],ROUND(TblPop[[#This Row],[Peasants]]*Constants!$B$55,0), 0)</f>
        <v>76</v>
      </c>
      <c r="AA104" s="145"/>
      <c r="AB104" s="146">
        <f ca="1">Overview!$I$16 + IF(Magic!AE104&gt;0,Constants!$F$78) + ROUND(6*(Construction!BM105+Construction!CK104)/IF(Explore!S105&gt;0,Construction!F105-20,Construction!F105),4) + tech_6_5_2*Techs!BJ104 + tech_8_4*Techs!BT104</f>
        <v>0.40289999999999998</v>
      </c>
      <c r="AC104" s="142">
        <f ca="1">(Overview!$I$15 + Imps!Z104+ tech_2_5*Techs!AB104 + tech_3_6*Techs!AM104 + tech_6_1*Techs!BJ104 + tech_6_5*Techs!BF104 + tech_7_3_2*Techs!BN104) * (1 + Production!O104/100*prestige_pop_multiplier) + Production!O104/100*prestige_pop_multiplier</f>
        <v>7.6249999999999998E-2</v>
      </c>
    </row>
    <row r="105" spans="1:29" x14ac:dyDescent="0.2">
      <c r="A105" s="140">
        <f>TblRezone[[#This Row],[Hour]]</f>
        <v>102</v>
      </c>
      <c r="B105" s="141">
        <f ca="1">TblImps[[#This Row],[Time]]</f>
        <v>45433.958333333088</v>
      </c>
      <c r="C105" s="97">
        <f ca="1">OFFSET(TblPop[[#This Row],[Peasants]],-1,0)+OFFSET(TblPop[[#This Row],[Net Peasant]],-1,0)+TblMili[[#This Row],[Release Draft]]</f>
        <v>7482</v>
      </c>
      <c r="D105" s="97">
        <f ca="1">TblMili[[#This Row],[Military]]</f>
        <v>5457</v>
      </c>
      <c r="E105" s="97">
        <f ca="1">TblMili[[#This Row],[Draftees]]</f>
        <v>2233</v>
      </c>
      <c r="F105" s="97">
        <f ca="1">TblPop[[#This Row],[Peasants]]+TblPop[[#This Row],[Military]]</f>
        <v>12939</v>
      </c>
      <c r="G105" s="142">
        <f ca="1">TblPop[[#This Row],[Military]]/TblPop[[#This Row],[Total]]</f>
        <v>0.42174820310688615</v>
      </c>
      <c r="H105" s="143">
        <f ca="1">MIN(TblPop[[#This Row],[Peasants]],TblPop[[#This Row],[Jobs]])</f>
        <v>7482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12200</v>
      </c>
      <c r="K105" s="144"/>
      <c r="L105" s="62">
        <f ca="1">TblPop[[#This Row],[Draftees]]</f>
        <v>2233</v>
      </c>
      <c r="M105" s="62">
        <f ca="1">TblMili[[#This Row],[Unit 1]]</f>
        <v>0</v>
      </c>
      <c r="N105" s="62">
        <f ca="1">TblMili[[#This Row],[Unit 2]]</f>
        <v>1246</v>
      </c>
      <c r="O105" s="62">
        <f ca="1">TblMili[[#This Row],[Unit 3]]</f>
        <v>700</v>
      </c>
      <c r="P105" s="62">
        <f ca="1">TblMili[[#This Row],[Unit 4]]</f>
        <v>1228</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12939</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5" s="97">
        <f ca="1">MAX(-5%*TblPop[[#This Row],[Peasants]]-TblPop[[#This Row],[Draft Growth]],MIN(OFFSET(TblPop[[#This Row],[Net max]],1,0)-TblPop[[#This Row],[Peasants]]-TblPop[[#This Row],[Military]]-TblPop[[#This Row],[Draft Growth]],TblPop[[#This Row],[Modded Birth]]-TblPop[[#This Row],[Draft Growth]]))</f>
        <v>-75</v>
      </c>
      <c r="X105" s="97">
        <f ca="1">ROUND(TblPop[[#This Row],[Raw Birth]]*(1+TblPop[[#This Row],[Growth]]),0)</f>
        <v>312</v>
      </c>
      <c r="Y105" s="97">
        <f ca="1">(TblPop[[#This Row],[Peasants]]-TblPop[[#This Row],[Draft Growth]])*raw_pop_growth</f>
        <v>222.20999999999998</v>
      </c>
      <c r="Z105" s="97">
        <f ca="1">IF(TblPop[[#This Row],[Military%]]&lt;TblMili[[#This Row],[Draftrate]],ROUND(TblPop[[#This Row],[Peasants]]*Constants!$B$55,0), 0)</f>
        <v>75</v>
      </c>
      <c r="AA105" s="145"/>
      <c r="AB105" s="146">
        <f ca="1">Overview!$I$16 + IF(Magic!AE105&gt;0,Constants!$F$78) + ROUND(6*(Construction!BM106+Construction!CK105)/IF(Explore!S106&gt;0,Construction!F106-20,Construction!F106),4) + tech_6_5_2*Techs!BJ105 + tech_8_4*Techs!BT105</f>
        <v>0.40289999999999998</v>
      </c>
      <c r="AC105" s="142">
        <f ca="1">(Overview!$I$15 + Imps!Z105+ tech_2_5*Techs!AB105 + tech_3_6*Techs!AM105 + tech_6_1*Techs!BJ105 + tech_6_5*Techs!BF105 + tech_7_3_2*Techs!BN105) * (1 + Production!O105/100*prestige_pop_multiplier) + Production!O105/100*prestige_pop_multiplier</f>
        <v>7.6249999999999998E-2</v>
      </c>
    </row>
    <row r="106" spans="1:29" x14ac:dyDescent="0.2">
      <c r="A106" s="140">
        <f>TblRezone[[#This Row],[Hour]]</f>
        <v>103</v>
      </c>
      <c r="B106" s="141">
        <f ca="1">TblImps[[#This Row],[Time]]</f>
        <v>45433.999999999753</v>
      </c>
      <c r="C106" s="97">
        <f ca="1">OFFSET(TblPop[[#This Row],[Peasants]],-1,0)+OFFSET(TblPop[[#This Row],[Net Peasant]],-1,0)+TblMili[[#This Row],[Release Draft]]</f>
        <v>7407</v>
      </c>
      <c r="D106" s="97">
        <f ca="1">TblMili[[#This Row],[Military]]</f>
        <v>5532</v>
      </c>
      <c r="E106" s="97">
        <f ca="1">TblMili[[#This Row],[Draftees]]</f>
        <v>2308</v>
      </c>
      <c r="F106" s="97">
        <f ca="1">TblPop[[#This Row],[Peasants]]+TblPop[[#This Row],[Military]]</f>
        <v>12939</v>
      </c>
      <c r="G106" s="142">
        <f ca="1">TblPop[[#This Row],[Military]]/TblPop[[#This Row],[Total]]</f>
        <v>0.42754463250637609</v>
      </c>
      <c r="H106" s="143">
        <f ca="1">MIN(TblPop[[#This Row],[Peasants]],TblPop[[#This Row],[Jobs]])</f>
        <v>7407</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12200</v>
      </c>
      <c r="K106" s="144"/>
      <c r="L106" s="62">
        <f ca="1">TblPop[[#This Row],[Draftees]]</f>
        <v>2308</v>
      </c>
      <c r="M106" s="62">
        <f ca="1">TblMili[[#This Row],[Unit 1]]</f>
        <v>0</v>
      </c>
      <c r="N106" s="62">
        <f ca="1">TblMili[[#This Row],[Unit 2]]</f>
        <v>1246</v>
      </c>
      <c r="O106" s="62">
        <f ca="1">TblMili[[#This Row],[Unit 3]]</f>
        <v>700</v>
      </c>
      <c r="P106" s="62">
        <f ca="1">TblMili[[#This Row],[Unit 4]]</f>
        <v>1228</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12939</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6" s="97">
        <f ca="1">MAX(-5%*TblPop[[#This Row],[Peasants]]-TblPop[[#This Row],[Draft Growth]],MIN(OFFSET(TblPop[[#This Row],[Net max]],1,0)-TblPop[[#This Row],[Peasants]]-TblPop[[#This Row],[Military]]-TblPop[[#This Row],[Draft Growth]],TblPop[[#This Row],[Modded Birth]]-TblPop[[#This Row],[Draft Growth]]))</f>
        <v>-74</v>
      </c>
      <c r="X106" s="97">
        <f ca="1">ROUND(TblPop[[#This Row],[Raw Birth]]*(1+TblPop[[#This Row],[Growth]]),0)</f>
        <v>309</v>
      </c>
      <c r="Y106" s="97">
        <f ca="1">(TblPop[[#This Row],[Peasants]]-TblPop[[#This Row],[Draft Growth]])*raw_pop_growth</f>
        <v>219.98999999999998</v>
      </c>
      <c r="Z106" s="97">
        <f ca="1">IF(TblPop[[#This Row],[Military%]]&lt;TblMili[[#This Row],[Draftrate]],ROUND(TblPop[[#This Row],[Peasants]]*Constants!$B$55,0), 0)</f>
        <v>74</v>
      </c>
      <c r="AA106" s="145"/>
      <c r="AB106" s="146">
        <f ca="1">Overview!$I$16 + IF(Magic!AE106&gt;0,Constants!$F$78) + ROUND(6*(Construction!BM107+Construction!CK106)/IF(Explore!S107&gt;0,Construction!F107-20,Construction!F107),4) + tech_6_5_2*Techs!BJ106 + tech_8_4*Techs!BT106</f>
        <v>0.40289999999999998</v>
      </c>
      <c r="AC106" s="142">
        <f ca="1">(Overview!$I$15 + Imps!Z106+ tech_2_5*Techs!AB106 + tech_3_6*Techs!AM106 + tech_6_1*Techs!BJ106 + tech_6_5*Techs!BF106 + tech_7_3_2*Techs!BN106) * (1 + Production!O106/100*prestige_pop_multiplier) + Production!O106/100*prestige_pop_multiplier</f>
        <v>7.6249999999999998E-2</v>
      </c>
    </row>
    <row r="107" spans="1:29" x14ac:dyDescent="0.2">
      <c r="A107" s="140">
        <f>TblRezone[[#This Row],[Hour]]</f>
        <v>104</v>
      </c>
      <c r="B107" s="141">
        <f ca="1">TblImps[[#This Row],[Time]]</f>
        <v>45434.041666666417</v>
      </c>
      <c r="C107" s="97">
        <f ca="1">OFFSET(TblPop[[#This Row],[Peasants]],-1,0)+OFFSET(TblPop[[#This Row],[Net Peasant]],-1,0)+TblMili[[#This Row],[Release Draft]]</f>
        <v>7333</v>
      </c>
      <c r="D107" s="97">
        <f ca="1">TblMili[[#This Row],[Military]]</f>
        <v>5606</v>
      </c>
      <c r="E107" s="97">
        <f ca="1">TblMili[[#This Row],[Draftees]]</f>
        <v>2382</v>
      </c>
      <c r="F107" s="97">
        <f ca="1">TblPop[[#This Row],[Peasants]]+TblPop[[#This Row],[Military]]</f>
        <v>12939</v>
      </c>
      <c r="G107" s="142">
        <f ca="1">TblPop[[#This Row],[Military]]/TblPop[[#This Row],[Total]]</f>
        <v>0.43326377618053946</v>
      </c>
      <c r="H107" s="143">
        <f ca="1">MIN(TblPop[[#This Row],[Peasants]],TblPop[[#This Row],[Jobs]])</f>
        <v>7333</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12200</v>
      </c>
      <c r="K107" s="144"/>
      <c r="L107" s="62">
        <f ca="1">TblPop[[#This Row],[Draftees]]</f>
        <v>2382</v>
      </c>
      <c r="M107" s="62">
        <f ca="1">TblMili[[#This Row],[Unit 1]]</f>
        <v>0</v>
      </c>
      <c r="N107" s="62">
        <f ca="1">TblMili[[#This Row],[Unit 2]]</f>
        <v>1246</v>
      </c>
      <c r="O107" s="62">
        <f ca="1">TblMili[[#This Row],[Unit 3]]</f>
        <v>700</v>
      </c>
      <c r="P107" s="62">
        <f ca="1">TblMili[[#This Row],[Unit 4]]</f>
        <v>1228</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12939</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7" s="97">
        <f ca="1">MAX(-5%*TblPop[[#This Row],[Peasants]]-TblPop[[#This Row],[Draft Growth]],MIN(OFFSET(TblPop[[#This Row],[Net max]],1,0)-TblPop[[#This Row],[Peasants]]-TblPop[[#This Row],[Military]]-TblPop[[#This Row],[Draft Growth]],TblPop[[#This Row],[Modded Birth]]-TblPop[[#This Row],[Draft Growth]]))</f>
        <v>-73</v>
      </c>
      <c r="X107" s="97">
        <f ca="1">ROUND(TblPop[[#This Row],[Raw Birth]]*(1+TblPop[[#This Row],[Growth]]),0)</f>
        <v>306</v>
      </c>
      <c r="Y107" s="97">
        <f ca="1">(TblPop[[#This Row],[Peasants]]-TblPop[[#This Row],[Draft Growth]])*raw_pop_growth</f>
        <v>217.79999999999998</v>
      </c>
      <c r="Z107" s="97">
        <f ca="1">IF(TblPop[[#This Row],[Military%]]&lt;TblMili[[#This Row],[Draftrate]],ROUND(TblPop[[#This Row],[Peasants]]*Constants!$B$55,0), 0)</f>
        <v>73</v>
      </c>
      <c r="AA107" s="145"/>
      <c r="AB107" s="146">
        <f ca="1">Overview!$I$16 + IF(Magic!AE107&gt;0,Constants!$F$78) + ROUND(6*(Construction!BM108+Construction!CK107)/IF(Explore!S108&gt;0,Construction!F108-20,Construction!F108),4) + tech_6_5_2*Techs!BJ107 + tech_8_4*Techs!BT107</f>
        <v>0.40289999999999998</v>
      </c>
      <c r="AC107" s="142">
        <f ca="1">(Overview!$I$15 + Imps!Z107+ tech_2_5*Techs!AB107 + tech_3_6*Techs!AM107 + tech_6_1*Techs!BJ107 + tech_6_5*Techs!BF107 + tech_7_3_2*Techs!BN107) * (1 + Production!O107/100*prestige_pop_multiplier) + Production!O107/100*prestige_pop_multiplier</f>
        <v>7.6249999999999998E-2</v>
      </c>
    </row>
    <row r="108" spans="1:29" x14ac:dyDescent="0.2">
      <c r="A108" s="140">
        <f>TblRezone[[#This Row],[Hour]]</f>
        <v>105</v>
      </c>
      <c r="B108" s="141">
        <f ca="1">TblImps[[#This Row],[Time]]</f>
        <v>45434.083333333081</v>
      </c>
      <c r="C108" s="97">
        <f ca="1">OFFSET(TblPop[[#This Row],[Peasants]],-1,0)+OFFSET(TblPop[[#This Row],[Net Peasant]],-1,0)+TblMili[[#This Row],[Release Draft]]</f>
        <v>7260</v>
      </c>
      <c r="D108" s="97">
        <f ca="1">TblMili[[#This Row],[Military]]</f>
        <v>5679</v>
      </c>
      <c r="E108" s="97">
        <f ca="1">TblMili[[#This Row],[Draftees]]</f>
        <v>2455</v>
      </c>
      <c r="F108" s="97">
        <f ca="1">TblPop[[#This Row],[Peasants]]+TblPop[[#This Row],[Military]]</f>
        <v>12939</v>
      </c>
      <c r="G108" s="142">
        <f ca="1">TblPop[[#This Row],[Military]]/TblPop[[#This Row],[Total]]</f>
        <v>0.43890563412937633</v>
      </c>
      <c r="H108" s="143">
        <f ca="1">MIN(TblPop[[#This Row],[Peasants]],TblPop[[#This Row],[Jobs]])</f>
        <v>7260</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12200</v>
      </c>
      <c r="K108" s="144"/>
      <c r="L108" s="62">
        <f ca="1">TblPop[[#This Row],[Draftees]]</f>
        <v>2455</v>
      </c>
      <c r="M108" s="62">
        <f ca="1">TblMili[[#This Row],[Unit 1]]</f>
        <v>0</v>
      </c>
      <c r="N108" s="62">
        <f ca="1">TblMili[[#This Row],[Unit 2]]</f>
        <v>1246</v>
      </c>
      <c r="O108" s="62">
        <f ca="1">TblMili[[#This Row],[Unit 3]]</f>
        <v>700</v>
      </c>
      <c r="P108" s="62">
        <f ca="1">TblMili[[#This Row],[Unit 4]]</f>
        <v>1228</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12939</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8" s="97">
        <f ca="1">MAX(-5%*TblPop[[#This Row],[Peasants]]-TblPop[[#This Row],[Draft Growth]],MIN(OFFSET(TblPop[[#This Row],[Net max]],1,0)-TblPop[[#This Row],[Peasants]]-TblPop[[#This Row],[Military]]-TblPop[[#This Row],[Draft Growth]],TblPop[[#This Row],[Modded Birth]]-TblPop[[#This Row],[Draft Growth]]))</f>
        <v>-73</v>
      </c>
      <c r="X108" s="97">
        <f ca="1">ROUND(TblPop[[#This Row],[Raw Birth]]*(1+TblPop[[#This Row],[Growth]]),0)</f>
        <v>302</v>
      </c>
      <c r="Y108" s="97">
        <f ca="1">(TblPop[[#This Row],[Peasants]]-TblPop[[#This Row],[Draft Growth]])*raw_pop_growth</f>
        <v>215.60999999999999</v>
      </c>
      <c r="Z108" s="97">
        <f ca="1">IF(TblPop[[#This Row],[Military%]]&lt;TblMili[[#This Row],[Draftrate]],ROUND(TblPop[[#This Row],[Peasants]]*Constants!$B$55,0), 0)</f>
        <v>73</v>
      </c>
      <c r="AA108" s="145"/>
      <c r="AB108" s="146">
        <f ca="1">Overview!$I$16 + IF(Magic!AE108&gt;0,Constants!$F$78) + ROUND(6*(Construction!BM109+Construction!CK108)/IF(Explore!S109&gt;0,Construction!F109-20,Construction!F109),4) + tech_6_5_2*Techs!BJ108 + tech_8_4*Techs!BT108</f>
        <v>0.40289999999999998</v>
      </c>
      <c r="AC108" s="142">
        <f ca="1">(Overview!$I$15 + Imps!Z108+ tech_2_5*Techs!AB108 + tech_3_6*Techs!AM108 + tech_6_1*Techs!BJ108 + tech_6_5*Techs!BF108 + tech_7_3_2*Techs!BN108) * (1 + Production!O108/100*prestige_pop_multiplier) + Production!O108/100*prestige_pop_multiplier</f>
        <v>7.6249999999999998E-2</v>
      </c>
    </row>
    <row r="109" spans="1:29" x14ac:dyDescent="0.2">
      <c r="A109" s="140">
        <f>TblRezone[[#This Row],[Hour]]</f>
        <v>106</v>
      </c>
      <c r="B109" s="141">
        <f ca="1">TblImps[[#This Row],[Time]]</f>
        <v>45434.124999999745</v>
      </c>
      <c r="C109" s="97">
        <f ca="1">OFFSET(TblPop[[#This Row],[Peasants]],-1,0)+OFFSET(TblPop[[#This Row],[Net Peasant]],-1,0)+TblMili[[#This Row],[Release Draft]]</f>
        <v>7187</v>
      </c>
      <c r="D109" s="97">
        <f ca="1">TblMili[[#This Row],[Military]]</f>
        <v>5752</v>
      </c>
      <c r="E109" s="97">
        <f ca="1">TblMili[[#This Row],[Draftees]]</f>
        <v>2528</v>
      </c>
      <c r="F109" s="97">
        <f ca="1">TblPop[[#This Row],[Peasants]]+TblPop[[#This Row],[Military]]</f>
        <v>12939</v>
      </c>
      <c r="G109" s="142">
        <f ca="1">TblPop[[#This Row],[Military]]/TblPop[[#This Row],[Total]]</f>
        <v>0.44454749207821315</v>
      </c>
      <c r="H109" s="143">
        <f ca="1">MIN(TblPop[[#This Row],[Peasants]],TblPop[[#This Row],[Jobs]])</f>
        <v>7187</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12200</v>
      </c>
      <c r="K109" s="144"/>
      <c r="L109" s="62">
        <f ca="1">TblPop[[#This Row],[Draftees]]</f>
        <v>2528</v>
      </c>
      <c r="M109" s="62">
        <f ca="1">TblMili[[#This Row],[Unit 1]]</f>
        <v>0</v>
      </c>
      <c r="N109" s="62">
        <f ca="1">TblMili[[#This Row],[Unit 2]]</f>
        <v>1246</v>
      </c>
      <c r="O109" s="62">
        <f ca="1">TblMili[[#This Row],[Unit 3]]</f>
        <v>700</v>
      </c>
      <c r="P109" s="62">
        <f ca="1">TblMili[[#This Row],[Unit 4]]</f>
        <v>1228</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12939</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9" s="97">
        <f ca="1">MAX(-5%*TblPop[[#This Row],[Peasants]]-TblPop[[#This Row],[Draft Growth]],MIN(OFFSET(TblPop[[#This Row],[Net max]],1,0)-TblPop[[#This Row],[Peasants]]-TblPop[[#This Row],[Military]]-TblPop[[#This Row],[Draft Growth]],TblPop[[#This Row],[Modded Birth]]-TblPop[[#This Row],[Draft Growth]]))</f>
        <v>-72</v>
      </c>
      <c r="X109" s="97">
        <f ca="1">ROUND(TblPop[[#This Row],[Raw Birth]]*(1+TblPop[[#This Row],[Growth]]),0)</f>
        <v>299</v>
      </c>
      <c r="Y109" s="97">
        <f ca="1">(TblPop[[#This Row],[Peasants]]-TblPop[[#This Row],[Draft Growth]])*raw_pop_growth</f>
        <v>213.45</v>
      </c>
      <c r="Z109" s="97">
        <f ca="1">IF(TblPop[[#This Row],[Military%]]&lt;TblMili[[#This Row],[Draftrate]],ROUND(TblPop[[#This Row],[Peasants]]*Constants!$B$55,0), 0)</f>
        <v>72</v>
      </c>
      <c r="AA109" s="145"/>
      <c r="AB109" s="146">
        <f ca="1">Overview!$I$16 + IF(Magic!AE109&gt;0,Constants!$F$78) + ROUND(6*(Construction!BM110+Construction!CK109)/IF(Explore!S110&gt;0,Construction!F110-20,Construction!F110),4) + tech_6_5_2*Techs!BJ109 + tech_8_4*Techs!BT109</f>
        <v>0.40289999999999998</v>
      </c>
      <c r="AC109" s="142">
        <f ca="1">(Overview!$I$15 + Imps!Z109+ tech_2_5*Techs!AB109 + tech_3_6*Techs!AM109 + tech_6_1*Techs!BJ109 + tech_6_5*Techs!BF109 + tech_7_3_2*Techs!BN109) * (1 + Production!O109/100*prestige_pop_multiplier) + Production!O109/100*prestige_pop_multiplier</f>
        <v>7.6249999999999998E-2</v>
      </c>
    </row>
    <row r="110" spans="1:29" x14ac:dyDescent="0.2">
      <c r="A110" s="140">
        <f>TblRezone[[#This Row],[Hour]]</f>
        <v>107</v>
      </c>
      <c r="B110" s="141">
        <f ca="1">TblImps[[#This Row],[Time]]</f>
        <v>45434.16666666641</v>
      </c>
      <c r="C110" s="97">
        <f ca="1">OFFSET(TblPop[[#This Row],[Peasants]],-1,0)+OFFSET(TblPop[[#This Row],[Net Peasant]],-1,0)+TblMili[[#This Row],[Release Draft]]</f>
        <v>7115</v>
      </c>
      <c r="D110" s="97">
        <f ca="1">TblMili[[#This Row],[Military]]</f>
        <v>5824</v>
      </c>
      <c r="E110" s="97">
        <f ca="1">TblMili[[#This Row],[Draftees]]</f>
        <v>2600</v>
      </c>
      <c r="F110" s="97">
        <f ca="1">TblPop[[#This Row],[Peasants]]+TblPop[[#This Row],[Military]]</f>
        <v>12939</v>
      </c>
      <c r="G110" s="142">
        <f ca="1">TblPop[[#This Row],[Military]]/TblPop[[#This Row],[Total]]</f>
        <v>0.45011206430172346</v>
      </c>
      <c r="H110" s="143">
        <f ca="1">MIN(TblPop[[#This Row],[Peasants]],TblPop[[#This Row],[Jobs]])</f>
        <v>7115</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12200</v>
      </c>
      <c r="K110" s="144"/>
      <c r="L110" s="62">
        <f ca="1">TblPop[[#This Row],[Draftees]]</f>
        <v>2600</v>
      </c>
      <c r="M110" s="62">
        <f ca="1">TblMili[[#This Row],[Unit 1]]</f>
        <v>0</v>
      </c>
      <c r="N110" s="62">
        <f ca="1">TblMili[[#This Row],[Unit 2]]</f>
        <v>1246</v>
      </c>
      <c r="O110" s="62">
        <f ca="1">TblMili[[#This Row],[Unit 3]]</f>
        <v>700</v>
      </c>
      <c r="P110" s="62">
        <f ca="1">TblMili[[#This Row],[Unit 4]]</f>
        <v>1228</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12939</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0" s="97">
        <f ca="1">MAX(-5%*TblPop[[#This Row],[Peasants]]-TblPop[[#This Row],[Draft Growth]],MIN(OFFSET(TblPop[[#This Row],[Net max]],1,0)-TblPop[[#This Row],[Peasants]]-TblPop[[#This Row],[Military]]-TblPop[[#This Row],[Draft Growth]],TblPop[[#This Row],[Modded Birth]]-TblPop[[#This Row],[Draft Growth]]))</f>
        <v>-71</v>
      </c>
      <c r="X110" s="97">
        <f ca="1">ROUND(TblPop[[#This Row],[Raw Birth]]*(1+TblPop[[#This Row],[Growth]]),0)</f>
        <v>296</v>
      </c>
      <c r="Y110" s="97">
        <f ca="1">(TblPop[[#This Row],[Peasants]]-TblPop[[#This Row],[Draft Growth]])*raw_pop_growth</f>
        <v>211.32</v>
      </c>
      <c r="Z110" s="97">
        <f ca="1">IF(TblPop[[#This Row],[Military%]]&lt;TblMili[[#This Row],[Draftrate]],ROUND(TblPop[[#This Row],[Peasants]]*Constants!$B$55,0), 0)</f>
        <v>71</v>
      </c>
      <c r="AA110" s="145"/>
      <c r="AB110" s="146">
        <f ca="1">Overview!$I$16 + IF(Magic!AE110&gt;0,Constants!$F$78) + ROUND(6*(Construction!BM111+Construction!CK110)/IF(Explore!S111&gt;0,Construction!F111-20,Construction!F111),4) + tech_6_5_2*Techs!BJ110 + tech_8_4*Techs!BT110</f>
        <v>0.40289999999999998</v>
      </c>
      <c r="AC110" s="142">
        <f ca="1">(Overview!$I$15 + Imps!Z110+ tech_2_5*Techs!AB110 + tech_3_6*Techs!AM110 + tech_6_1*Techs!BJ110 + tech_6_5*Techs!BF110 + tech_7_3_2*Techs!BN110) * (1 + Production!O110/100*prestige_pop_multiplier) + Production!O110/100*prestige_pop_multiplier</f>
        <v>7.6249999999999998E-2</v>
      </c>
    </row>
    <row r="111" spans="1:29" ht="13.5" customHeight="1" x14ac:dyDescent="0.2">
      <c r="A111" s="140">
        <f>TblRezone[[#This Row],[Hour]]</f>
        <v>108</v>
      </c>
      <c r="B111" s="141">
        <f ca="1">TblImps[[#This Row],[Time]]</f>
        <v>45434.208333333074</v>
      </c>
      <c r="C111" s="97">
        <f ca="1">OFFSET(TblPop[[#This Row],[Peasants]],-1,0)+OFFSET(TblPop[[#This Row],[Net Peasant]],-1,0)+TblMili[[#This Row],[Release Draft]]</f>
        <v>7044</v>
      </c>
      <c r="D111" s="97">
        <f ca="1">TblMili[[#This Row],[Military]]</f>
        <v>5895</v>
      </c>
      <c r="E111" s="97">
        <f ca="1">TblMili[[#This Row],[Draftees]]</f>
        <v>2671</v>
      </c>
      <c r="F111" s="97">
        <f ca="1">TblPop[[#This Row],[Peasants]]+TblPop[[#This Row],[Military]]</f>
        <v>12939</v>
      </c>
      <c r="G111" s="142">
        <f ca="1">TblPop[[#This Row],[Military]]/TblPop[[#This Row],[Total]]</f>
        <v>0.45559935079990727</v>
      </c>
      <c r="H111" s="143">
        <f ca="1">MIN(TblPop[[#This Row],[Peasants]],TblPop[[#This Row],[Jobs]])</f>
        <v>7044</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12200</v>
      </c>
      <c r="K111" s="144"/>
      <c r="L111" s="62">
        <f ca="1">TblPop[[#This Row],[Draftees]]</f>
        <v>2671</v>
      </c>
      <c r="M111" s="62">
        <f ca="1">TblMili[[#This Row],[Unit 1]]</f>
        <v>0</v>
      </c>
      <c r="N111" s="62">
        <f ca="1">TblMili[[#This Row],[Unit 2]]</f>
        <v>1246</v>
      </c>
      <c r="O111" s="62">
        <f ca="1">TblMili[[#This Row],[Unit 3]]</f>
        <v>700</v>
      </c>
      <c r="P111" s="62">
        <f ca="1">TblMili[[#This Row],[Unit 4]]</f>
        <v>1228</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12939</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1" s="97">
        <f ca="1">MAX(-5%*TblPop[[#This Row],[Peasants]]-TblPop[[#This Row],[Draft Growth]],MIN(OFFSET(TblPop[[#This Row],[Net max]],1,0)-TblPop[[#This Row],[Peasants]]-TblPop[[#This Row],[Military]]-TblPop[[#This Row],[Draft Growth]],TblPop[[#This Row],[Modded Birth]]-TblPop[[#This Row],[Draft Growth]]))</f>
        <v>-70</v>
      </c>
      <c r="X111" s="97">
        <f ca="1">ROUND(TblPop[[#This Row],[Raw Birth]]*(1+TblPop[[#This Row],[Growth]]),0)</f>
        <v>294</v>
      </c>
      <c r="Y111" s="97">
        <f ca="1">(TblPop[[#This Row],[Peasants]]-TblPop[[#This Row],[Draft Growth]])*raw_pop_growth</f>
        <v>209.22</v>
      </c>
      <c r="Z111" s="97">
        <f ca="1">IF(TblPop[[#This Row],[Military%]]&lt;TblMili[[#This Row],[Draftrate]],ROUND(TblPop[[#This Row],[Peasants]]*Constants!$B$55,0), 0)</f>
        <v>70</v>
      </c>
      <c r="AA111" s="145"/>
      <c r="AB111" s="146">
        <f ca="1">Overview!$I$16 + IF(Magic!AE111&gt;0,Constants!$F$78) + ROUND(6*(Construction!BM112+Construction!CK111)/IF(Explore!S112&gt;0,Construction!F112-20,Construction!F112),4) + tech_6_5_2*Techs!BJ111 + tech_8_4*Techs!BT111</f>
        <v>0.40289999999999998</v>
      </c>
      <c r="AC111" s="142">
        <f ca="1">(Overview!$I$15 + Imps!Z111+ tech_2_5*Techs!AB111 + tech_3_6*Techs!AM111 + tech_6_1*Techs!BJ111 + tech_6_5*Techs!BF111 + tech_7_3_2*Techs!BN111) * (1 + Production!O111/100*prestige_pop_multiplier) + Production!O111/100*prestige_pop_multiplier</f>
        <v>7.6249999999999998E-2</v>
      </c>
    </row>
    <row r="112" spans="1:29" x14ac:dyDescent="0.2">
      <c r="A112" s="140">
        <f>TblRezone[[#This Row],[Hour]]</f>
        <v>109</v>
      </c>
      <c r="B112" s="141">
        <f ca="1">TblImps[[#This Row],[Time]]</f>
        <v>45434.249999999738</v>
      </c>
      <c r="C112" s="97">
        <f ca="1">OFFSET(TblPop[[#This Row],[Peasants]],-1,0)+OFFSET(TblPop[[#This Row],[Net Peasant]],-1,0)+TblMili[[#This Row],[Release Draft]]</f>
        <v>6974</v>
      </c>
      <c r="D112" s="97">
        <f ca="1">TblMili[[#This Row],[Military]]</f>
        <v>5965</v>
      </c>
      <c r="E112" s="97">
        <f ca="1">TblMili[[#This Row],[Draftees]]</f>
        <v>2741</v>
      </c>
      <c r="F112" s="97">
        <f ca="1">TblPop[[#This Row],[Peasants]]+TblPop[[#This Row],[Military]]</f>
        <v>12939</v>
      </c>
      <c r="G112" s="142">
        <f ca="1">TblPop[[#This Row],[Military]]/TblPop[[#This Row],[Total]]</f>
        <v>0.46100935157276451</v>
      </c>
      <c r="H112" s="143">
        <f ca="1">MIN(TblPop[[#This Row],[Peasants]],TblPop[[#This Row],[Jobs]])</f>
        <v>6974</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12200</v>
      </c>
      <c r="K112" s="144"/>
      <c r="L112" s="62">
        <f ca="1">TblPop[[#This Row],[Draftees]]</f>
        <v>2741</v>
      </c>
      <c r="M112" s="62">
        <f ca="1">TblMili[[#This Row],[Unit 1]]</f>
        <v>0</v>
      </c>
      <c r="N112" s="62">
        <f ca="1">TblMili[[#This Row],[Unit 2]]</f>
        <v>1246</v>
      </c>
      <c r="O112" s="62">
        <f ca="1">TblMili[[#This Row],[Unit 3]]</f>
        <v>700</v>
      </c>
      <c r="P112" s="62">
        <f ca="1">TblMili[[#This Row],[Unit 4]]</f>
        <v>1228</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12939</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2" s="97">
        <f ca="1">MAX(-5%*TblPop[[#This Row],[Peasants]]-TblPop[[#This Row],[Draft Growth]],MIN(OFFSET(TblPop[[#This Row],[Net max]],1,0)-TblPop[[#This Row],[Peasants]]-TblPop[[#This Row],[Military]]-TblPop[[#This Row],[Draft Growth]],TblPop[[#This Row],[Modded Birth]]-TblPop[[#This Row],[Draft Growth]]))</f>
        <v>-70</v>
      </c>
      <c r="X112" s="97">
        <f ca="1">ROUND(TblPop[[#This Row],[Raw Birth]]*(1+TblPop[[#This Row],[Growth]]),0)</f>
        <v>291</v>
      </c>
      <c r="Y112" s="97">
        <f ca="1">(TblPop[[#This Row],[Peasants]]-TblPop[[#This Row],[Draft Growth]])*raw_pop_growth</f>
        <v>207.12</v>
      </c>
      <c r="Z112" s="97">
        <f ca="1">IF(TblPop[[#This Row],[Military%]]&lt;TblMili[[#This Row],[Draftrate]],ROUND(TblPop[[#This Row],[Peasants]]*Constants!$B$55,0), 0)</f>
        <v>70</v>
      </c>
      <c r="AA112" s="145"/>
      <c r="AB112" s="146">
        <f ca="1">Overview!$I$16 + IF(Magic!AE112&gt;0,Constants!$F$78) + ROUND(6*(Construction!BM113+Construction!CK112)/IF(Explore!S113&gt;0,Construction!F113-20,Construction!F113),4) + tech_6_5_2*Techs!BJ112 + tech_8_4*Techs!BT112</f>
        <v>0.40289999999999998</v>
      </c>
      <c r="AC112" s="142">
        <f ca="1">(Overview!$I$15 + Imps!Z112+ tech_2_5*Techs!AB112 + tech_3_6*Techs!AM112 + tech_6_1*Techs!BJ112 + tech_6_5*Techs!BF112 + tech_7_3_2*Techs!BN112) * (1 + Production!O112/100*prestige_pop_multiplier) + Production!O112/100*prestige_pop_multiplier</f>
        <v>7.6249999999999998E-2</v>
      </c>
    </row>
    <row r="113" spans="1:29" x14ac:dyDescent="0.2">
      <c r="A113" s="140">
        <f>TblRezone[[#This Row],[Hour]]</f>
        <v>110</v>
      </c>
      <c r="B113" s="141">
        <f ca="1">TblImps[[#This Row],[Time]]</f>
        <v>45434.291666666402</v>
      </c>
      <c r="C113" s="97">
        <f ca="1">OFFSET(TblPop[[#This Row],[Peasants]],-1,0)+OFFSET(TblPop[[#This Row],[Net Peasant]],-1,0)+TblMili[[#This Row],[Release Draft]]</f>
        <v>6904</v>
      </c>
      <c r="D113" s="97">
        <f ca="1">TblMili[[#This Row],[Military]]</f>
        <v>6035</v>
      </c>
      <c r="E113" s="97">
        <f ca="1">TblMili[[#This Row],[Draftees]]</f>
        <v>2811</v>
      </c>
      <c r="F113" s="97">
        <f ca="1">TblPop[[#This Row],[Peasants]]+TblPop[[#This Row],[Military]]</f>
        <v>12939</v>
      </c>
      <c r="G113" s="142">
        <f ca="1">TblPop[[#This Row],[Military]]/TblPop[[#This Row],[Total]]</f>
        <v>0.46641935234562176</v>
      </c>
      <c r="H113" s="143">
        <f ca="1">MIN(TblPop[[#This Row],[Peasants]],TblPop[[#This Row],[Jobs]])</f>
        <v>6904</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12200</v>
      </c>
      <c r="K113" s="144"/>
      <c r="L113" s="62">
        <f ca="1">TblPop[[#This Row],[Draftees]]</f>
        <v>2811</v>
      </c>
      <c r="M113" s="62">
        <f ca="1">TblMili[[#This Row],[Unit 1]]</f>
        <v>0</v>
      </c>
      <c r="N113" s="62">
        <f ca="1">TblMili[[#This Row],[Unit 2]]</f>
        <v>1246</v>
      </c>
      <c r="O113" s="62">
        <f ca="1">TblMili[[#This Row],[Unit 3]]</f>
        <v>700</v>
      </c>
      <c r="P113" s="62">
        <f ca="1">TblMili[[#This Row],[Unit 4]]</f>
        <v>1228</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12939</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3" s="97">
        <f ca="1">MAX(-5%*TblPop[[#This Row],[Peasants]]-TblPop[[#This Row],[Draft Growth]],MIN(OFFSET(TblPop[[#This Row],[Net max]],1,0)-TblPop[[#This Row],[Peasants]]-TblPop[[#This Row],[Military]]-TblPop[[#This Row],[Draft Growth]],TblPop[[#This Row],[Modded Birth]]-TblPop[[#This Row],[Draft Growth]]))</f>
        <v>-69</v>
      </c>
      <c r="X113" s="97">
        <f ca="1">ROUND(TblPop[[#This Row],[Raw Birth]]*(1+TblPop[[#This Row],[Growth]]),0)</f>
        <v>288</v>
      </c>
      <c r="Y113" s="97">
        <f ca="1">(TblPop[[#This Row],[Peasants]]-TblPop[[#This Row],[Draft Growth]])*raw_pop_growth</f>
        <v>205.04999999999998</v>
      </c>
      <c r="Z113" s="97">
        <f ca="1">IF(TblPop[[#This Row],[Military%]]&lt;TblMili[[#This Row],[Draftrate]],ROUND(TblPop[[#This Row],[Peasants]]*Constants!$B$55,0), 0)</f>
        <v>69</v>
      </c>
      <c r="AA113" s="145"/>
      <c r="AB113" s="146">
        <f ca="1">Overview!$I$16 + IF(Magic!AE113&gt;0,Constants!$F$78) + ROUND(6*(Construction!BM114+Construction!CK113)/IF(Explore!S114&gt;0,Construction!F114-20,Construction!F114),4) + tech_6_5_2*Techs!BJ113 + tech_8_4*Techs!BT113</f>
        <v>0.40289999999999998</v>
      </c>
      <c r="AC113" s="142">
        <f ca="1">(Overview!$I$15 + Imps!Z113+ tech_2_5*Techs!AB113 + tech_3_6*Techs!AM113 + tech_6_1*Techs!BJ113 + tech_6_5*Techs!BF113 + tech_7_3_2*Techs!BN113) * (1 + Production!O113/100*prestige_pop_multiplier) + Production!O113/100*prestige_pop_multiplier</f>
        <v>7.6249999999999998E-2</v>
      </c>
    </row>
    <row r="114" spans="1:29" x14ac:dyDescent="0.2">
      <c r="A114" s="140">
        <f>TblRezone[[#This Row],[Hour]]</f>
        <v>111</v>
      </c>
      <c r="B114" s="141">
        <f ca="1">TblImps[[#This Row],[Time]]</f>
        <v>45434.333333333067</v>
      </c>
      <c r="C114" s="97">
        <f ca="1">OFFSET(TblPop[[#This Row],[Peasants]],-1,0)+OFFSET(TblPop[[#This Row],[Net Peasant]],-1,0)+TblMili[[#This Row],[Release Draft]]</f>
        <v>6835</v>
      </c>
      <c r="D114" s="97">
        <f ca="1">TblMili[[#This Row],[Military]]</f>
        <v>6104</v>
      </c>
      <c r="E114" s="97">
        <f ca="1">TblMili[[#This Row],[Draftees]]</f>
        <v>2880</v>
      </c>
      <c r="F114" s="97">
        <f ca="1">TblPop[[#This Row],[Peasants]]+TblPop[[#This Row],[Military]]</f>
        <v>12939</v>
      </c>
      <c r="G114" s="142">
        <f ca="1">TblPop[[#This Row],[Military]]/TblPop[[#This Row],[Total]]</f>
        <v>0.47175206739315251</v>
      </c>
      <c r="H114" s="143">
        <f ca="1">MIN(TblPop[[#This Row],[Peasants]],TblPop[[#This Row],[Jobs]])</f>
        <v>6835</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12200</v>
      </c>
      <c r="K114" s="144"/>
      <c r="L114" s="62">
        <f ca="1">TblPop[[#This Row],[Draftees]]</f>
        <v>2880</v>
      </c>
      <c r="M114" s="62">
        <f ca="1">TblMili[[#This Row],[Unit 1]]</f>
        <v>0</v>
      </c>
      <c r="N114" s="62">
        <f ca="1">TblMili[[#This Row],[Unit 2]]</f>
        <v>1246</v>
      </c>
      <c r="O114" s="62">
        <f ca="1">TblMili[[#This Row],[Unit 3]]</f>
        <v>700</v>
      </c>
      <c r="P114" s="62">
        <f ca="1">TblMili[[#This Row],[Unit 4]]</f>
        <v>1228</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12939</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4" s="97">
        <f ca="1">MAX(-5%*TblPop[[#This Row],[Peasants]]-TblPop[[#This Row],[Draft Growth]],MIN(OFFSET(TblPop[[#This Row],[Net max]],1,0)-TblPop[[#This Row],[Peasants]]-TblPop[[#This Row],[Military]]-TblPop[[#This Row],[Draft Growth]],TblPop[[#This Row],[Modded Birth]]-TblPop[[#This Row],[Draft Growth]]))</f>
        <v>-68</v>
      </c>
      <c r="X114" s="97">
        <f ca="1">ROUND(TblPop[[#This Row],[Raw Birth]]*(1+TblPop[[#This Row],[Growth]]),0)</f>
        <v>285</v>
      </c>
      <c r="Y114" s="97">
        <f ca="1">(TblPop[[#This Row],[Peasants]]-TblPop[[#This Row],[Draft Growth]])*raw_pop_growth</f>
        <v>203.01</v>
      </c>
      <c r="Z114" s="97">
        <f ca="1">IF(TblPop[[#This Row],[Military%]]&lt;TblMili[[#This Row],[Draftrate]],ROUND(TblPop[[#This Row],[Peasants]]*Constants!$B$55,0), 0)</f>
        <v>68</v>
      </c>
      <c r="AA114" s="145"/>
      <c r="AB114" s="146">
        <f ca="1">Overview!$I$16 + IF(Magic!AE114&gt;0,Constants!$F$78) + ROUND(6*(Construction!BM115+Construction!CK114)/IF(Explore!S115&gt;0,Construction!F115-20,Construction!F115),4) + tech_6_5_2*Techs!BJ114 + tech_8_4*Techs!BT114</f>
        <v>0.40289999999999998</v>
      </c>
      <c r="AC114" s="142">
        <f ca="1">(Overview!$I$15 + Imps!Z114+ tech_2_5*Techs!AB114 + tech_3_6*Techs!AM114 + tech_6_1*Techs!BJ114 + tech_6_5*Techs!BF114 + tech_7_3_2*Techs!BN114) * (1 + Production!O114/100*prestige_pop_multiplier) + Production!O114/100*prestige_pop_multiplier</f>
        <v>7.6249999999999998E-2</v>
      </c>
    </row>
    <row r="115" spans="1:29" x14ac:dyDescent="0.2">
      <c r="A115" s="140">
        <f>TblRezone[[#This Row],[Hour]]</f>
        <v>112</v>
      </c>
      <c r="B115" s="141">
        <f ca="1">TblImps[[#This Row],[Time]]</f>
        <v>45434.374999999731</v>
      </c>
      <c r="C115" s="97">
        <f ca="1">OFFSET(TblPop[[#This Row],[Peasants]],-1,0)+OFFSET(TblPop[[#This Row],[Net Peasant]],-1,0)+TblMili[[#This Row],[Release Draft]]</f>
        <v>6767</v>
      </c>
      <c r="D115" s="97">
        <f ca="1">TblMili[[#This Row],[Military]]</f>
        <v>6172</v>
      </c>
      <c r="E115" s="97">
        <f ca="1">TblMili[[#This Row],[Draftees]]</f>
        <v>2948</v>
      </c>
      <c r="F115" s="97">
        <f ca="1">TblPop[[#This Row],[Peasants]]+TblPop[[#This Row],[Military]]</f>
        <v>12939</v>
      </c>
      <c r="G115" s="142">
        <f ca="1">TblPop[[#This Row],[Military]]/TblPop[[#This Row],[Total]]</f>
        <v>0.47700749671535669</v>
      </c>
      <c r="H115" s="143">
        <f ca="1">MIN(TblPop[[#This Row],[Peasants]],TblPop[[#This Row],[Jobs]])</f>
        <v>6767</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12200</v>
      </c>
      <c r="K115" s="144"/>
      <c r="L115" s="62">
        <f ca="1">TblPop[[#This Row],[Draftees]]</f>
        <v>2948</v>
      </c>
      <c r="M115" s="62">
        <f ca="1">TblMili[[#This Row],[Unit 1]]</f>
        <v>0</v>
      </c>
      <c r="N115" s="62">
        <f ca="1">TblMili[[#This Row],[Unit 2]]</f>
        <v>1246</v>
      </c>
      <c r="O115" s="62">
        <f ca="1">TblMili[[#This Row],[Unit 3]]</f>
        <v>700</v>
      </c>
      <c r="P115" s="62">
        <f ca="1">TblMili[[#This Row],[Unit 4]]</f>
        <v>1228</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12939</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5" s="97">
        <f ca="1">MAX(-5%*TblPop[[#This Row],[Peasants]]-TblPop[[#This Row],[Draft Growth]],MIN(OFFSET(TblPop[[#This Row],[Net max]],1,0)-TblPop[[#This Row],[Peasants]]-TblPop[[#This Row],[Military]]-TblPop[[#This Row],[Draft Growth]],TblPop[[#This Row],[Modded Birth]]-TblPop[[#This Row],[Draft Growth]]))</f>
        <v>-68</v>
      </c>
      <c r="X115" s="97">
        <f ca="1">ROUND(TblPop[[#This Row],[Raw Birth]]*(1+TblPop[[#This Row],[Growth]]),0)</f>
        <v>282</v>
      </c>
      <c r="Y115" s="97">
        <f ca="1">(TblPop[[#This Row],[Peasants]]-TblPop[[#This Row],[Draft Growth]])*raw_pop_growth</f>
        <v>200.97</v>
      </c>
      <c r="Z115" s="97">
        <f ca="1">IF(TblPop[[#This Row],[Military%]]&lt;TblMili[[#This Row],[Draftrate]],ROUND(TblPop[[#This Row],[Peasants]]*Constants!$B$55,0), 0)</f>
        <v>68</v>
      </c>
      <c r="AA115" s="145"/>
      <c r="AB115" s="146">
        <f ca="1">Overview!$I$16 + IF(Magic!AE115&gt;0,Constants!$F$78) + ROUND(6*(Construction!BM116+Construction!CK115)/IF(Explore!S116&gt;0,Construction!F116-20,Construction!F116),4) + tech_6_5_2*Techs!BJ115 + tech_8_4*Techs!BT115</f>
        <v>0.40289999999999998</v>
      </c>
      <c r="AC115" s="142">
        <f ca="1">(Overview!$I$15 + Imps!Z115+ tech_2_5*Techs!AB115 + tech_3_6*Techs!AM115 + tech_6_1*Techs!BJ115 + tech_6_5*Techs!BF115 + tech_7_3_2*Techs!BN115) * (1 + Production!O115/100*prestige_pop_multiplier) + Production!O115/100*prestige_pop_multiplier</f>
        <v>7.6249999999999998E-2</v>
      </c>
    </row>
    <row r="116" spans="1:29" x14ac:dyDescent="0.2">
      <c r="A116" s="140">
        <f>TblRezone[[#This Row],[Hour]]</f>
        <v>113</v>
      </c>
      <c r="B116" s="141">
        <f ca="1">TblImps[[#This Row],[Time]]</f>
        <v>45434.416666666395</v>
      </c>
      <c r="C116" s="97">
        <f ca="1">OFFSET(TblPop[[#This Row],[Peasants]],-1,0)+OFFSET(TblPop[[#This Row],[Net Peasant]],-1,0)+TblMili[[#This Row],[Release Draft]]</f>
        <v>6699</v>
      </c>
      <c r="D116" s="97">
        <f ca="1">TblMili[[#This Row],[Military]]</f>
        <v>6240</v>
      </c>
      <c r="E116" s="97">
        <f ca="1">TblMili[[#This Row],[Draftees]]</f>
        <v>3016</v>
      </c>
      <c r="F116" s="97">
        <f ca="1">TblPop[[#This Row],[Peasants]]+TblPop[[#This Row],[Military]]</f>
        <v>12939</v>
      </c>
      <c r="G116" s="142">
        <f ca="1">TblPop[[#This Row],[Military]]/TblPop[[#This Row],[Total]]</f>
        <v>0.48226292603756088</v>
      </c>
      <c r="H116" s="143">
        <f ca="1">MIN(TblPop[[#This Row],[Peasants]],TblPop[[#This Row],[Jobs]])</f>
        <v>6699</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12200</v>
      </c>
      <c r="K116" s="144"/>
      <c r="L116" s="62">
        <f ca="1">TblPop[[#This Row],[Draftees]]</f>
        <v>3016</v>
      </c>
      <c r="M116" s="62">
        <f ca="1">TblMili[[#This Row],[Unit 1]]</f>
        <v>0</v>
      </c>
      <c r="N116" s="62">
        <f ca="1">TblMili[[#This Row],[Unit 2]]</f>
        <v>1246</v>
      </c>
      <c r="O116" s="62">
        <f ca="1">TblMili[[#This Row],[Unit 3]]</f>
        <v>700</v>
      </c>
      <c r="P116" s="62">
        <f ca="1">TblMili[[#This Row],[Unit 4]]</f>
        <v>1228</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12939</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6" s="97">
        <f ca="1">MAX(-5%*TblPop[[#This Row],[Peasants]]-TblPop[[#This Row],[Draft Growth]],MIN(OFFSET(TblPop[[#This Row],[Net max]],1,0)-TblPop[[#This Row],[Peasants]]-TblPop[[#This Row],[Military]]-TblPop[[#This Row],[Draft Growth]],TblPop[[#This Row],[Modded Birth]]-TblPop[[#This Row],[Draft Growth]]))</f>
        <v>-67</v>
      </c>
      <c r="X116" s="97">
        <f ca="1">ROUND(TblPop[[#This Row],[Raw Birth]]*(1+TblPop[[#This Row],[Growth]]),0)</f>
        <v>279</v>
      </c>
      <c r="Y116" s="97">
        <f ca="1">(TblPop[[#This Row],[Peasants]]-TblPop[[#This Row],[Draft Growth]])*raw_pop_growth</f>
        <v>198.95999999999998</v>
      </c>
      <c r="Z116" s="97">
        <f ca="1">IF(TblPop[[#This Row],[Military%]]&lt;TblMili[[#This Row],[Draftrate]],ROUND(TblPop[[#This Row],[Peasants]]*Constants!$B$55,0), 0)</f>
        <v>67</v>
      </c>
      <c r="AA116" s="145"/>
      <c r="AB116" s="146">
        <f ca="1">Overview!$I$16 + IF(Magic!AE116&gt;0,Constants!$F$78) + ROUND(6*(Construction!BM117+Construction!CK116)/IF(Explore!S117&gt;0,Construction!F117-20,Construction!F117),4) + tech_6_5_2*Techs!BJ116 + tech_8_4*Techs!BT116</f>
        <v>0.40289999999999998</v>
      </c>
      <c r="AC116" s="142">
        <f ca="1">(Overview!$I$15 + Imps!Z116+ tech_2_5*Techs!AB116 + tech_3_6*Techs!AM116 + tech_6_1*Techs!BJ116 + tech_6_5*Techs!BF116 + tech_7_3_2*Techs!BN116) * (1 + Production!O116/100*prestige_pop_multiplier) + Production!O116/100*prestige_pop_multiplier</f>
        <v>7.6249999999999998E-2</v>
      </c>
    </row>
    <row r="117" spans="1:29" x14ac:dyDescent="0.2">
      <c r="A117" s="140">
        <f>TblRezone[[#This Row],[Hour]]</f>
        <v>114</v>
      </c>
      <c r="B117" s="141">
        <f ca="1">TblImps[[#This Row],[Time]]</f>
        <v>45434.458333333059</v>
      </c>
      <c r="C117" s="97">
        <f ca="1">OFFSET(TblPop[[#This Row],[Peasants]],-1,0)+OFFSET(TblPop[[#This Row],[Net Peasant]],-1,0)+TblMili[[#This Row],[Release Draft]]</f>
        <v>6632</v>
      </c>
      <c r="D117" s="97">
        <f ca="1">TblMili[[#This Row],[Military]]</f>
        <v>6307</v>
      </c>
      <c r="E117" s="97">
        <f ca="1">TblMili[[#This Row],[Draftees]]</f>
        <v>3083</v>
      </c>
      <c r="F117" s="97">
        <f ca="1">TblPop[[#This Row],[Peasants]]+TblPop[[#This Row],[Military]]</f>
        <v>12939</v>
      </c>
      <c r="G117" s="142">
        <f ca="1">TblPop[[#This Row],[Military]]/TblPop[[#This Row],[Total]]</f>
        <v>0.48744106963443851</v>
      </c>
      <c r="H117" s="143">
        <f ca="1">MIN(TblPop[[#This Row],[Peasants]],TblPop[[#This Row],[Jobs]])</f>
        <v>6632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12200</v>
      </c>
      <c r="K117" s="144"/>
      <c r="L117" s="62">
        <f ca="1">TblPop[[#This Row],[Draftees]]</f>
        <v>3083</v>
      </c>
      <c r="M117" s="62">
        <f ca="1">TblMili[[#This Row],[Unit 1]]</f>
        <v>0</v>
      </c>
      <c r="N117" s="62">
        <f ca="1">TblMili[[#This Row],[Unit 2]]</f>
        <v>1246</v>
      </c>
      <c r="O117" s="62">
        <f ca="1">TblMili[[#This Row],[Unit 3]]</f>
        <v>700</v>
      </c>
      <c r="P117" s="62">
        <f ca="1">TblMili[[#This Row],[Unit 4]]</f>
        <v>1228</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12939</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7" s="97">
        <f ca="1">MAX(-5%*TblPop[[#This Row],[Peasants]]-TblPop[[#This Row],[Draft Growth]],MIN(OFFSET(TblPop[[#This Row],[Net max]],1,0)-TblPop[[#This Row],[Peasants]]-TblPop[[#This Row],[Military]]-TblPop[[#This Row],[Draft Growth]],TblPop[[#This Row],[Modded Birth]]-TblPop[[#This Row],[Draft Growth]]))</f>
        <v>-66</v>
      </c>
      <c r="X117" s="97">
        <f ca="1">ROUND(TblPop[[#This Row],[Raw Birth]]*(1+TblPop[[#This Row],[Growth]]),0)</f>
        <v>276</v>
      </c>
      <c r="Y117" s="97">
        <f ca="1">(TblPop[[#This Row],[Peasants]]-TblPop[[#This Row],[Draft Growth]])*raw_pop_growth</f>
        <v>196.98</v>
      </c>
      <c r="Z117" s="97">
        <f ca="1">IF(TblPop[[#This Row],[Military%]]&lt;TblMili[[#This Row],[Draftrate]],ROUND(TblPop[[#This Row],[Peasants]]*Constants!$B$55,0), 0)</f>
        <v>66</v>
      </c>
      <c r="AA117" s="145"/>
      <c r="AB117" s="146">
        <f ca="1">Overview!$I$16 + IF(Magic!AE117&gt;0,Constants!$F$78) + ROUND(6*(Construction!BM118+Construction!CK117)/IF(Explore!S118&gt;0,Construction!F118-20,Construction!F118),4) + tech_6_5_2*Techs!BJ117 + tech_8_4*Techs!BT117</f>
        <v>0.40289999999999998</v>
      </c>
      <c r="AC117" s="142">
        <f ca="1">(Overview!$I$15 + Imps!Z117+ tech_2_5*Techs!AB117 + tech_3_6*Techs!AM117 + tech_6_1*Techs!BJ117 + tech_6_5*Techs!BF117 + tech_7_3_2*Techs!BN117) * (1 + Production!O117/100*prestige_pop_multiplier) + Production!O117/100*prestige_pop_multiplier</f>
        <v>7.6249999999999998E-2</v>
      </c>
    </row>
    <row r="118" spans="1:29" x14ac:dyDescent="0.2">
      <c r="A118" s="140">
        <f>TblRezone[[#This Row],[Hour]]</f>
        <v>115</v>
      </c>
      <c r="B118" s="141">
        <f ca="1">TblImps[[#This Row],[Time]]</f>
        <v>45434.499999999724</v>
      </c>
      <c r="C118" s="97">
        <f ca="1">OFFSET(TblPop[[#This Row],[Peasants]],-1,0)+OFFSET(TblPop[[#This Row],[Net Peasant]],-1,0)+TblMili[[#This Row],[Release Draft]]</f>
        <v>6566</v>
      </c>
      <c r="D118" s="97">
        <f ca="1">TblMili[[#This Row],[Military]]</f>
        <v>6373</v>
      </c>
      <c r="E118" s="97">
        <f ca="1">TblMili[[#This Row],[Draftees]]</f>
        <v>3149</v>
      </c>
      <c r="F118" s="97">
        <f ca="1">TblPop[[#This Row],[Peasants]]+TblPop[[#This Row],[Military]]</f>
        <v>12939</v>
      </c>
      <c r="G118" s="142">
        <f ca="1">TblPop[[#This Row],[Military]]/TblPop[[#This Row],[Total]]</f>
        <v>0.49254192750598963</v>
      </c>
      <c r="H118" s="143">
        <f ca="1">MIN(TblPop[[#This Row],[Peasants]],TblPop[[#This Row],[Jobs]])</f>
        <v>6566</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12200</v>
      </c>
      <c r="K118" s="144"/>
      <c r="L118" s="62">
        <f ca="1">TblPop[[#This Row],[Draftees]]</f>
        <v>3149</v>
      </c>
      <c r="M118" s="62">
        <f ca="1">TblMili[[#This Row],[Unit 1]]</f>
        <v>0</v>
      </c>
      <c r="N118" s="62">
        <f ca="1">TblMili[[#This Row],[Unit 2]]</f>
        <v>1246</v>
      </c>
      <c r="O118" s="62">
        <f ca="1">TblMili[[#This Row],[Unit 3]]</f>
        <v>700</v>
      </c>
      <c r="P118" s="62">
        <f ca="1">TblMili[[#This Row],[Unit 4]]</f>
        <v>1228</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12939</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8" s="97">
        <f ca="1">MAX(-5%*TblPop[[#This Row],[Peasants]]-TblPop[[#This Row],[Draft Growth]],MIN(OFFSET(TblPop[[#This Row],[Net max]],1,0)-TblPop[[#This Row],[Peasants]]-TblPop[[#This Row],[Military]]-TblPop[[#This Row],[Draft Growth]],TblPop[[#This Row],[Modded Birth]]-TblPop[[#This Row],[Draft Growth]]))</f>
        <v>-66</v>
      </c>
      <c r="X118" s="97">
        <f ca="1">ROUND(TblPop[[#This Row],[Raw Birth]]*(1+TblPop[[#This Row],[Growth]]),0)</f>
        <v>274</v>
      </c>
      <c r="Y118" s="97">
        <f ca="1">(TblPop[[#This Row],[Peasants]]-TblPop[[#This Row],[Draft Growth]])*raw_pop_growth</f>
        <v>195</v>
      </c>
      <c r="Z118" s="97">
        <f ca="1">IF(TblPop[[#This Row],[Military%]]&lt;TblMili[[#This Row],[Draftrate]],ROUND(TblPop[[#This Row],[Peasants]]*Constants!$B$55,0), 0)</f>
        <v>66</v>
      </c>
      <c r="AA118" s="145"/>
      <c r="AB118" s="146">
        <f ca="1">Overview!$I$16 + IF(Magic!AE118&gt;0,Constants!$F$78) + ROUND(6*(Construction!BM119+Construction!CK118)/IF(Explore!S119&gt;0,Construction!F119-20,Construction!F119),4) + tech_6_5_2*Techs!BJ118 + tech_8_4*Techs!BT118</f>
        <v>0.40289999999999998</v>
      </c>
      <c r="AC118" s="142">
        <f ca="1">(Overview!$I$15 + Imps!Z118+ tech_2_5*Techs!AB118 + tech_3_6*Techs!AM118 + tech_6_1*Techs!BJ118 + tech_6_5*Techs!BF118 + tech_7_3_2*Techs!BN118) * (1 + Production!O118/100*prestige_pop_multiplier) + Production!O118/100*prestige_pop_multiplier</f>
        <v>7.6249999999999998E-2</v>
      </c>
    </row>
    <row r="119" spans="1:29" x14ac:dyDescent="0.2">
      <c r="A119" s="140">
        <f>TblRezone[[#This Row],[Hour]]</f>
        <v>116</v>
      </c>
      <c r="B119" s="141">
        <f ca="1">TblImps[[#This Row],[Time]]</f>
        <v>45434.541666666388</v>
      </c>
      <c r="C119" s="97">
        <f ca="1">OFFSET(TblPop[[#This Row],[Peasants]],-1,0)+OFFSET(TblPop[[#This Row],[Net Peasant]],-1,0)+TblMili[[#This Row],[Release Draft]]</f>
        <v>6500</v>
      </c>
      <c r="D119" s="97">
        <f ca="1">TblMili[[#This Row],[Military]]</f>
        <v>6439</v>
      </c>
      <c r="E119" s="97">
        <f ca="1">TblMili[[#This Row],[Draftees]]</f>
        <v>3215</v>
      </c>
      <c r="F119" s="97">
        <f ca="1">TblPop[[#This Row],[Peasants]]+TblPop[[#This Row],[Military]]</f>
        <v>12939</v>
      </c>
      <c r="G119" s="142">
        <f ca="1">TblPop[[#This Row],[Military]]/TblPop[[#This Row],[Total]]</f>
        <v>0.49764278537754075</v>
      </c>
      <c r="H119" s="143">
        <f ca="1">MIN(TblPop[[#This Row],[Peasants]],TblPop[[#This Row],[Jobs]])</f>
        <v>6500</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12200</v>
      </c>
      <c r="K119" s="144"/>
      <c r="L119" s="62">
        <f ca="1">TblPop[[#This Row],[Draftees]]</f>
        <v>3215</v>
      </c>
      <c r="M119" s="62">
        <f ca="1">TblMili[[#This Row],[Unit 1]]</f>
        <v>0</v>
      </c>
      <c r="N119" s="62">
        <f ca="1">TblMili[[#This Row],[Unit 2]]</f>
        <v>1246</v>
      </c>
      <c r="O119" s="62">
        <f ca="1">TblMili[[#This Row],[Unit 3]]</f>
        <v>700</v>
      </c>
      <c r="P119" s="62">
        <f ca="1">TblMili[[#This Row],[Unit 4]]</f>
        <v>1228</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12939</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9" s="97">
        <f ca="1">MAX(-5%*TblPop[[#This Row],[Peasants]]-TblPop[[#This Row],[Draft Growth]],MIN(OFFSET(TblPop[[#This Row],[Net max]],1,0)-TblPop[[#This Row],[Peasants]]-TblPop[[#This Row],[Military]]-TblPop[[#This Row],[Draft Growth]],TblPop[[#This Row],[Modded Birth]]-TblPop[[#This Row],[Draft Growth]]))</f>
        <v>-65</v>
      </c>
      <c r="X119" s="97">
        <f ca="1">ROUND(TblPop[[#This Row],[Raw Birth]]*(1+TblPop[[#This Row],[Growth]]),0)</f>
        <v>271</v>
      </c>
      <c r="Y119" s="97">
        <f ca="1">(TblPop[[#This Row],[Peasants]]-TblPop[[#This Row],[Draft Growth]])*raw_pop_growth</f>
        <v>193.04999999999998</v>
      </c>
      <c r="Z119" s="97">
        <f ca="1">IF(TblPop[[#This Row],[Military%]]&lt;TblMili[[#This Row],[Draftrate]],ROUND(TblPop[[#This Row],[Peasants]]*Constants!$B$55,0), 0)</f>
        <v>65</v>
      </c>
      <c r="AA119" s="145"/>
      <c r="AB119" s="146">
        <f ca="1">Overview!$I$16 + IF(Magic!AE119&gt;0,Constants!$F$78) + ROUND(6*(Construction!BM120+Construction!CK119)/IF(Explore!S120&gt;0,Construction!F120-20,Construction!F120),4) + tech_6_5_2*Techs!BJ119 + tech_8_4*Techs!BT119</f>
        <v>0.40289999999999998</v>
      </c>
      <c r="AC119" s="142">
        <f ca="1">(Overview!$I$15 + Imps!Z119+ tech_2_5*Techs!AB119 + tech_3_6*Techs!AM119 + tech_6_1*Techs!BJ119 + tech_6_5*Techs!BF119 + tech_7_3_2*Techs!BN119) * (1 + Production!O119/100*prestige_pop_multiplier) + Production!O119/100*prestige_pop_multiplier</f>
        <v>7.6249999999999998E-2</v>
      </c>
    </row>
    <row r="120" spans="1:29" x14ac:dyDescent="0.2">
      <c r="A120" s="140">
        <f>TblRezone[[#This Row],[Hour]]</f>
        <v>117</v>
      </c>
      <c r="B120" s="141">
        <f ca="1">TblImps[[#This Row],[Time]]</f>
        <v>45434.583333333052</v>
      </c>
      <c r="C120" s="97">
        <f ca="1">OFFSET(TblPop[[#This Row],[Peasants]],-1,0)+OFFSET(TblPop[[#This Row],[Net Peasant]],-1,0)+TblMili[[#This Row],[Release Draft]]</f>
        <v>6435</v>
      </c>
      <c r="D120" s="97">
        <f ca="1">TblMili[[#This Row],[Military]]</f>
        <v>6504</v>
      </c>
      <c r="E120" s="97">
        <f ca="1">TblMili[[#This Row],[Draftees]]</f>
        <v>3280</v>
      </c>
      <c r="F120" s="97">
        <f ca="1">TblPop[[#This Row],[Peasants]]+TblPop[[#This Row],[Military]]</f>
        <v>12939</v>
      </c>
      <c r="G120" s="142">
        <f ca="1">TblPop[[#This Row],[Military]]/TblPop[[#This Row],[Total]]</f>
        <v>0.50266635752376532</v>
      </c>
      <c r="H120" s="143">
        <f ca="1">MIN(TblPop[[#This Row],[Peasants]],TblPop[[#This Row],[Jobs]])</f>
        <v>6435</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12200</v>
      </c>
      <c r="K120" s="144"/>
      <c r="L120" s="62">
        <f ca="1">TblPop[[#This Row],[Draftees]]</f>
        <v>3280</v>
      </c>
      <c r="M120" s="62">
        <f ca="1">TblMili[[#This Row],[Unit 1]]</f>
        <v>0</v>
      </c>
      <c r="N120" s="62">
        <f ca="1">TblMili[[#This Row],[Unit 2]]</f>
        <v>1246</v>
      </c>
      <c r="O120" s="62">
        <f ca="1">TblMili[[#This Row],[Unit 3]]</f>
        <v>700</v>
      </c>
      <c r="P120" s="62">
        <f ca="1">TblMili[[#This Row],[Unit 4]]</f>
        <v>1228</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12939</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0" s="97">
        <f ca="1">MAX(-5%*TblPop[[#This Row],[Peasants]]-TblPop[[#This Row],[Draft Growth]],MIN(OFFSET(TblPop[[#This Row],[Net max]],1,0)-TblPop[[#This Row],[Peasants]]-TblPop[[#This Row],[Military]]-TblPop[[#This Row],[Draft Growth]],TblPop[[#This Row],[Modded Birth]]-TblPop[[#This Row],[Draft Growth]]))</f>
        <v>-64</v>
      </c>
      <c r="X120" s="97">
        <f ca="1">ROUND(TblPop[[#This Row],[Raw Birth]]*(1+TblPop[[#This Row],[Growth]]),0)</f>
        <v>268</v>
      </c>
      <c r="Y120" s="97">
        <f ca="1">(TblPop[[#This Row],[Peasants]]-TblPop[[#This Row],[Draft Growth]])*raw_pop_growth</f>
        <v>191.13</v>
      </c>
      <c r="Z120" s="97">
        <f ca="1">IF(TblPop[[#This Row],[Military%]]&lt;TblMili[[#This Row],[Draftrate]],ROUND(TblPop[[#This Row],[Peasants]]*Constants!$B$55,0), 0)</f>
        <v>64</v>
      </c>
      <c r="AA120" s="145"/>
      <c r="AB120" s="146">
        <f ca="1">Overview!$I$16 + IF(Magic!AE120&gt;0,Constants!$F$78) + ROUND(6*(Construction!BM121+Construction!CK120)/IF(Explore!S121&gt;0,Construction!F121-20,Construction!F121),4) + tech_6_5_2*Techs!BJ120 + tech_8_4*Techs!BT120</f>
        <v>0.40289999999999998</v>
      </c>
      <c r="AC120" s="142">
        <f ca="1">(Overview!$I$15 + Imps!Z120+ tech_2_5*Techs!AB120 + tech_3_6*Techs!AM120 + tech_6_1*Techs!BJ120 + tech_6_5*Techs!BF120 + tech_7_3_2*Techs!BN120) * (1 + Production!O120/100*prestige_pop_multiplier) + Production!O120/100*prestige_pop_multiplier</f>
        <v>7.6249999999999998E-2</v>
      </c>
    </row>
    <row r="121" spans="1:29" x14ac:dyDescent="0.2">
      <c r="A121" s="140">
        <f>TblRezone[[#This Row],[Hour]]</f>
        <v>118</v>
      </c>
      <c r="B121" s="141">
        <f ca="1">TblImps[[#This Row],[Time]]</f>
        <v>45434.624999999716</v>
      </c>
      <c r="C121" s="97">
        <f ca="1">OFFSET(TblPop[[#This Row],[Peasants]],-1,0)+OFFSET(TblPop[[#This Row],[Net Peasant]],-1,0)+TblMili[[#This Row],[Release Draft]]</f>
        <v>6371</v>
      </c>
      <c r="D121" s="97">
        <f ca="1">TblMili[[#This Row],[Military]]</f>
        <v>6568</v>
      </c>
      <c r="E121" s="97">
        <f ca="1">TblMili[[#This Row],[Draftees]]</f>
        <v>3344</v>
      </c>
      <c r="F121" s="97">
        <f ca="1">TblPop[[#This Row],[Peasants]]+TblPop[[#This Row],[Military]]</f>
        <v>12939</v>
      </c>
      <c r="G121" s="142">
        <f ca="1">TblPop[[#This Row],[Military]]/TblPop[[#This Row],[Total]]</f>
        <v>0.50761264394466343</v>
      </c>
      <c r="H121" s="143">
        <f ca="1">MIN(TblPop[[#This Row],[Peasants]],TblPop[[#This Row],[Jobs]])</f>
        <v>6371</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12200</v>
      </c>
      <c r="K121" s="144"/>
      <c r="L121" s="62">
        <f ca="1">TblPop[[#This Row],[Draftees]]</f>
        <v>3344</v>
      </c>
      <c r="M121" s="62">
        <f ca="1">TblMili[[#This Row],[Unit 1]]</f>
        <v>0</v>
      </c>
      <c r="N121" s="62">
        <f ca="1">TblMili[[#This Row],[Unit 2]]</f>
        <v>1246</v>
      </c>
      <c r="O121" s="62">
        <f ca="1">TblMili[[#This Row],[Unit 3]]</f>
        <v>700</v>
      </c>
      <c r="P121" s="62">
        <f ca="1">TblMili[[#This Row],[Unit 4]]</f>
        <v>1228</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12939</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1" s="97">
        <f ca="1">MAX(-5%*TblPop[[#This Row],[Peasants]]-TblPop[[#This Row],[Draft Growth]],MIN(OFFSET(TblPop[[#This Row],[Net max]],1,0)-TblPop[[#This Row],[Peasants]]-TblPop[[#This Row],[Military]]-TblPop[[#This Row],[Draft Growth]],TblPop[[#This Row],[Modded Birth]]-TblPop[[#This Row],[Draft Growth]]))</f>
        <v>-64</v>
      </c>
      <c r="X121" s="97">
        <f ca="1">ROUND(TblPop[[#This Row],[Raw Birth]]*(1+TblPop[[#This Row],[Growth]]),0)</f>
        <v>265</v>
      </c>
      <c r="Y121" s="97">
        <f ca="1">(TblPop[[#This Row],[Peasants]]-TblPop[[#This Row],[Draft Growth]])*raw_pop_growth</f>
        <v>189.20999999999998</v>
      </c>
      <c r="Z121" s="97">
        <f ca="1">IF(TblPop[[#This Row],[Military%]]&lt;TblMili[[#This Row],[Draftrate]],ROUND(TblPop[[#This Row],[Peasants]]*Constants!$B$55,0), 0)</f>
        <v>64</v>
      </c>
      <c r="AA121" s="145"/>
      <c r="AB121" s="146">
        <f ca="1">Overview!$I$16 + IF(Magic!AE121&gt;0,Constants!$F$78) + ROUND(6*(Construction!BM122+Construction!CK121)/IF(Explore!S122&gt;0,Construction!F122-20,Construction!F122),4) + tech_6_5_2*Techs!BJ121 + tech_8_4*Techs!BT121</f>
        <v>0.40289999999999998</v>
      </c>
      <c r="AC121" s="142">
        <f ca="1">(Overview!$I$15 + Imps!Z121+ tech_2_5*Techs!AB121 + tech_3_6*Techs!AM121 + tech_6_1*Techs!BJ121 + tech_6_5*Techs!BF121 + tech_7_3_2*Techs!BN121) * (1 + Production!O121/100*prestige_pop_multiplier) + Production!O121/100*prestige_pop_multiplier</f>
        <v>7.6249999999999998E-2</v>
      </c>
    </row>
    <row r="122" spans="1:29" x14ac:dyDescent="0.2">
      <c r="A122" s="140">
        <f>TblRezone[[#This Row],[Hour]]</f>
        <v>119</v>
      </c>
      <c r="B122" s="141">
        <f ca="1">TblImps[[#This Row],[Time]]</f>
        <v>45434.66666666638</v>
      </c>
      <c r="C122" s="97">
        <f ca="1">OFFSET(TblPop[[#This Row],[Peasants]],-1,0)+OFFSET(TblPop[[#This Row],[Net Peasant]],-1,0)+TblMili[[#This Row],[Release Draft]]</f>
        <v>6307</v>
      </c>
      <c r="D122" s="97">
        <f ca="1">TblMili[[#This Row],[Military]]</f>
        <v>6632</v>
      </c>
      <c r="E122" s="97">
        <f ca="1">TblMili[[#This Row],[Draftees]]</f>
        <v>3408</v>
      </c>
      <c r="F122" s="97">
        <f ca="1">TblPop[[#This Row],[Peasants]]+TblPop[[#This Row],[Military]]</f>
        <v>12939</v>
      </c>
      <c r="G122" s="142">
        <f ca="1">TblPop[[#This Row],[Military]]/TblPop[[#This Row],[Total]]</f>
        <v>0.51255893036556144</v>
      </c>
      <c r="H122" s="143">
        <f ca="1">MIN(TblPop[[#This Row],[Peasants]],TblPop[[#This Row],[Jobs]])</f>
        <v>6307</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12200</v>
      </c>
      <c r="K122" s="144"/>
      <c r="L122" s="62">
        <f ca="1">TblPop[[#This Row],[Draftees]]</f>
        <v>3408</v>
      </c>
      <c r="M122" s="62">
        <f ca="1">TblMili[[#This Row],[Unit 1]]</f>
        <v>0</v>
      </c>
      <c r="N122" s="62">
        <f ca="1">TblMili[[#This Row],[Unit 2]]</f>
        <v>1246</v>
      </c>
      <c r="O122" s="62">
        <f ca="1">TblMili[[#This Row],[Unit 3]]</f>
        <v>700</v>
      </c>
      <c r="P122" s="62">
        <f ca="1">TblMili[[#This Row],[Unit 4]]</f>
        <v>1228</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12939</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2" s="97">
        <f ca="1">MAX(-5%*TblPop[[#This Row],[Peasants]]-TblPop[[#This Row],[Draft Growth]],MIN(OFFSET(TblPop[[#This Row],[Net max]],1,0)-TblPop[[#This Row],[Peasants]]-TblPop[[#This Row],[Military]]-TblPop[[#This Row],[Draft Growth]],TblPop[[#This Row],[Modded Birth]]-TblPop[[#This Row],[Draft Growth]]))</f>
        <v>-63</v>
      </c>
      <c r="X122" s="97">
        <f ca="1">ROUND(TblPop[[#This Row],[Raw Birth]]*(1+TblPop[[#This Row],[Growth]]),0)</f>
        <v>263</v>
      </c>
      <c r="Y122" s="97">
        <f ca="1">(TblPop[[#This Row],[Peasants]]-TblPop[[#This Row],[Draft Growth]])*raw_pop_growth</f>
        <v>187.32</v>
      </c>
      <c r="Z122" s="97">
        <f ca="1">IF(TblPop[[#This Row],[Military%]]&lt;TblMili[[#This Row],[Draftrate]],ROUND(TblPop[[#This Row],[Peasants]]*Constants!$B$55,0), 0)</f>
        <v>63</v>
      </c>
      <c r="AA122" s="145"/>
      <c r="AB122" s="146">
        <f ca="1">Overview!$I$16 + IF(Magic!AE122&gt;0,Constants!$F$78) + ROUND(6*(Construction!BM123+Construction!CK122)/IF(Explore!S123&gt;0,Construction!F123-20,Construction!F123),4) + tech_6_5_2*Techs!BJ122 + tech_8_4*Techs!BT122</f>
        <v>0.40289999999999998</v>
      </c>
      <c r="AC122" s="142">
        <f ca="1">(Overview!$I$15 + Imps!Z122+ tech_2_5*Techs!AB122 + tech_3_6*Techs!AM122 + tech_6_1*Techs!BJ122 + tech_6_5*Techs!BF122 + tech_7_3_2*Techs!BN122) * (1 + Production!O122/100*prestige_pop_multiplier) + Production!O122/100*prestige_pop_multiplier</f>
        <v>7.6249999999999998E-2</v>
      </c>
    </row>
    <row r="123" spans="1:29" x14ac:dyDescent="0.2">
      <c r="A123" s="140">
        <f>TblRezone[[#This Row],[Hour]]</f>
        <v>120</v>
      </c>
      <c r="B123" s="141">
        <f ca="1">TblImps[[#This Row],[Time]]</f>
        <v>45434.708333333045</v>
      </c>
      <c r="C123" s="97">
        <f ca="1">OFFSET(TblPop[[#This Row],[Peasants]],-1,0)+OFFSET(TblPop[[#This Row],[Net Peasant]],-1,0)+TblMili[[#This Row],[Release Draft]]</f>
        <v>6244</v>
      </c>
      <c r="D123" s="97">
        <f ca="1">TblMili[[#This Row],[Military]]</f>
        <v>6695</v>
      </c>
      <c r="E123" s="97">
        <f ca="1">TblMili[[#This Row],[Draftees]]</f>
        <v>3471</v>
      </c>
      <c r="F123" s="97">
        <f ca="1">TblPop[[#This Row],[Peasants]]+TblPop[[#This Row],[Military]]</f>
        <v>12939</v>
      </c>
      <c r="G123" s="142">
        <f ca="1">TblPop[[#This Row],[Military]]/TblPop[[#This Row],[Total]]</f>
        <v>0.51742793106113305</v>
      </c>
      <c r="H123" s="143">
        <f ca="1">MIN(TblPop[[#This Row],[Peasants]],TblPop[[#This Row],[Jobs]])</f>
        <v>6244</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12200</v>
      </c>
      <c r="K123" s="144"/>
      <c r="L123" s="62">
        <f ca="1">TblPop[[#This Row],[Draftees]]</f>
        <v>3471</v>
      </c>
      <c r="M123" s="62">
        <f ca="1">TblMili[[#This Row],[Unit 1]]</f>
        <v>0</v>
      </c>
      <c r="N123" s="62">
        <f ca="1">TblMili[[#This Row],[Unit 2]]</f>
        <v>1246</v>
      </c>
      <c r="O123" s="62">
        <f ca="1">TblMili[[#This Row],[Unit 3]]</f>
        <v>700</v>
      </c>
      <c r="P123" s="62">
        <f ca="1">TblMili[[#This Row],[Unit 4]]</f>
        <v>1228</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12939</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3" s="97">
        <f ca="1">MAX(-5%*TblPop[[#This Row],[Peasants]]-TblPop[[#This Row],[Draft Growth]],MIN(OFFSET(TblPop[[#This Row],[Net max]],1,0)-TblPop[[#This Row],[Peasants]]-TblPop[[#This Row],[Military]]-TblPop[[#This Row],[Draft Growth]],TblPop[[#This Row],[Modded Birth]]-TblPop[[#This Row],[Draft Growth]]))</f>
        <v>-62</v>
      </c>
      <c r="X123" s="97">
        <f ca="1">ROUND(TblPop[[#This Row],[Raw Birth]]*(1+TblPop[[#This Row],[Growth]]),0)</f>
        <v>260</v>
      </c>
      <c r="Y123" s="97">
        <f ca="1">(TblPop[[#This Row],[Peasants]]-TblPop[[#This Row],[Draft Growth]])*raw_pop_growth</f>
        <v>185.45999999999998</v>
      </c>
      <c r="Z123" s="97">
        <f ca="1">IF(TblPop[[#This Row],[Military%]]&lt;TblMili[[#This Row],[Draftrate]],ROUND(TblPop[[#This Row],[Peasants]]*Constants!$B$55,0), 0)</f>
        <v>62</v>
      </c>
      <c r="AA123" s="145"/>
      <c r="AB123" s="146">
        <f ca="1">Overview!$I$16 + IF(Magic!AE123&gt;0,Constants!$F$78) + ROUND(6*(Construction!BM124+Construction!CK123)/IF(Explore!S124&gt;0,Construction!F124-20,Construction!F124),4) + tech_6_5_2*Techs!BJ123 + tech_8_4*Techs!BT123</f>
        <v>0.40289999999999998</v>
      </c>
      <c r="AC123" s="142">
        <f ca="1">(Overview!$I$15 + Imps!Z123+ tech_2_5*Techs!AB123 + tech_3_6*Techs!AM123 + tech_6_1*Techs!BJ123 + tech_6_5*Techs!BF123 + tech_7_3_2*Techs!BN123) * (1 + Production!O123/100*prestige_pop_multiplier) + Production!O123/100*prestige_pop_multiplier</f>
        <v>7.6249999999999998E-2</v>
      </c>
    </row>
    <row r="124" spans="1:29" x14ac:dyDescent="0.2">
      <c r="A124" s="140">
        <f>TblRezone[[#This Row],[Hour]]</f>
        <v>121</v>
      </c>
      <c r="B124" s="141">
        <f ca="1">TblImps[[#This Row],[Time]]</f>
        <v>45434.749999999709</v>
      </c>
      <c r="C124" s="97">
        <f ca="1">OFFSET(TblPop[[#This Row],[Peasants]],-1,0)+OFFSET(TblPop[[#This Row],[Net Peasant]],-1,0)+TblMili[[#This Row],[Release Draft]]</f>
        <v>6182</v>
      </c>
      <c r="D124" s="97">
        <f ca="1">TblMili[[#This Row],[Military]]</f>
        <v>6757</v>
      </c>
      <c r="E124" s="97">
        <f ca="1">TblMili[[#This Row],[Draftees]]</f>
        <v>3533</v>
      </c>
      <c r="F124" s="97">
        <f ca="1">TblPop[[#This Row],[Peasants]]+TblPop[[#This Row],[Military]]</f>
        <v>12939</v>
      </c>
      <c r="G124" s="142">
        <f ca="1">TblPop[[#This Row],[Military]]/TblPop[[#This Row],[Total]]</f>
        <v>0.52221964603137805</v>
      </c>
      <c r="H124" s="143">
        <f ca="1">MIN(TblPop[[#This Row],[Peasants]],TblPop[[#This Row],[Jobs]])</f>
        <v>6182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12200</v>
      </c>
      <c r="K124" s="144"/>
      <c r="L124" s="62">
        <f ca="1">TblPop[[#This Row],[Draftees]]</f>
        <v>3533</v>
      </c>
      <c r="M124" s="62">
        <f ca="1">TblMili[[#This Row],[Unit 1]]</f>
        <v>0</v>
      </c>
      <c r="N124" s="62">
        <f ca="1">TblMili[[#This Row],[Unit 2]]</f>
        <v>1246</v>
      </c>
      <c r="O124" s="62">
        <f ca="1">TblMili[[#This Row],[Unit 3]]</f>
        <v>700</v>
      </c>
      <c r="P124" s="62">
        <f ca="1">TblMili[[#This Row],[Unit 4]]</f>
        <v>1228</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12939</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4" s="97">
        <f ca="1">MAX(-5%*TblPop[[#This Row],[Peasants]]-TblPop[[#This Row],[Draft Growth]],MIN(OFFSET(TblPop[[#This Row],[Net max]],1,0)-TblPop[[#This Row],[Peasants]]-TblPop[[#This Row],[Military]]-TblPop[[#This Row],[Draft Growth]],TblPop[[#This Row],[Modded Birth]]-TblPop[[#This Row],[Draft Growth]]))</f>
        <v>-62</v>
      </c>
      <c r="X124" s="97">
        <f ca="1">ROUND(TblPop[[#This Row],[Raw Birth]]*(1+TblPop[[#This Row],[Growth]]),0)</f>
        <v>258</v>
      </c>
      <c r="Y124" s="97">
        <f ca="1">(TblPop[[#This Row],[Peasants]]-TblPop[[#This Row],[Draft Growth]])*raw_pop_growth</f>
        <v>183.6</v>
      </c>
      <c r="Z124" s="97">
        <f ca="1">IF(TblPop[[#This Row],[Military%]]&lt;TblMili[[#This Row],[Draftrate]],ROUND(TblPop[[#This Row],[Peasants]]*Constants!$B$55,0), 0)</f>
        <v>62</v>
      </c>
      <c r="AA124" s="145"/>
      <c r="AB124" s="146">
        <f ca="1">Overview!$I$16 + IF(Magic!AE124&gt;0,Constants!$F$78) + ROUND(6*(Construction!BM125+Construction!CK124)/IF(Explore!S125&gt;0,Construction!F125-20,Construction!F125),4) + tech_6_5_2*Techs!BJ124 + tech_8_4*Techs!BT124</f>
        <v>0.40289999999999998</v>
      </c>
      <c r="AC124" s="142">
        <f ca="1">(Overview!$I$15 + Imps!Z124+ tech_2_5*Techs!AB124 + tech_3_6*Techs!AM124 + tech_6_1*Techs!BJ124 + tech_6_5*Techs!BF124 + tech_7_3_2*Techs!BN124) * (1 + Production!O124/100*prestige_pop_multiplier) + Production!O124/100*prestige_pop_multiplier</f>
        <v>7.6249999999999998E-2</v>
      </c>
    </row>
    <row r="125" spans="1:29" x14ac:dyDescent="0.2">
      <c r="A125" s="140">
        <f>TblRezone[[#This Row],[Hour]]</f>
        <v>122</v>
      </c>
      <c r="B125" s="141">
        <f ca="1">TblImps[[#This Row],[Time]]</f>
        <v>45434.791666666373</v>
      </c>
      <c r="C125" s="97">
        <f ca="1">OFFSET(TblPop[[#This Row],[Peasants]],-1,0)+OFFSET(TblPop[[#This Row],[Net Peasant]],-1,0)+TblMili[[#This Row],[Release Draft]]</f>
        <v>6120</v>
      </c>
      <c r="D125" s="97">
        <f ca="1">TblMili[[#This Row],[Military]]</f>
        <v>6819</v>
      </c>
      <c r="E125" s="97">
        <f ca="1">TblMili[[#This Row],[Draftees]]</f>
        <v>3595</v>
      </c>
      <c r="F125" s="97">
        <f ca="1">TblPop[[#This Row],[Peasants]]+TblPop[[#This Row],[Military]]</f>
        <v>12939</v>
      </c>
      <c r="G125" s="142">
        <f ca="1">TblPop[[#This Row],[Military]]/TblPop[[#This Row],[Total]]</f>
        <v>0.52701136100162305</v>
      </c>
      <c r="H125" s="143">
        <f ca="1">MIN(TblPop[[#This Row],[Peasants]],TblPop[[#This Row],[Jobs]])</f>
        <v>6120</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12200</v>
      </c>
      <c r="K125" s="144"/>
      <c r="L125" s="62">
        <f ca="1">TblPop[[#This Row],[Draftees]]</f>
        <v>3595</v>
      </c>
      <c r="M125" s="62">
        <f ca="1">TblMili[[#This Row],[Unit 1]]</f>
        <v>0</v>
      </c>
      <c r="N125" s="62">
        <f ca="1">TblMili[[#This Row],[Unit 2]]</f>
        <v>1246</v>
      </c>
      <c r="O125" s="62">
        <f ca="1">TblMili[[#This Row],[Unit 3]]</f>
        <v>700</v>
      </c>
      <c r="P125" s="62">
        <f ca="1">TblMili[[#This Row],[Unit 4]]</f>
        <v>1228</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12939</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5" s="97">
        <f ca="1">MAX(-5%*TblPop[[#This Row],[Peasants]]-TblPop[[#This Row],[Draft Growth]],MIN(OFFSET(TblPop[[#This Row],[Net max]],1,0)-TblPop[[#This Row],[Peasants]]-TblPop[[#This Row],[Military]]-TblPop[[#This Row],[Draft Growth]],TblPop[[#This Row],[Modded Birth]]-TblPop[[#This Row],[Draft Growth]]))</f>
        <v>-61</v>
      </c>
      <c r="X125" s="97">
        <f ca="1">ROUND(TblPop[[#This Row],[Raw Birth]]*(1+TblPop[[#This Row],[Growth]]),0)</f>
        <v>255</v>
      </c>
      <c r="Y125" s="97">
        <f ca="1">(TblPop[[#This Row],[Peasants]]-TblPop[[#This Row],[Draft Growth]])*raw_pop_growth</f>
        <v>181.76999999999998</v>
      </c>
      <c r="Z125" s="97">
        <f ca="1">IF(TblPop[[#This Row],[Military%]]&lt;TblMili[[#This Row],[Draftrate]],ROUND(TblPop[[#This Row],[Peasants]]*Constants!$B$55,0), 0)</f>
        <v>61</v>
      </c>
      <c r="AA125" s="145"/>
      <c r="AB125" s="146">
        <f ca="1">Overview!$I$16 + IF(Magic!AE125&gt;0,Constants!$F$78) + ROUND(6*(Construction!BM126+Construction!CK125)/IF(Explore!S126&gt;0,Construction!F126-20,Construction!F126),4) + tech_6_5_2*Techs!BJ125 + tech_8_4*Techs!BT125</f>
        <v>0.40289999999999998</v>
      </c>
      <c r="AC125" s="142">
        <f ca="1">(Overview!$I$15 + Imps!Z125+ tech_2_5*Techs!AB125 + tech_3_6*Techs!AM125 + tech_6_1*Techs!BJ125 + tech_6_5*Techs!BF125 + tech_7_3_2*Techs!BN125) * (1 + Production!O125/100*prestige_pop_multiplier) + Production!O125/100*prestige_pop_multiplier</f>
        <v>7.6249999999999998E-2</v>
      </c>
    </row>
    <row r="126" spans="1:29" x14ac:dyDescent="0.2">
      <c r="A126" s="140">
        <f>TblRezone[[#This Row],[Hour]]</f>
        <v>123</v>
      </c>
      <c r="B126" s="141">
        <f ca="1">TblImps[[#This Row],[Time]]</f>
        <v>45434.833333333037</v>
      </c>
      <c r="C126" s="97">
        <f ca="1">OFFSET(TblPop[[#This Row],[Peasants]],-1,0)+OFFSET(TblPop[[#This Row],[Net Peasant]],-1,0)+TblMili[[#This Row],[Release Draft]]</f>
        <v>6059</v>
      </c>
      <c r="D126" s="97">
        <f ca="1">TblMili[[#This Row],[Military]]</f>
        <v>6880</v>
      </c>
      <c r="E126" s="97">
        <f ca="1">TblMili[[#This Row],[Draftees]]</f>
        <v>3656</v>
      </c>
      <c r="F126" s="97">
        <f ca="1">TblPop[[#This Row],[Peasants]]+TblPop[[#This Row],[Military]]</f>
        <v>12939</v>
      </c>
      <c r="G126" s="142">
        <f ca="1">TblPop[[#This Row],[Military]]/TblPop[[#This Row],[Total]]</f>
        <v>0.53172579024654143</v>
      </c>
      <c r="H126" s="143">
        <f ca="1">MIN(TblPop[[#This Row],[Peasants]],TblPop[[#This Row],[Jobs]])</f>
        <v>6059</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12200</v>
      </c>
      <c r="K126" s="144"/>
      <c r="L126" s="62">
        <f ca="1">TblPop[[#This Row],[Draftees]]</f>
        <v>3656</v>
      </c>
      <c r="M126" s="62">
        <f ca="1">TblMili[[#This Row],[Unit 1]]</f>
        <v>0</v>
      </c>
      <c r="N126" s="62">
        <f ca="1">TblMili[[#This Row],[Unit 2]]</f>
        <v>1246</v>
      </c>
      <c r="O126" s="62">
        <f ca="1">TblMili[[#This Row],[Unit 3]]</f>
        <v>700</v>
      </c>
      <c r="P126" s="62">
        <f ca="1">TblMili[[#This Row],[Unit 4]]</f>
        <v>1228</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12939</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6" s="97">
        <f ca="1">MAX(-5%*TblPop[[#This Row],[Peasants]]-TblPop[[#This Row],[Draft Growth]],MIN(OFFSET(TblPop[[#This Row],[Net max]],1,0)-TblPop[[#This Row],[Peasants]]-TblPop[[#This Row],[Military]]-TblPop[[#This Row],[Draft Growth]],TblPop[[#This Row],[Modded Birth]]-TblPop[[#This Row],[Draft Growth]]))</f>
        <v>-61</v>
      </c>
      <c r="X126" s="97">
        <f ca="1">ROUND(TblPop[[#This Row],[Raw Birth]]*(1+TblPop[[#This Row],[Growth]]),0)</f>
        <v>252</v>
      </c>
      <c r="Y126" s="97">
        <f ca="1">(TblPop[[#This Row],[Peasants]]-TblPop[[#This Row],[Draft Growth]])*raw_pop_growth</f>
        <v>179.94</v>
      </c>
      <c r="Z126" s="97">
        <f ca="1">IF(TblPop[[#This Row],[Military%]]&lt;TblMili[[#This Row],[Draftrate]],ROUND(TblPop[[#This Row],[Peasants]]*Constants!$B$55,0), 0)</f>
        <v>61</v>
      </c>
      <c r="AA126" s="145"/>
      <c r="AB126" s="146">
        <f ca="1">Overview!$I$16 + IF(Magic!AE126&gt;0,Constants!$F$78) + ROUND(6*(Construction!BM127+Construction!CK126)/IF(Explore!S127&gt;0,Construction!F127-20,Construction!F127),4) + tech_6_5_2*Techs!BJ126 + tech_8_4*Techs!BT126</f>
        <v>0.40289999999999998</v>
      </c>
      <c r="AC126" s="142">
        <f ca="1">(Overview!$I$15 + Imps!Z126+ tech_2_5*Techs!AB126 + tech_3_6*Techs!AM126 + tech_6_1*Techs!BJ126 + tech_6_5*Techs!BF126 + tech_7_3_2*Techs!BN126) * (1 + Production!O126/100*prestige_pop_multiplier) + Production!O126/100*prestige_pop_multiplier</f>
        <v>7.6249999999999998E-2</v>
      </c>
    </row>
    <row r="127" spans="1:29" x14ac:dyDescent="0.2">
      <c r="A127" s="140">
        <f>TblRezone[[#This Row],[Hour]]</f>
        <v>124</v>
      </c>
      <c r="B127" s="141">
        <f ca="1">TblImps[[#This Row],[Time]]</f>
        <v>45434.874999999702</v>
      </c>
      <c r="C127" s="97">
        <f ca="1">OFFSET(TblPop[[#This Row],[Peasants]],-1,0)+OFFSET(TblPop[[#This Row],[Net Peasant]],-1,0)+TblMili[[#This Row],[Release Draft]]</f>
        <v>5998</v>
      </c>
      <c r="D127" s="97">
        <f ca="1">TblMili[[#This Row],[Military]]</f>
        <v>6941</v>
      </c>
      <c r="E127" s="97">
        <f ca="1">TblMili[[#This Row],[Draftees]]</f>
        <v>3717</v>
      </c>
      <c r="F127" s="97">
        <f ca="1">TblPop[[#This Row],[Peasants]]+TblPop[[#This Row],[Military]]</f>
        <v>12939</v>
      </c>
      <c r="G127" s="142">
        <f ca="1">TblPop[[#This Row],[Military]]/TblPop[[#This Row],[Total]]</f>
        <v>0.53644021949145992</v>
      </c>
      <c r="H127" s="143">
        <f ca="1">MIN(TblPop[[#This Row],[Peasants]],TblPop[[#This Row],[Jobs]])</f>
        <v>5998</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12200</v>
      </c>
      <c r="K127" s="144"/>
      <c r="L127" s="62">
        <f ca="1">TblPop[[#This Row],[Draftees]]</f>
        <v>3717</v>
      </c>
      <c r="M127" s="62">
        <f ca="1">TblMili[[#This Row],[Unit 1]]</f>
        <v>0</v>
      </c>
      <c r="N127" s="62">
        <f ca="1">TblMili[[#This Row],[Unit 2]]</f>
        <v>1246</v>
      </c>
      <c r="O127" s="62">
        <f ca="1">TblMili[[#This Row],[Unit 3]]</f>
        <v>700</v>
      </c>
      <c r="P127" s="62">
        <f ca="1">TblMili[[#This Row],[Unit 4]]</f>
        <v>1228</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12939</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7" s="97">
        <f ca="1">MAX(-5%*TblPop[[#This Row],[Peasants]]-TblPop[[#This Row],[Draft Growth]],MIN(OFFSET(TblPop[[#This Row],[Net max]],1,0)-TblPop[[#This Row],[Peasants]]-TblPop[[#This Row],[Military]]-TblPop[[#This Row],[Draft Growth]],TblPop[[#This Row],[Modded Birth]]-TblPop[[#This Row],[Draft Growth]]))</f>
        <v>-60</v>
      </c>
      <c r="X127" s="97">
        <f ca="1">ROUND(TblPop[[#This Row],[Raw Birth]]*(1+TblPop[[#This Row],[Growth]]),0)</f>
        <v>250</v>
      </c>
      <c r="Y127" s="97">
        <f ca="1">(TblPop[[#This Row],[Peasants]]-TblPop[[#This Row],[Draft Growth]])*raw_pop_growth</f>
        <v>178.14</v>
      </c>
      <c r="Z127" s="97">
        <f ca="1">IF(TblPop[[#This Row],[Military%]]&lt;TblMili[[#This Row],[Draftrate]],ROUND(TblPop[[#This Row],[Peasants]]*Constants!$B$55,0), 0)</f>
        <v>60</v>
      </c>
      <c r="AA127" s="145"/>
      <c r="AB127" s="146">
        <f ca="1">Overview!$I$16 + IF(Magic!AE127&gt;0,Constants!$F$78) + ROUND(6*(Construction!BM128+Construction!CK127)/IF(Explore!S128&gt;0,Construction!F128-20,Construction!F128),4) + tech_6_5_2*Techs!BJ127 + tech_8_4*Techs!BT127</f>
        <v>0.40289999999999998</v>
      </c>
      <c r="AC127" s="142">
        <f ca="1">(Overview!$I$15 + Imps!Z127+ tech_2_5*Techs!AB127 + tech_3_6*Techs!AM127 + tech_6_1*Techs!BJ127 + tech_6_5*Techs!BF127 + tech_7_3_2*Techs!BN127) * (1 + Production!O127/100*prestige_pop_multiplier) + Production!O127/100*prestige_pop_multiplier</f>
        <v>7.6249999999999998E-2</v>
      </c>
    </row>
    <row r="128" spans="1:29" x14ac:dyDescent="0.2">
      <c r="A128" s="140">
        <f>TblRezone[[#This Row],[Hour]]</f>
        <v>125</v>
      </c>
      <c r="B128" s="141">
        <f ca="1">TblImps[[#This Row],[Time]]</f>
        <v>45434.916666666366</v>
      </c>
      <c r="C128" s="97">
        <f ca="1">OFFSET(TblPop[[#This Row],[Peasants]],-1,0)+OFFSET(TblPop[[#This Row],[Net Peasant]],-1,0)+TblMili[[#This Row],[Release Draft]]</f>
        <v>5938</v>
      </c>
      <c r="D128" s="97">
        <f ca="1">TblMili[[#This Row],[Military]]</f>
        <v>7001</v>
      </c>
      <c r="E128" s="97">
        <f ca="1">TblMili[[#This Row],[Draftees]]</f>
        <v>3777</v>
      </c>
      <c r="F128" s="97">
        <f ca="1">TblPop[[#This Row],[Peasants]]+TblPop[[#This Row],[Military]]</f>
        <v>12939</v>
      </c>
      <c r="G128" s="142">
        <f ca="1">TblPop[[#This Row],[Military]]/TblPop[[#This Row],[Total]]</f>
        <v>0.5410773630110518</v>
      </c>
      <c r="H128" s="143">
        <f ca="1">MIN(TblPop[[#This Row],[Peasants]],TblPop[[#This Row],[Jobs]])</f>
        <v>5938</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12200</v>
      </c>
      <c r="K128" s="144"/>
      <c r="L128" s="62">
        <f ca="1">TblPop[[#This Row],[Draftees]]</f>
        <v>3777</v>
      </c>
      <c r="M128" s="62">
        <f ca="1">TblMili[[#This Row],[Unit 1]]</f>
        <v>0</v>
      </c>
      <c r="N128" s="62">
        <f ca="1">TblMili[[#This Row],[Unit 2]]</f>
        <v>1246</v>
      </c>
      <c r="O128" s="62">
        <f ca="1">TblMili[[#This Row],[Unit 3]]</f>
        <v>700</v>
      </c>
      <c r="P128" s="62">
        <f ca="1">TblMili[[#This Row],[Unit 4]]</f>
        <v>1228</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12939</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8" s="97">
        <f ca="1">MAX(-5%*TblPop[[#This Row],[Peasants]]-TblPop[[#This Row],[Draft Growth]],MIN(OFFSET(TblPop[[#This Row],[Net max]],1,0)-TblPop[[#This Row],[Peasants]]-TblPop[[#This Row],[Military]]-TblPop[[#This Row],[Draft Growth]],TblPop[[#This Row],[Modded Birth]]-TblPop[[#This Row],[Draft Growth]]))</f>
        <v>-59</v>
      </c>
      <c r="X128" s="97">
        <f ca="1">ROUND(TblPop[[#This Row],[Raw Birth]]*(1+TblPop[[#This Row],[Growth]]),0)</f>
        <v>247</v>
      </c>
      <c r="Y128" s="97">
        <f ca="1">(TblPop[[#This Row],[Peasants]]-TblPop[[#This Row],[Draft Growth]])*raw_pop_growth</f>
        <v>176.37</v>
      </c>
      <c r="Z128" s="97">
        <f ca="1">IF(TblPop[[#This Row],[Military%]]&lt;TblMili[[#This Row],[Draftrate]],ROUND(TblPop[[#This Row],[Peasants]]*Constants!$B$55,0), 0)</f>
        <v>59</v>
      </c>
      <c r="AA128" s="145"/>
      <c r="AB128" s="146">
        <f ca="1">Overview!$I$16 + IF(Magic!AE128&gt;0,Constants!$F$78) + ROUND(6*(Construction!BM129+Construction!CK128)/IF(Explore!S129&gt;0,Construction!F129-20,Construction!F129),4) + tech_6_5_2*Techs!BJ128 + tech_8_4*Techs!BT128</f>
        <v>0.40289999999999998</v>
      </c>
      <c r="AC128" s="142">
        <f ca="1">(Overview!$I$15 + Imps!Z128+ tech_2_5*Techs!AB128 + tech_3_6*Techs!AM128 + tech_6_1*Techs!BJ128 + tech_6_5*Techs!BF128 + tech_7_3_2*Techs!BN128) * (1 + Production!O128/100*prestige_pop_multiplier) + Production!O128/100*prestige_pop_multiplier</f>
        <v>7.6249999999999998E-2</v>
      </c>
    </row>
    <row r="129" spans="1:29" x14ac:dyDescent="0.2">
      <c r="A129" s="140">
        <f>TblRezone[[#This Row],[Hour]]</f>
        <v>126</v>
      </c>
      <c r="B129" s="141">
        <f ca="1">TblImps[[#This Row],[Time]]</f>
        <v>45434.95833333303</v>
      </c>
      <c r="C129" s="97">
        <f ca="1">OFFSET(TblPop[[#This Row],[Peasants]],-1,0)+OFFSET(TblPop[[#This Row],[Net Peasant]],-1,0)+TblMili[[#This Row],[Release Draft]]</f>
        <v>5879</v>
      </c>
      <c r="D129" s="97">
        <f ca="1">TblMili[[#This Row],[Military]]</f>
        <v>7060</v>
      </c>
      <c r="E129" s="97">
        <f ca="1">TblMili[[#This Row],[Draftees]]</f>
        <v>3836</v>
      </c>
      <c r="F129" s="97">
        <f ca="1">TblPop[[#This Row],[Peasants]]+TblPop[[#This Row],[Military]]</f>
        <v>12939</v>
      </c>
      <c r="G129" s="142">
        <f ca="1">TblPop[[#This Row],[Military]]/TblPop[[#This Row],[Total]]</f>
        <v>0.54563722080531729</v>
      </c>
      <c r="H129" s="143">
        <f ca="1">MIN(TblPop[[#This Row],[Peasants]],TblPop[[#This Row],[Jobs]])</f>
        <v>5879</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12200</v>
      </c>
      <c r="K129" s="144"/>
      <c r="L129" s="62">
        <f ca="1">TblPop[[#This Row],[Draftees]]</f>
        <v>3836</v>
      </c>
      <c r="M129" s="62">
        <f ca="1">TblMili[[#This Row],[Unit 1]]</f>
        <v>0</v>
      </c>
      <c r="N129" s="62">
        <f ca="1">TblMili[[#This Row],[Unit 2]]</f>
        <v>1246</v>
      </c>
      <c r="O129" s="62">
        <f ca="1">TblMili[[#This Row],[Unit 3]]</f>
        <v>700</v>
      </c>
      <c r="P129" s="62">
        <f ca="1">TblMili[[#This Row],[Unit 4]]</f>
        <v>1228</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12939</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9" s="97">
        <f ca="1">MAX(-5%*TblPop[[#This Row],[Peasants]]-TblPop[[#This Row],[Draft Growth]],MIN(OFFSET(TblPop[[#This Row],[Net max]],1,0)-TblPop[[#This Row],[Peasants]]-TblPop[[#This Row],[Military]]-TblPop[[#This Row],[Draft Growth]],TblPop[[#This Row],[Modded Birth]]-TblPop[[#This Row],[Draft Growth]]))</f>
        <v>-59</v>
      </c>
      <c r="X129" s="97">
        <f ca="1">ROUND(TblPop[[#This Row],[Raw Birth]]*(1+TblPop[[#This Row],[Growth]]),0)</f>
        <v>245</v>
      </c>
      <c r="Y129" s="97">
        <f ca="1">(TblPop[[#This Row],[Peasants]]-TblPop[[#This Row],[Draft Growth]])*raw_pop_growth</f>
        <v>174.6</v>
      </c>
      <c r="Z129" s="97">
        <f ca="1">IF(TblPop[[#This Row],[Military%]]&lt;TblMili[[#This Row],[Draftrate]],ROUND(TblPop[[#This Row],[Peasants]]*Constants!$B$55,0), 0)</f>
        <v>59</v>
      </c>
      <c r="AA129" s="145"/>
      <c r="AB129" s="146">
        <f ca="1">Overview!$I$16 + IF(Magic!AE129&gt;0,Constants!$F$78) + ROUND(6*(Construction!BM130+Construction!CK129)/IF(Explore!S130&gt;0,Construction!F130-20,Construction!F130),4) + tech_6_5_2*Techs!BJ129 + tech_8_4*Techs!BT129</f>
        <v>0.40289999999999998</v>
      </c>
      <c r="AC129" s="142">
        <f ca="1">(Overview!$I$15 + Imps!Z129+ tech_2_5*Techs!AB129 + tech_3_6*Techs!AM129 + tech_6_1*Techs!BJ129 + tech_6_5*Techs!BF129 + tech_7_3_2*Techs!BN129) * (1 + Production!O129/100*prestige_pop_multiplier) + Production!O129/100*prestige_pop_multiplier</f>
        <v>7.6249999999999998E-2</v>
      </c>
    </row>
    <row r="130" spans="1:29" x14ac:dyDescent="0.2">
      <c r="A130" s="140">
        <f>TblRezone[[#This Row],[Hour]]</f>
        <v>127</v>
      </c>
      <c r="B130" s="141">
        <f ca="1">TblImps[[#This Row],[Time]]</f>
        <v>45434.999999999694</v>
      </c>
      <c r="C130" s="97">
        <f ca="1">OFFSET(TblPop[[#This Row],[Peasants]],-1,0)+OFFSET(TblPop[[#This Row],[Net Peasant]],-1,0)+TblMili[[#This Row],[Release Draft]]</f>
        <v>5820</v>
      </c>
      <c r="D130" s="97">
        <f ca="1">TblMili[[#This Row],[Military]]</f>
        <v>7119</v>
      </c>
      <c r="E130" s="97">
        <f ca="1">TblMili[[#This Row],[Draftees]]</f>
        <v>3895</v>
      </c>
      <c r="F130" s="97">
        <f ca="1">TblPop[[#This Row],[Peasants]]+TblPop[[#This Row],[Military]]</f>
        <v>12939</v>
      </c>
      <c r="G130" s="142">
        <f ca="1">TblPop[[#This Row],[Military]]/TblPop[[#This Row],[Total]]</f>
        <v>0.55019707859958267</v>
      </c>
      <c r="H130" s="143">
        <f ca="1">MIN(TblPop[[#This Row],[Peasants]],TblPop[[#This Row],[Jobs]])</f>
        <v>5820</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12200</v>
      </c>
      <c r="K130" s="144"/>
      <c r="L130" s="62">
        <f ca="1">TblPop[[#This Row],[Draftees]]</f>
        <v>3895</v>
      </c>
      <c r="M130" s="62">
        <f ca="1">TblMili[[#This Row],[Unit 1]]</f>
        <v>0</v>
      </c>
      <c r="N130" s="62">
        <f ca="1">TblMili[[#This Row],[Unit 2]]</f>
        <v>1246</v>
      </c>
      <c r="O130" s="62">
        <f ca="1">TblMili[[#This Row],[Unit 3]]</f>
        <v>700</v>
      </c>
      <c r="P130" s="62">
        <f ca="1">TblMili[[#This Row],[Unit 4]]</f>
        <v>1228</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12939</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0" s="97">
        <f ca="1">MAX(-5%*TblPop[[#This Row],[Peasants]]-TblPop[[#This Row],[Draft Growth]],MIN(OFFSET(TblPop[[#This Row],[Net max]],1,0)-TblPop[[#This Row],[Peasants]]-TblPop[[#This Row],[Military]]-TblPop[[#This Row],[Draft Growth]],TblPop[[#This Row],[Modded Birth]]-TblPop[[#This Row],[Draft Growth]]))</f>
        <v>-58</v>
      </c>
      <c r="X130" s="97">
        <f ca="1">ROUND(TblPop[[#This Row],[Raw Birth]]*(1+TblPop[[#This Row],[Growth]]),0)</f>
        <v>243</v>
      </c>
      <c r="Y130" s="97">
        <f ca="1">(TblPop[[#This Row],[Peasants]]-TblPop[[#This Row],[Draft Growth]])*raw_pop_growth</f>
        <v>172.85999999999999</v>
      </c>
      <c r="Z130" s="97">
        <f ca="1">IF(TblPop[[#This Row],[Military%]]&lt;TblMili[[#This Row],[Draftrate]],ROUND(TblPop[[#This Row],[Peasants]]*Constants!$B$55,0), 0)</f>
        <v>58</v>
      </c>
      <c r="AA130" s="145"/>
      <c r="AB130" s="146">
        <f ca="1">Overview!$I$16 + IF(Magic!AE130&gt;0,Constants!$F$78) + ROUND(6*(Construction!BM131+Construction!CK130)/IF(Explore!S131&gt;0,Construction!F131-20,Construction!F131),4) + tech_6_5_2*Techs!BJ130 + tech_8_4*Techs!BT130</f>
        <v>0.40289999999999998</v>
      </c>
      <c r="AC130" s="142">
        <f ca="1">(Overview!$I$15 + Imps!Z130+ tech_2_5*Techs!AB130 + tech_3_6*Techs!AM130 + tech_6_1*Techs!BJ130 + tech_6_5*Techs!BF130 + tech_7_3_2*Techs!BN130) * (1 + Production!O130/100*prestige_pop_multiplier) + Production!O130/100*prestige_pop_multiplier</f>
        <v>7.6249999999999998E-2</v>
      </c>
    </row>
    <row r="131" spans="1:29" x14ac:dyDescent="0.2">
      <c r="A131" s="140">
        <f>TblRezone[[#This Row],[Hour]]</f>
        <v>128</v>
      </c>
      <c r="B131" s="141">
        <f ca="1">TblImps[[#This Row],[Time]]</f>
        <v>45435.041666666359</v>
      </c>
      <c r="C131" s="97">
        <f ca="1">OFFSET(TblPop[[#This Row],[Peasants]],-1,0)+OFFSET(TblPop[[#This Row],[Net Peasant]],-1,0)+TblMili[[#This Row],[Release Draft]]</f>
        <v>5762</v>
      </c>
      <c r="D131" s="97">
        <f ca="1">TblMili[[#This Row],[Military]]</f>
        <v>7177</v>
      </c>
      <c r="E131" s="97">
        <f ca="1">TblMili[[#This Row],[Draftees]]</f>
        <v>3953</v>
      </c>
      <c r="F131" s="97">
        <f ca="1">TblPop[[#This Row],[Peasants]]+TblPop[[#This Row],[Military]]</f>
        <v>12939</v>
      </c>
      <c r="G131" s="142">
        <f ca="1">TblPop[[#This Row],[Military]]/TblPop[[#This Row],[Total]]</f>
        <v>0.55467965066852154</v>
      </c>
      <c r="H131" s="143">
        <f ca="1">MIN(TblPop[[#This Row],[Peasants]],TblPop[[#This Row],[Jobs]])</f>
        <v>5762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12200</v>
      </c>
      <c r="K131" s="144"/>
      <c r="L131" s="62">
        <f ca="1">TblPop[[#This Row],[Draftees]]</f>
        <v>3953</v>
      </c>
      <c r="M131" s="62">
        <f ca="1">TblMili[[#This Row],[Unit 1]]</f>
        <v>0</v>
      </c>
      <c r="N131" s="62">
        <f ca="1">TblMili[[#This Row],[Unit 2]]</f>
        <v>1246</v>
      </c>
      <c r="O131" s="62">
        <f ca="1">TblMili[[#This Row],[Unit 3]]</f>
        <v>700</v>
      </c>
      <c r="P131" s="62">
        <f ca="1">TblMili[[#This Row],[Unit 4]]</f>
        <v>1228</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12939</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1" s="97">
        <f ca="1">MAX(-5%*TblPop[[#This Row],[Peasants]]-TblPop[[#This Row],[Draft Growth]],MIN(OFFSET(TblPop[[#This Row],[Net max]],1,0)-TblPop[[#This Row],[Peasants]]-TblPop[[#This Row],[Military]]-TblPop[[#This Row],[Draft Growth]],TblPop[[#This Row],[Modded Birth]]-TblPop[[#This Row],[Draft Growth]]))</f>
        <v>-58</v>
      </c>
      <c r="X131" s="97">
        <f ca="1">ROUND(TblPop[[#This Row],[Raw Birth]]*(1+TblPop[[#This Row],[Growth]]),0)</f>
        <v>240</v>
      </c>
      <c r="Y131" s="97">
        <f ca="1">(TblPop[[#This Row],[Peasants]]-TblPop[[#This Row],[Draft Growth]])*raw_pop_growth</f>
        <v>171.12</v>
      </c>
      <c r="Z131" s="97">
        <f ca="1">IF(TblPop[[#This Row],[Military%]]&lt;TblMili[[#This Row],[Draftrate]],ROUND(TblPop[[#This Row],[Peasants]]*Constants!$B$55,0), 0)</f>
        <v>58</v>
      </c>
      <c r="AA131" s="145"/>
      <c r="AB131" s="146">
        <f ca="1">Overview!$I$16 + IF(Magic!AE131&gt;0,Constants!$F$78) + ROUND(6*(Construction!BM132+Construction!CK131)/IF(Explore!S132&gt;0,Construction!F132-20,Construction!F132),4) + tech_6_5_2*Techs!BJ131 + tech_8_4*Techs!BT131</f>
        <v>0.40289999999999998</v>
      </c>
      <c r="AC131" s="142">
        <f ca="1">(Overview!$I$15 + Imps!Z131+ tech_2_5*Techs!AB131 + tech_3_6*Techs!AM131 + tech_6_1*Techs!BJ131 + tech_6_5*Techs!BF131 + tech_7_3_2*Techs!BN131) * (1 + Production!O131/100*prestige_pop_multiplier) + Production!O131/100*prestige_pop_multiplier</f>
        <v>7.6249999999999998E-2</v>
      </c>
    </row>
    <row r="132" spans="1:29" x14ac:dyDescent="0.2">
      <c r="A132" s="140">
        <f>TblRezone[[#This Row],[Hour]]</f>
        <v>129</v>
      </c>
      <c r="B132" s="141">
        <f ca="1">TblImps[[#This Row],[Time]]</f>
        <v>45435.083333333023</v>
      </c>
      <c r="C132" s="97">
        <f ca="1">OFFSET(TblPop[[#This Row],[Peasants]],-1,0)+OFFSET(TblPop[[#This Row],[Net Peasant]],-1,0)+TblMili[[#This Row],[Release Draft]]</f>
        <v>5704</v>
      </c>
      <c r="D132" s="97">
        <f ca="1">TblMili[[#This Row],[Military]]</f>
        <v>7235</v>
      </c>
      <c r="E132" s="97">
        <f ca="1">TblMili[[#This Row],[Draftees]]</f>
        <v>4011</v>
      </c>
      <c r="F132" s="97">
        <f ca="1">TblPop[[#This Row],[Peasants]]+TblPop[[#This Row],[Military]]</f>
        <v>12939</v>
      </c>
      <c r="G132" s="142">
        <f ca="1">TblPop[[#This Row],[Military]]/TblPop[[#This Row],[Total]]</f>
        <v>0.55916222273746041</v>
      </c>
      <c r="H132" s="143">
        <f ca="1">MIN(TblPop[[#This Row],[Peasants]],TblPop[[#This Row],[Jobs]])</f>
        <v>5704</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12200</v>
      </c>
      <c r="K132" s="144"/>
      <c r="L132" s="62">
        <f ca="1">TblPop[[#This Row],[Draftees]]</f>
        <v>4011</v>
      </c>
      <c r="M132" s="62">
        <f ca="1">TblMili[[#This Row],[Unit 1]]</f>
        <v>0</v>
      </c>
      <c r="N132" s="62">
        <f ca="1">TblMili[[#This Row],[Unit 2]]</f>
        <v>1246</v>
      </c>
      <c r="O132" s="62">
        <f ca="1">TblMili[[#This Row],[Unit 3]]</f>
        <v>700</v>
      </c>
      <c r="P132" s="62">
        <f ca="1">TblMili[[#This Row],[Unit 4]]</f>
        <v>1228</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12939</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2" s="97">
        <f ca="1">MAX(-5%*TblPop[[#This Row],[Peasants]]-TblPop[[#This Row],[Draft Growth]],MIN(OFFSET(TblPop[[#This Row],[Net max]],1,0)-TblPop[[#This Row],[Peasants]]-TblPop[[#This Row],[Military]]-TblPop[[#This Row],[Draft Growth]],TblPop[[#This Row],[Modded Birth]]-TblPop[[#This Row],[Draft Growth]]))</f>
        <v>-57</v>
      </c>
      <c r="X132" s="97">
        <f ca="1">ROUND(TblPop[[#This Row],[Raw Birth]]*(1+TblPop[[#This Row],[Growth]]),0)</f>
        <v>238</v>
      </c>
      <c r="Y132" s="97">
        <f ca="1">(TblPop[[#This Row],[Peasants]]-TblPop[[#This Row],[Draft Growth]])*raw_pop_growth</f>
        <v>169.41</v>
      </c>
      <c r="Z132" s="97">
        <f ca="1">IF(TblPop[[#This Row],[Military%]]&lt;TblMili[[#This Row],[Draftrate]],ROUND(TblPop[[#This Row],[Peasants]]*Constants!$B$55,0), 0)</f>
        <v>57</v>
      </c>
      <c r="AA132" s="145"/>
      <c r="AB132" s="146">
        <f ca="1">Overview!$I$16 + IF(Magic!AE132&gt;0,Constants!$F$78) + ROUND(6*(Construction!BM133+Construction!CK132)/IF(Explore!S133&gt;0,Construction!F133-20,Construction!F133),4) + tech_6_5_2*Techs!BJ132 + tech_8_4*Techs!BT132</f>
        <v>0.40289999999999998</v>
      </c>
      <c r="AC132" s="142">
        <f ca="1">(Overview!$I$15 + Imps!Z132+ tech_2_5*Techs!AB132 + tech_3_6*Techs!AM132 + tech_6_1*Techs!BJ132 + tech_6_5*Techs!BF132 + tech_7_3_2*Techs!BN132) * (1 + Production!O132/100*prestige_pop_multiplier) + Production!O132/100*prestige_pop_multiplier</f>
        <v>7.6249999999999998E-2</v>
      </c>
    </row>
    <row r="133" spans="1:29" x14ac:dyDescent="0.2">
      <c r="A133" s="140">
        <f>TblRezone[[#This Row],[Hour]]</f>
        <v>130</v>
      </c>
      <c r="B133" s="141">
        <f ca="1">TblImps[[#This Row],[Time]]</f>
        <v>45435.124999999687</v>
      </c>
      <c r="C133" s="97">
        <f ca="1">OFFSET(TblPop[[#This Row],[Peasants]],-1,0)+OFFSET(TblPop[[#This Row],[Net Peasant]],-1,0)+TblMili[[#This Row],[Release Draft]]</f>
        <v>5647</v>
      </c>
      <c r="D133" s="97">
        <f ca="1">TblMili[[#This Row],[Military]]</f>
        <v>7292</v>
      </c>
      <c r="E133" s="97">
        <f ca="1">TblMili[[#This Row],[Draftees]]</f>
        <v>4068</v>
      </c>
      <c r="F133" s="97">
        <f ca="1">TblPop[[#This Row],[Peasants]]+TblPop[[#This Row],[Military]]</f>
        <v>12939</v>
      </c>
      <c r="G133" s="142">
        <f ca="1">TblPop[[#This Row],[Military]]/TblPop[[#This Row],[Total]]</f>
        <v>0.56356750908107267</v>
      </c>
      <c r="H133" s="143">
        <f ca="1">MIN(TblPop[[#This Row],[Peasants]],TblPop[[#This Row],[Jobs]])</f>
        <v>5647</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12200</v>
      </c>
      <c r="K133" s="144"/>
      <c r="L133" s="62">
        <f ca="1">TblPop[[#This Row],[Draftees]]</f>
        <v>4068</v>
      </c>
      <c r="M133" s="62">
        <f ca="1">TblMili[[#This Row],[Unit 1]]</f>
        <v>0</v>
      </c>
      <c r="N133" s="62">
        <f ca="1">TblMili[[#This Row],[Unit 2]]</f>
        <v>1246</v>
      </c>
      <c r="O133" s="62">
        <f ca="1">TblMili[[#This Row],[Unit 3]]</f>
        <v>700</v>
      </c>
      <c r="P133" s="62">
        <f ca="1">TblMili[[#This Row],[Unit 4]]</f>
        <v>1228</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12939</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3" s="97">
        <f ca="1">MAX(-5%*TblPop[[#This Row],[Peasants]]-TblPop[[#This Row],[Draft Growth]],MIN(OFFSET(TblPop[[#This Row],[Net max]],1,0)-TblPop[[#This Row],[Peasants]]-TblPop[[#This Row],[Military]]-TblPop[[#This Row],[Draft Growth]],TblPop[[#This Row],[Modded Birth]]-TblPop[[#This Row],[Draft Growth]]))</f>
        <v>-56</v>
      </c>
      <c r="X133" s="97">
        <f ca="1">ROUND(TblPop[[#This Row],[Raw Birth]]*(1+TblPop[[#This Row],[Growth]]),0)</f>
        <v>235</v>
      </c>
      <c r="Y133" s="97">
        <f ca="1">(TblPop[[#This Row],[Peasants]]-TblPop[[#This Row],[Draft Growth]])*raw_pop_growth</f>
        <v>167.73</v>
      </c>
      <c r="Z133" s="97">
        <f ca="1">IF(TblPop[[#This Row],[Military%]]&lt;TblMili[[#This Row],[Draftrate]],ROUND(TblPop[[#This Row],[Peasants]]*Constants!$B$55,0), 0)</f>
        <v>56</v>
      </c>
      <c r="AA133" s="145"/>
      <c r="AB133" s="146">
        <f ca="1">Overview!$I$16 + IF(Magic!AE133&gt;0,Constants!$F$78) + ROUND(6*(Construction!BM134+Construction!CK133)/IF(Explore!S134&gt;0,Construction!F134-20,Construction!F134),4) + tech_6_5_2*Techs!BJ133 + tech_8_4*Techs!BT133</f>
        <v>0.40289999999999998</v>
      </c>
      <c r="AC133" s="142">
        <f ca="1">(Overview!$I$15 + Imps!Z133+ tech_2_5*Techs!AB133 + tech_3_6*Techs!AM133 + tech_6_1*Techs!BJ133 + tech_6_5*Techs!BF133 + tech_7_3_2*Techs!BN133) * (1 + Production!O133/100*prestige_pop_multiplier) + Production!O133/100*prestige_pop_multiplier</f>
        <v>7.6249999999999998E-2</v>
      </c>
    </row>
    <row r="134" spans="1:29" x14ac:dyDescent="0.2">
      <c r="A134" s="140">
        <f>TblRezone[[#This Row],[Hour]]</f>
        <v>131</v>
      </c>
      <c r="B134" s="141">
        <f ca="1">TblImps[[#This Row],[Time]]</f>
        <v>45435.166666666351</v>
      </c>
      <c r="C134" s="97">
        <f ca="1">OFFSET(TblPop[[#This Row],[Peasants]],-1,0)+OFFSET(TblPop[[#This Row],[Net Peasant]],-1,0)+TblMili[[#This Row],[Release Draft]]</f>
        <v>5591</v>
      </c>
      <c r="D134" s="97">
        <f ca="1">TblMili[[#This Row],[Military]]</f>
        <v>7348</v>
      </c>
      <c r="E134" s="97">
        <f ca="1">TblMili[[#This Row],[Draftees]]</f>
        <v>4124</v>
      </c>
      <c r="F134" s="97">
        <f ca="1">TblPop[[#This Row],[Peasants]]+TblPop[[#This Row],[Military]]</f>
        <v>12939</v>
      </c>
      <c r="G134" s="142">
        <f ca="1">TblPop[[#This Row],[Military]]/TblPop[[#This Row],[Total]]</f>
        <v>0.56789550969935854</v>
      </c>
      <c r="H134" s="143">
        <f ca="1">MIN(TblPop[[#This Row],[Peasants]],TblPop[[#This Row],[Jobs]])</f>
        <v>5591</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12200</v>
      </c>
      <c r="K134" s="144"/>
      <c r="L134" s="62">
        <f ca="1">TblPop[[#This Row],[Draftees]]</f>
        <v>4124</v>
      </c>
      <c r="M134" s="62">
        <f ca="1">TblMili[[#This Row],[Unit 1]]</f>
        <v>0</v>
      </c>
      <c r="N134" s="62">
        <f ca="1">TblMili[[#This Row],[Unit 2]]</f>
        <v>1246</v>
      </c>
      <c r="O134" s="62">
        <f ca="1">TblMili[[#This Row],[Unit 3]]</f>
        <v>700</v>
      </c>
      <c r="P134" s="62">
        <f ca="1">TblMili[[#This Row],[Unit 4]]</f>
        <v>1228</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12939</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4" s="97">
        <f ca="1">MAX(-5%*TblPop[[#This Row],[Peasants]]-TblPop[[#This Row],[Draft Growth]],MIN(OFFSET(TblPop[[#This Row],[Net max]],1,0)-TblPop[[#This Row],[Peasants]]-TblPop[[#This Row],[Military]]-TblPop[[#This Row],[Draft Growth]],TblPop[[#This Row],[Modded Birth]]-TblPop[[#This Row],[Draft Growth]]))</f>
        <v>-56</v>
      </c>
      <c r="X134" s="97">
        <f ca="1">ROUND(TblPop[[#This Row],[Raw Birth]]*(1+TblPop[[#This Row],[Growth]]),0)</f>
        <v>233</v>
      </c>
      <c r="Y134" s="97">
        <f ca="1">(TblPop[[#This Row],[Peasants]]-TblPop[[#This Row],[Draft Growth]])*raw_pop_growth</f>
        <v>166.04999999999998</v>
      </c>
      <c r="Z134" s="97">
        <f ca="1">IF(TblPop[[#This Row],[Military%]]&lt;TblMili[[#This Row],[Draftrate]],ROUND(TblPop[[#This Row],[Peasants]]*Constants!$B$55,0), 0)</f>
        <v>56</v>
      </c>
      <c r="AA134" s="145"/>
      <c r="AB134" s="146">
        <f ca="1">Overview!$I$16 + IF(Magic!AE134&gt;0,Constants!$F$78) + ROUND(6*(Construction!BM135+Construction!CK134)/IF(Explore!S135&gt;0,Construction!F135-20,Construction!F135),4) + tech_6_5_2*Techs!BJ134 + tech_8_4*Techs!BT134</f>
        <v>0.40289999999999998</v>
      </c>
      <c r="AC134" s="142">
        <f ca="1">(Overview!$I$15 + Imps!Z134+ tech_2_5*Techs!AB134 + tech_3_6*Techs!AM134 + tech_6_1*Techs!BJ134 + tech_6_5*Techs!BF134 + tech_7_3_2*Techs!BN134) * (1 + Production!O134/100*prestige_pop_multiplier) + Production!O134/100*prestige_pop_multiplier</f>
        <v>7.6249999999999998E-2</v>
      </c>
    </row>
    <row r="135" spans="1:29" x14ac:dyDescent="0.2">
      <c r="A135" s="140">
        <f>TblRezone[[#This Row],[Hour]]</f>
        <v>132</v>
      </c>
      <c r="B135" s="141">
        <f ca="1">TblImps[[#This Row],[Time]]</f>
        <v>45435.208333333016</v>
      </c>
      <c r="C135" s="97">
        <f ca="1">OFFSET(TblPop[[#This Row],[Peasants]],-1,0)+OFFSET(TblPop[[#This Row],[Net Peasant]],-1,0)+TblMili[[#This Row],[Release Draft]]</f>
        <v>5535</v>
      </c>
      <c r="D135" s="97">
        <f ca="1">TblMili[[#This Row],[Military]]</f>
        <v>7404</v>
      </c>
      <c r="E135" s="97">
        <f ca="1">TblMili[[#This Row],[Draftees]]</f>
        <v>4180</v>
      </c>
      <c r="F135" s="97">
        <f ca="1">TblPop[[#This Row],[Peasants]]+TblPop[[#This Row],[Military]]</f>
        <v>12939</v>
      </c>
      <c r="G135" s="142">
        <f ca="1">TblPop[[#This Row],[Military]]/TblPop[[#This Row],[Total]]</f>
        <v>0.57222351031764429</v>
      </c>
      <c r="H135" s="143">
        <f ca="1">MIN(TblPop[[#This Row],[Peasants]],TblPop[[#This Row],[Jobs]])</f>
        <v>5535</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12200</v>
      </c>
      <c r="K135" s="144"/>
      <c r="L135" s="62">
        <f ca="1">TblPop[[#This Row],[Draftees]]</f>
        <v>4180</v>
      </c>
      <c r="M135" s="62">
        <f ca="1">TblMili[[#This Row],[Unit 1]]</f>
        <v>0</v>
      </c>
      <c r="N135" s="62">
        <f ca="1">TblMili[[#This Row],[Unit 2]]</f>
        <v>1246</v>
      </c>
      <c r="O135" s="62">
        <f ca="1">TblMili[[#This Row],[Unit 3]]</f>
        <v>700</v>
      </c>
      <c r="P135" s="62">
        <f ca="1">TblMili[[#This Row],[Unit 4]]</f>
        <v>1228</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12939</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5" s="97">
        <f ca="1">MAX(-5%*TblPop[[#This Row],[Peasants]]-TblPop[[#This Row],[Draft Growth]],MIN(OFFSET(TblPop[[#This Row],[Net max]],1,0)-TblPop[[#This Row],[Peasants]]-TblPop[[#This Row],[Military]]-TblPop[[#This Row],[Draft Growth]],TblPop[[#This Row],[Modded Birth]]-TblPop[[#This Row],[Draft Growth]]))</f>
        <v>-55</v>
      </c>
      <c r="X135" s="97">
        <f ca="1">ROUND(TblPop[[#This Row],[Raw Birth]]*(1+TblPop[[#This Row],[Growth]]),0)</f>
        <v>231</v>
      </c>
      <c r="Y135" s="97">
        <f ca="1">(TblPop[[#This Row],[Peasants]]-TblPop[[#This Row],[Draft Growth]])*raw_pop_growth</f>
        <v>164.4</v>
      </c>
      <c r="Z135" s="97">
        <f ca="1">IF(TblPop[[#This Row],[Military%]]&lt;TblMili[[#This Row],[Draftrate]],ROUND(TblPop[[#This Row],[Peasants]]*Constants!$B$55,0), 0)</f>
        <v>55</v>
      </c>
      <c r="AA135" s="145"/>
      <c r="AB135" s="146">
        <f ca="1">Overview!$I$16 + IF(Magic!AE135&gt;0,Constants!$F$78) + ROUND(6*(Construction!BM136+Construction!CK135)/IF(Explore!S136&gt;0,Construction!F136-20,Construction!F136),4) + tech_6_5_2*Techs!BJ135 + tech_8_4*Techs!BT135</f>
        <v>0.40289999999999998</v>
      </c>
      <c r="AC135" s="142">
        <f ca="1">(Overview!$I$15 + Imps!Z135+ tech_2_5*Techs!AB135 + tech_3_6*Techs!AM135 + tech_6_1*Techs!BJ135 + tech_6_5*Techs!BF135 + tech_7_3_2*Techs!BN135) * (1 + Production!O135/100*prestige_pop_multiplier) + Production!O135/100*prestige_pop_multiplier</f>
        <v>7.6249999999999998E-2</v>
      </c>
    </row>
    <row r="136" spans="1:29" x14ac:dyDescent="0.2">
      <c r="A136" s="140">
        <f>TblRezone[[#This Row],[Hour]]</f>
        <v>133</v>
      </c>
      <c r="B136" s="141">
        <f ca="1">TblImps[[#This Row],[Time]]</f>
        <v>45435.24999999968</v>
      </c>
      <c r="C136" s="97">
        <f ca="1">OFFSET(TblPop[[#This Row],[Peasants]],-1,0)+OFFSET(TblPop[[#This Row],[Net Peasant]],-1,0)+TblMili[[#This Row],[Release Draft]]</f>
        <v>5480</v>
      </c>
      <c r="D136" s="97">
        <f ca="1">TblMili[[#This Row],[Military]]</f>
        <v>7459</v>
      </c>
      <c r="E136" s="97">
        <f ca="1">TblMili[[#This Row],[Draftees]]</f>
        <v>4235</v>
      </c>
      <c r="F136" s="97">
        <f ca="1">TblPop[[#This Row],[Peasants]]+TblPop[[#This Row],[Military]]</f>
        <v>12939</v>
      </c>
      <c r="G136" s="142">
        <f ca="1">TblPop[[#This Row],[Military]]/TblPop[[#This Row],[Total]]</f>
        <v>0.57647422521060365</v>
      </c>
      <c r="H136" s="143">
        <f ca="1">MIN(TblPop[[#This Row],[Peasants]],TblPop[[#This Row],[Jobs]])</f>
        <v>5480</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12200</v>
      </c>
      <c r="K136" s="144"/>
      <c r="L136" s="62">
        <f ca="1">TblPop[[#This Row],[Draftees]]</f>
        <v>4235</v>
      </c>
      <c r="M136" s="62">
        <f ca="1">TblMili[[#This Row],[Unit 1]]</f>
        <v>0</v>
      </c>
      <c r="N136" s="62">
        <f ca="1">TblMili[[#This Row],[Unit 2]]</f>
        <v>1246</v>
      </c>
      <c r="O136" s="62">
        <f ca="1">TblMili[[#This Row],[Unit 3]]</f>
        <v>700</v>
      </c>
      <c r="P136" s="62">
        <f ca="1">TblMili[[#This Row],[Unit 4]]</f>
        <v>1228</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12939</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162.75</v>
      </c>
      <c r="Z136" s="97">
        <f ca="1">IF(TblPop[[#This Row],[Military%]]&lt;TblMili[[#This Row],[Draftrate]],ROUND(TblPop[[#This Row],[Peasants]]*Constants!$B$55,0), 0)</f>
        <v>55</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7.6249999999999998E-2</v>
      </c>
    </row>
    <row r="1269" spans="3:26" x14ac:dyDescent="0.2">
      <c r="C1269" s="496" t="s">
        <v>316</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55" activePane="bottomLeft" state="frozenSplit"/>
      <selection activeCell="A3" sqref="A3"/>
      <selection pane="bottomLeft" activeCell="C81" sqref="C81"/>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499" t="s">
        <v>248</v>
      </c>
      <c r="T1" s="499"/>
      <c r="U1" s="499"/>
      <c r="AA1" s="499" t="s">
        <v>85</v>
      </c>
      <c r="AB1" s="499"/>
      <c r="AH1" s="499" t="s">
        <v>165</v>
      </c>
      <c r="AI1" s="499"/>
      <c r="AJ1" s="499"/>
      <c r="AK1" s="499"/>
      <c r="AL1" s="499"/>
      <c r="AM1" s="499"/>
      <c r="AO1" s="5" t="s">
        <v>19</v>
      </c>
      <c r="AT1" s="499" t="s">
        <v>185</v>
      </c>
      <c r="AU1" s="499"/>
      <c r="BC1" s="5" t="s">
        <v>421</v>
      </c>
      <c r="BI1" s="5" t="s">
        <v>17</v>
      </c>
    </row>
    <row r="2" spans="1:65" s="5" customFormat="1" x14ac:dyDescent="0.2">
      <c r="A2" s="28"/>
    </row>
    <row r="3" spans="1:65" s="154" customFormat="1" ht="25.5" x14ac:dyDescent="0.2">
      <c r="A3" s="138" t="s">
        <v>0</v>
      </c>
      <c r="B3" s="138" t="s">
        <v>311</v>
      </c>
      <c r="C3" s="138" t="s">
        <v>322</v>
      </c>
      <c r="D3" s="138" t="s">
        <v>774</v>
      </c>
      <c r="E3" s="138" t="s">
        <v>1</v>
      </c>
      <c r="F3" s="138" t="s">
        <v>21</v>
      </c>
      <c r="G3" s="138" t="s">
        <v>231</v>
      </c>
      <c r="H3" s="138" t="s">
        <v>2</v>
      </c>
      <c r="I3" s="138" t="s">
        <v>5</v>
      </c>
      <c r="J3" s="138" t="s">
        <v>7</v>
      </c>
      <c r="K3" s="138" t="s">
        <v>12</v>
      </c>
      <c r="L3" s="138" t="s">
        <v>3</v>
      </c>
      <c r="M3" s="138" t="s">
        <v>4</v>
      </c>
      <c r="N3" s="138" t="s">
        <v>82</v>
      </c>
      <c r="O3" s="138" t="s">
        <v>352</v>
      </c>
      <c r="P3" s="138" t="s">
        <v>372</v>
      </c>
      <c r="Q3" s="138" t="s">
        <v>373</v>
      </c>
      <c r="R3" s="138" t="s">
        <v>775</v>
      </c>
      <c r="S3" s="138" t="s">
        <v>6</v>
      </c>
      <c r="T3" s="138" t="s">
        <v>9</v>
      </c>
      <c r="U3" s="138" t="s">
        <v>8</v>
      </c>
      <c r="V3" s="138" t="s">
        <v>13</v>
      </c>
      <c r="W3" s="138" t="s">
        <v>10</v>
      </c>
      <c r="X3" s="138" t="s">
        <v>11</v>
      </c>
      <c r="Y3" s="138" t="s">
        <v>50</v>
      </c>
      <c r="Z3" s="138" t="s">
        <v>776</v>
      </c>
      <c r="AA3" s="138" t="s">
        <v>839</v>
      </c>
      <c r="AB3" s="138" t="s">
        <v>840</v>
      </c>
      <c r="AC3" s="138" t="s">
        <v>841</v>
      </c>
      <c r="AD3" s="138" t="s">
        <v>842</v>
      </c>
      <c r="AE3" s="138" t="s">
        <v>843</v>
      </c>
      <c r="AF3" s="138" t="s">
        <v>844</v>
      </c>
      <c r="AG3" s="138" t="s">
        <v>777</v>
      </c>
      <c r="AH3" s="138" t="s">
        <v>845</v>
      </c>
      <c r="AI3" s="138" t="s">
        <v>846</v>
      </c>
      <c r="AJ3" s="138" t="s">
        <v>847</v>
      </c>
      <c r="AK3" s="138" t="s">
        <v>848</v>
      </c>
      <c r="AL3" s="138" t="s">
        <v>849</v>
      </c>
      <c r="AM3" s="138" t="s">
        <v>850</v>
      </c>
      <c r="AN3" s="138" t="s">
        <v>791</v>
      </c>
      <c r="AO3" s="138" t="s">
        <v>14</v>
      </c>
      <c r="AP3" s="138" t="s">
        <v>20</v>
      </c>
      <c r="AQ3" s="138" t="s">
        <v>16</v>
      </c>
      <c r="AR3" s="138" t="s">
        <v>15</v>
      </c>
      <c r="AS3" s="138" t="s">
        <v>792</v>
      </c>
      <c r="AT3" s="138" t="s">
        <v>851</v>
      </c>
      <c r="AU3" s="138" t="s">
        <v>852</v>
      </c>
      <c r="AV3" s="138" t="s">
        <v>853</v>
      </c>
      <c r="AW3" s="138" t="s">
        <v>854</v>
      </c>
      <c r="AX3" s="138" t="s">
        <v>855</v>
      </c>
      <c r="AY3" s="138" t="s">
        <v>793</v>
      </c>
      <c r="AZ3" s="138" t="s">
        <v>326</v>
      </c>
      <c r="BA3" s="138" t="s">
        <v>327</v>
      </c>
      <c r="BB3" s="138" t="s">
        <v>856</v>
      </c>
      <c r="BC3" s="138" t="s">
        <v>857</v>
      </c>
      <c r="BD3" s="138" t="s">
        <v>858</v>
      </c>
      <c r="BE3" s="138" t="s">
        <v>859</v>
      </c>
      <c r="BF3" s="138" t="s">
        <v>860</v>
      </c>
      <c r="BG3" s="138" t="s">
        <v>861</v>
      </c>
      <c r="BH3" s="138" t="s">
        <v>194</v>
      </c>
      <c r="BI3" s="138" t="s">
        <v>862</v>
      </c>
      <c r="BJ3" s="138" t="s">
        <v>863</v>
      </c>
      <c r="BK3" s="138" t="s">
        <v>864</v>
      </c>
      <c r="BL3" s="138" t="s">
        <v>865</v>
      </c>
      <c r="BM3" s="138" t="s">
        <v>866</v>
      </c>
    </row>
    <row r="4" spans="1:65" x14ac:dyDescent="0.2">
      <c r="A4" s="140">
        <f>TblRezone[[#This Row],[Hour]]</f>
        <v>1</v>
      </c>
      <c r="B4" s="155">
        <f>TblImps[[#This Row],[Time]]</f>
        <v>45429.75</v>
      </c>
      <c r="C4" s="156"/>
      <c r="D4" s="157"/>
      <c r="E4" s="97">
        <f ca="1">TblConstr[[#This Row],[Land]]</f>
        <v>250</v>
      </c>
      <c r="F4" s="97">
        <f>TblPop[[#This Row],[Peasants]]</f>
        <v>1300</v>
      </c>
      <c r="G4" s="97">
        <f ca="1">TblMili[[#This Row],[Networth (2)]]</f>
        <v>5450</v>
      </c>
      <c r="H4" s="404">
        <f ca="1">start_plat - TblProd[[#This Row],[Expenses Platinum]] + IF(TblProd[[#This Row],[Plat Bonus]],TblPop[[#This Row],[Peasants]]*4)+days_late*days_late_plat + SUM(TblConstr[[#This Row],[Dest Hom]:[Dest Doc]])*Construction!AM4*tech_3_3_2*TblTech[[#This Row],[3-3]]</f>
        <v>9830</v>
      </c>
      <c r="I4" s="404">
        <f>start_food+days_late*days_late_food</f>
        <v>15000</v>
      </c>
      <c r="J4" s="404">
        <f ca="1">start_lumber - TblProd[[#This Row],[Expenses Lumber]]+days_late*days_late_lumber + SUM(TblConstr[[#This Row],[Dest Hom]:[Dest Doc]])*TblConstr[[#This Row],[CPA Lumber -DB]]*tech_3_3_2*TblTech[[#This Row],[3-3]]</f>
        <v>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1910</v>
      </c>
      <c r="U4" s="97">
        <f ca="1">ROUND(TblProd[[#This Row],[Raw Lumber/hr]]*(1+TblProd[[#This Row],[Bonus Lumber/hr]])-TblProd[[#This Row],[Lumber rot]],0)</f>
        <v>900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 s="159">
        <f>race_lumber_bonus+ IF(TblMagic[[#This Row],[Active Gaia''s Blessing]]&gt;0,gaias_blessing_lumber)+ tech_1_3*TblTech[[#This Row],[1-3]] + tech_1_6*TblTech[[#This Row],[1-6]] + tech_3_3*TblTech[[#This Row],[3-3]]</f>
        <v>-0.1</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0.15</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90170</v>
      </c>
      <c r="AU4" s="97">
        <f ca="1">TblConstr[[#This Row],[Total Lum Cost]]+TblImps[[#This Row],[L1]]-TblProd[[#This Row],[Bank Lumber]] + Military!$CL$25*TblMili[[#This Row],[Sec. rec. Cost]]</f>
        <v>15000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21780</v>
      </c>
      <c r="BD4" s="161">
        <v>-3560</v>
      </c>
      <c r="BE4" s="161"/>
      <c r="BF4" s="161">
        <v>-10000</v>
      </c>
      <c r="BG4" s="162">
        <f>TblProd[[#This Row],[Time]]</f>
        <v>45429.75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9830</v>
      </c>
      <c r="BJ4" s="97">
        <f>TblProd[[#This Row],[Food]]</f>
        <v>15000</v>
      </c>
      <c r="BK4" s="97">
        <f ca="1">TblProd[[#This Row],[Lumber]]</f>
        <v>0</v>
      </c>
      <c r="BL4" s="97">
        <f ca="1">TblProd[[#This Row],[Mana]]</f>
        <v>0</v>
      </c>
      <c r="BM4" s="97">
        <f ca="1">TblProd[[#This Row],[Ore]]</f>
        <v>0</v>
      </c>
    </row>
    <row r="5" spans="1:65" x14ac:dyDescent="0.2">
      <c r="A5" s="140">
        <v>2</v>
      </c>
      <c r="B5" s="155">
        <f ca="1">TblImps[[#This Row],[Time]]</f>
        <v>45429.791666666664</v>
      </c>
      <c r="C5" s="156"/>
      <c r="D5" s="157"/>
      <c r="E5" s="97">
        <f ca="1">TblConstr[[#This Row],[Land]]</f>
        <v>250</v>
      </c>
      <c r="F5" s="97">
        <f ca="1">TblPop[[#This Row],[Peasants]]</f>
        <v>1326</v>
      </c>
      <c r="G5" s="97">
        <f ca="1">TblMili[[#This Row],[Networth (2)]]</f>
        <v>5450</v>
      </c>
      <c r="H5" s="97">
        <f ca="1">OFFSET(TblProd[[#This Row],[Platinum]],-1,0)+OFFSET(TblProd[[#This Row],[Plat/hr]],-1,0) - TblProd[[#This Row],[Expenses Platinum]] + IF(TblProd[[#This Row],[Plat Bonus]],TblPop[[#This Row],[Peasants]]*4) + SUM(TblConstr[[#This Row],[Dest Hom]:[Dest Doc]])*TblConstr[[#This Row],[CPA Platinum -DB]]*tech_3_3_2*TblTech[[#This Row],[3-3]]</f>
        <v>15140</v>
      </c>
      <c r="I5" s="97">
        <f ca="1">OFFSET(TblProd[[#This Row],[Food]],-1,0)+OFFSET(TblProd[[#This Row],[Food/hr]],-1,0)+ROUNDUP((TblConstr[[#This Row],[Farms]]*80+TblConstr[[#This Row],[Docks]]*35)*(1+OFFSET(TblProd[[#This Row],[Bonus Food/hr]],-1,0)),0)</f>
        <v>16910</v>
      </c>
      <c r="J5" s="97">
        <f ca="1">OFFSET(TblProd[[#This Row],[Lumber]],-1,0)+OFFSET(TblProd[[#This Row],[Lumber/hr]],-1,0) - TblProd[[#This Row],[Expenses Lumber]] + SUM(TblConstr[[#This Row],[Dest Hom]:[Dest Doc]])*TblConstr[[#This Row],[CPA Lumber -DB]]*tech_3_3_2*TblTech[[#This Row],[3-3]]</f>
        <v>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1881</v>
      </c>
      <c r="U5" s="97">
        <f ca="1">ROUND(TblProd[[#This Row],[Raw Lumber/hr]]*(1+TblProd[[#This Row],[Bonus Lumber/hr]])-TblProd[[#This Row],[Lumber rot]],0)</f>
        <v>900</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 s="159">
        <f ca="1">race_lumber_bonus+ IF(TblMagic[[#This Row],[Active Gaia''s Blessing]]&gt;0,gaias_blessing_lumber)+ tech_1_3*TblTech[[#This Row],[1-3]] + tech_1_6*TblTech[[#This Row],[1-6]] + tech_3_3*TblTech[[#This Row],[3-3]]</f>
        <v>-0.1</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0.15</v>
      </c>
      <c r="AN5" s="145"/>
      <c r="AO5" s="97">
        <f ca="1">TblProd[[#This Row],[Food]]*food_decay * (1 + tech_2_1*TblTech[[#This Row],[2-1]] + tech_2_8*TblTech[[#This Row],[2-8]])</f>
        <v>169.1</v>
      </c>
      <c r="AP5" s="97">
        <f ca="1">(1+race_food_consumption)*TblPop[[#This Row],[Total]]*food_per_person*(1+tech_1_10*TblTech[[#This Row],[1-10]]+tech_7_5*TblTech[[#This Row],[7-5]])</f>
        <v>409.75</v>
      </c>
      <c r="AQ5" s="97">
        <f ca="1">TblProd[[#This Row],[Lumber]]*lumber_rot * (1 + tech_2_1*TblTech[[#This Row],[2-1]] + tech_2_8*TblTech[[#This Row],[2-8]] + tech_5_2*TblTech[[#This Row],[5-2]])</f>
        <v>0</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-450</v>
      </c>
      <c r="AU5" s="97">
        <f ca="1">TblConstr[[#This Row],[Total Lum Cost]]+TblImps[[#This Row],[L1]]-TblProd[[#This Row],[Bank Lumber]] + Military!$CL$25*TblMili[[#This Row],[Sec. rec. Cost]]</f>
        <v>900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450</v>
      </c>
      <c r="BD5" s="161">
        <v>-900</v>
      </c>
      <c r="BE5" s="161"/>
      <c r="BF5" s="161"/>
      <c r="BG5" s="162">
        <f ca="1">TblProd[[#This Row],[Time]]</f>
        <v>45429.791666666664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I5" s="97">
        <f ca="1">TblProd[[#This Row],[Platinum]]</f>
        <v>15140</v>
      </c>
      <c r="BJ5" s="97">
        <f ca="1">TblProd[[#This Row],[Food]]</f>
        <v>16910</v>
      </c>
      <c r="BK5" s="97">
        <f ca="1">TblProd[[#This Row],[Lumber]]</f>
        <v>0</v>
      </c>
      <c r="BL5" s="97">
        <f ca="1">TblProd[[#This Row],[Mana]]</f>
        <v>0</v>
      </c>
      <c r="BM5" s="97">
        <f ca="1">TblProd[[#This Row],[Ore]]</f>
        <v>0</v>
      </c>
    </row>
    <row r="6" spans="1:65" x14ac:dyDescent="0.2">
      <c r="A6" s="140">
        <v>3</v>
      </c>
      <c r="B6" s="155">
        <f ca="1">TblImps[[#This Row],[Time]]</f>
        <v>45429.833333333328</v>
      </c>
      <c r="C6" s="156"/>
      <c r="D6" s="157"/>
      <c r="E6" s="97">
        <f ca="1">TblConstr[[#This Row],[Land]]</f>
        <v>250</v>
      </c>
      <c r="F6" s="97">
        <f ca="1">TblPop[[#This Row],[Peasants]]</f>
        <v>1352</v>
      </c>
      <c r="G6" s="97">
        <f ca="1">TblMili[[#This Row],[Networth (2)]]</f>
        <v>5450</v>
      </c>
      <c r="H6" s="97">
        <f ca="1">OFFSET(TblProd[[#This Row],[Platinum]],-1,0)+OFFSET(TblProd[[#This Row],[Plat/hr]],-1,0) - TblProd[[#This Row],[Expenses Platinum]] + IF(TblProd[[#This Row],[Plat Bonus]],TblPop[[#This Row],[Peasants]]*4) + SUM(TblConstr[[#This Row],[Dest Hom]:[Dest Doc]])*TblConstr[[#This Row],[CPA Platinum -DB]]*tech_3_3_2*TblTech[[#This Row],[3-3]]</f>
        <v>20520</v>
      </c>
      <c r="I6" s="97">
        <f ca="1">OFFSET(TblProd[[#This Row],[Food]],-1,0)+OFFSET(TblProd[[#This Row],[Food/hr]],-1,0)+ROUNDUP((TblConstr[[#This Row],[Farms]]*80+TblConstr[[#This Row],[Docks]]*35)*(1+OFFSET(TblProd[[#This Row],[Bonus Food/hr]],-1,0)),0)</f>
        <v>18791</v>
      </c>
      <c r="J6" s="97">
        <f ca="1">OFFSET(TblProd[[#This Row],[Lumber]],-1,0)+OFFSET(TblProd[[#This Row],[Lumber/hr]],-1,0) - TblProd[[#This Row],[Expenses Lumber]] + SUM(TblConstr[[#This Row],[Dest Hom]:[Dest Doc]])*TblConstr[[#This Row],[CPA Lumber -DB]]*tech_3_3_2*TblTech[[#This Row],[3-3]]</f>
        <v>0</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1853</v>
      </c>
      <c r="U6" s="97">
        <f ca="1">ROUND(TblProd[[#This Row],[Raw Lumber/hr]]*(1+TblProd[[#This Row],[Bonus Lumber/hr]])-TblProd[[#This Row],[Lumber rot]],0)</f>
        <v>900</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 s="159">
        <f ca="1">race_lumber_bonus+ IF(TblMagic[[#This Row],[Active Gaia''s Blessing]]&gt;0,gaias_blessing_lumber)+ tech_1_3*TblTech[[#This Row],[1-3]] + tech_1_6*TblTech[[#This Row],[1-6]] + tech_3_3*TblTech[[#This Row],[3-3]]</f>
        <v>-0.1</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0.15</v>
      </c>
      <c r="AN6" s="145"/>
      <c r="AO6" s="97">
        <f ca="1">TblProd[[#This Row],[Food]]*food_decay * (1 + tech_2_1*TblTech[[#This Row],[2-1]] + tech_2_8*TblTech[[#This Row],[2-8]])</f>
        <v>187.91</v>
      </c>
      <c r="AP6" s="97">
        <f ca="1">(1+race_food_consumption)*TblPop[[#This Row],[Total]]*food_per_person*(1+tech_1_10*TblTech[[#This Row],[1-10]]+tech_7_5*TblTech[[#This Row],[7-5]])</f>
        <v>419.5</v>
      </c>
      <c r="AQ6" s="97">
        <f ca="1">TblProd[[#This Row],[Lumber]]*lumber_rot * (1 + tech_2_1*TblTech[[#This Row],[2-1]] + tech_2_8*TblTech[[#This Row],[2-8]] + tech_5_2*TblTech[[#This Row],[5-2]])</f>
        <v>0</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-450</v>
      </c>
      <c r="AU6" s="97">
        <f ca="1">TblConstr[[#This Row],[Total Lum Cost]]+TblImps[[#This Row],[L1]]-TblProd[[#This Row],[Bank Lumber]] + Military!$CL$25*TblMili[[#This Row],[Sec. rec. Cost]]</f>
        <v>900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450</v>
      </c>
      <c r="BD6" s="161">
        <v>-900</v>
      </c>
      <c r="BE6" s="161"/>
      <c r="BF6" s="161"/>
      <c r="BG6" s="162">
        <f ca="1">TblProd[[#This Row],[Time]]</f>
        <v>45429.833333333328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I6" s="97">
        <f ca="1">TblProd[[#This Row],[Platinum]]</f>
        <v>20520</v>
      </c>
      <c r="BJ6" s="97">
        <f ca="1">TblProd[[#This Row],[Food]]</f>
        <v>18791</v>
      </c>
      <c r="BK6" s="97">
        <f ca="1">TblProd[[#This Row],[Lumber]]</f>
        <v>0</v>
      </c>
      <c r="BL6" s="97">
        <f ca="1">TblProd[[#This Row],[Mana]]</f>
        <v>0</v>
      </c>
      <c r="BM6" s="97">
        <f ca="1">TblProd[[#This Row],[Ore]]</f>
        <v>0</v>
      </c>
    </row>
    <row r="7" spans="1:65" x14ac:dyDescent="0.2">
      <c r="A7" s="140">
        <v>4</v>
      </c>
      <c r="B7" s="155">
        <f ca="1">TblImps[[#This Row],[Time]]</f>
        <v>45429.874999999993</v>
      </c>
      <c r="C7" s="156"/>
      <c r="D7" s="157"/>
      <c r="E7" s="97">
        <f ca="1">TblConstr[[#This Row],[Land]]</f>
        <v>250</v>
      </c>
      <c r="F7" s="97">
        <f ca="1">TblPop[[#This Row],[Peasants]]</f>
        <v>1378</v>
      </c>
      <c r="G7" s="97">
        <f ca="1">TblMili[[#This Row],[Networth (2)]]</f>
        <v>5450</v>
      </c>
      <c r="H7" s="97">
        <f ca="1">OFFSET(TblProd[[#This Row],[Platinum]],-1,0)+OFFSET(TblProd[[#This Row],[Plat/hr]],-1,0) - TblProd[[#This Row],[Expenses Platinum]] + IF(TblProd[[#This Row],[Plat Bonus]],TblPop[[#This Row],[Peasants]]*4) + SUM(TblConstr[[#This Row],[Dest Hom]:[Dest Doc]])*TblConstr[[#This Row],[CPA Platinum -DB]]*tech_3_3_2*TblTech[[#This Row],[3-3]]</f>
        <v>25970</v>
      </c>
      <c r="I7" s="97">
        <f ca="1">OFFSET(TblProd[[#This Row],[Food]],-1,0)+OFFSET(TblProd[[#This Row],[Food/hr]],-1,0)+ROUNDUP((TblConstr[[#This Row],[Farms]]*80+TblConstr[[#This Row],[Docks]]*35)*(1+OFFSET(TblProd[[#This Row],[Bonus Food/hr]],-1,0)),0)</f>
        <v>20644</v>
      </c>
      <c r="J7" s="97">
        <f ca="1">OFFSET(TblProd[[#This Row],[Lumber]],-1,0)+OFFSET(TblProd[[#This Row],[Lumber/hr]],-1,0) - TblProd[[#This Row],[Expenses Lumber]] + SUM(TblConstr[[#This Row],[Dest Hom]:[Dest Doc]])*TblConstr[[#This Row],[CPA Lumber -DB]]*tech_3_3_2*TblTech[[#This Row],[3-3]]</f>
        <v>0</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1824</v>
      </c>
      <c r="U7" s="97">
        <f ca="1">ROUND(TblProd[[#This Row],[Raw Lumber/hr]]*(1+TblProd[[#This Row],[Bonus Lumber/hr]])-TblProd[[#This Row],[Lumber rot]],0)</f>
        <v>900</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 s="159">
        <f ca="1">race_lumber_bonus+ IF(TblMagic[[#This Row],[Active Gaia''s Blessing]]&gt;0,gaias_blessing_lumber)+ tech_1_3*TblTech[[#This Row],[1-3]] + tech_1_6*TblTech[[#This Row],[1-6]] + tech_3_3*TblTech[[#This Row],[3-3]]</f>
        <v>-0.1</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0.15</v>
      </c>
      <c r="AN7" s="145"/>
      <c r="AO7" s="97">
        <f ca="1">TblProd[[#This Row],[Food]]*food_decay * (1 + tech_2_1*TblTech[[#This Row],[2-1]] + tech_2_8*TblTech[[#This Row],[2-8]])</f>
        <v>206.44</v>
      </c>
      <c r="AP7" s="97">
        <f ca="1">(1+race_food_consumption)*TblPop[[#This Row],[Total]]*food_per_person*(1+tech_1_10*TblTech[[#This Row],[1-10]]+tech_7_5*TblTech[[#This Row],[7-5]])</f>
        <v>429.5</v>
      </c>
      <c r="AQ7" s="97">
        <f ca="1">TblProd[[#This Row],[Lumber]]*lumber_rot * (1 + tech_2_1*TblTech[[#This Row],[2-1]] + tech_2_8*TblTech[[#This Row],[2-8]] + tech_5_2*TblTech[[#This Row],[5-2]])</f>
        <v>0</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-450</v>
      </c>
      <c r="AU7" s="97">
        <f ca="1">TblConstr[[#This Row],[Total Lum Cost]]+TblImps[[#This Row],[L1]]-TblProd[[#This Row],[Bank Lumber]] + Military!$CL$25*TblMili[[#This Row],[Sec. rec. Cost]]</f>
        <v>900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450</v>
      </c>
      <c r="BD7" s="161">
        <v>-900</v>
      </c>
      <c r="BE7" s="161"/>
      <c r="BF7" s="161"/>
      <c r="BG7" s="162">
        <f ca="1">TblProd[[#This Row],[Time]]</f>
        <v>45429.874999999993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I7" s="97">
        <f ca="1">TblProd[[#This Row],[Platinum]]</f>
        <v>25970</v>
      </c>
      <c r="BJ7" s="97">
        <f ca="1">TblProd[[#This Row],[Food]]</f>
        <v>20644</v>
      </c>
      <c r="BK7" s="97">
        <f ca="1">TblProd[[#This Row],[Lumber]]</f>
        <v>0</v>
      </c>
      <c r="BL7" s="97">
        <f ca="1">TblProd[[#This Row],[Mana]]</f>
        <v>0</v>
      </c>
      <c r="BM7" s="97">
        <f ca="1">TblProd[[#This Row],[Ore]]</f>
        <v>0</v>
      </c>
    </row>
    <row r="8" spans="1:65" x14ac:dyDescent="0.2">
      <c r="A8" s="140">
        <v>5</v>
      </c>
      <c r="B8" s="155">
        <f ca="1">TblImps[[#This Row],[Time]]</f>
        <v>45429.916666666657</v>
      </c>
      <c r="C8" s="156"/>
      <c r="D8" s="157"/>
      <c r="E8" s="97">
        <f ca="1">TblConstr[[#This Row],[Land]]</f>
        <v>250</v>
      </c>
      <c r="F8" s="97">
        <f ca="1">TblPop[[#This Row],[Peasants]]</f>
        <v>1405</v>
      </c>
      <c r="G8" s="97">
        <f ca="1">TblMili[[#This Row],[Networth (2)]]</f>
        <v>5450</v>
      </c>
      <c r="H8" s="97">
        <f ca="1">OFFSET(TblProd[[#This Row],[Platinum]],-1,0)+OFFSET(TblProd[[#This Row],[Plat/hr]],-1,0) - TblProd[[#This Row],[Expenses Platinum]] + IF(TblProd[[#This Row],[Plat Bonus]],TblPop[[#This Row],[Peasants]]*4) + SUM(TblConstr[[#This Row],[Dest Hom]:[Dest Doc]])*TblConstr[[#This Row],[CPA Platinum -DB]]*tech_3_3_2*TblTech[[#This Row],[3-3]]</f>
        <v>31490</v>
      </c>
      <c r="I8" s="97">
        <f ca="1">OFFSET(TblProd[[#This Row],[Food]],-1,0)+OFFSET(TblProd[[#This Row],[Food/hr]],-1,0)+ROUNDUP((TblConstr[[#This Row],[Farms]]*80+TblConstr[[#This Row],[Docks]]*35)*(1+OFFSET(TblProd[[#This Row],[Bonus Food/hr]],-1,0)),0)</f>
        <v>22468</v>
      </c>
      <c r="J8" s="97">
        <f ca="1">OFFSET(TblProd[[#This Row],[Lumber]],-1,0)+OFFSET(TblProd[[#This Row],[Lumber/hr]],-1,0) - TblProd[[#This Row],[Expenses Lumber]] + SUM(TblConstr[[#This Row],[Dest Hom]:[Dest Doc]])*TblConstr[[#This Row],[CPA Lumber -DB]]*tech_3_3_2*TblTech[[#This Row],[3-3]]</f>
        <v>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1796</v>
      </c>
      <c r="U8" s="97">
        <f ca="1">ROUND(TblProd[[#This Row],[Raw Lumber/hr]]*(1+TblProd[[#This Row],[Bonus Lumber/hr]])-TblProd[[#This Row],[Lumber rot]],0)</f>
        <v>900</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 s="159">
        <f ca="1">race_lumber_bonus+ IF(TblMagic[[#This Row],[Active Gaia''s Blessing]]&gt;0,gaias_blessing_lumber)+ tech_1_3*TblTech[[#This Row],[1-3]] + tech_1_6*TblTech[[#This Row],[1-6]] + tech_3_3*TblTech[[#This Row],[3-3]]</f>
        <v>-0.1</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0.15</v>
      </c>
      <c r="AN8" s="145"/>
      <c r="AO8" s="97">
        <f ca="1">TblProd[[#This Row],[Food]]*food_decay * (1 + tech_2_1*TblTech[[#This Row],[2-1]] + tech_2_8*TblTech[[#This Row],[2-8]])</f>
        <v>224.68</v>
      </c>
      <c r="AP8" s="97">
        <f ca="1">(1+race_food_consumption)*TblPop[[#This Row],[Total]]*food_per_person*(1+tech_1_10*TblTech[[#This Row],[1-10]]+tech_7_5*TblTech[[#This Row],[7-5]])</f>
        <v>439.75</v>
      </c>
      <c r="AQ8" s="97">
        <f ca="1">TblProd[[#This Row],[Lumber]]*lumber_rot * (1 + tech_2_1*TblTech[[#This Row],[2-1]] + tech_2_8*TblTech[[#This Row],[2-8]] + tech_5_2*TblTech[[#This Row],[5-2]])</f>
        <v>0</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-450</v>
      </c>
      <c r="AU8" s="97">
        <f ca="1">TblConstr[[#This Row],[Total Lum Cost]]+TblImps[[#This Row],[L1]]-TblProd[[#This Row],[Bank Lumber]] + Military!$CL$25*TblMili[[#This Row],[Sec. rec. Cost]]</f>
        <v>900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450</v>
      </c>
      <c r="BD8" s="161">
        <v>-900</v>
      </c>
      <c r="BE8" s="161"/>
      <c r="BF8" s="161"/>
      <c r="BG8" s="162">
        <f ca="1">TblProd[[#This Row],[Time]]</f>
        <v>45429.916666666657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I8" s="97">
        <f ca="1">TblProd[[#This Row],[Platinum]]</f>
        <v>31490</v>
      </c>
      <c r="BJ8" s="97">
        <f ca="1">TblProd[[#This Row],[Food]]</f>
        <v>22468</v>
      </c>
      <c r="BK8" s="97">
        <f ca="1">TblProd[[#This Row],[Lumber]]</f>
        <v>0</v>
      </c>
      <c r="BL8" s="97">
        <f ca="1">TblProd[[#This Row],[Mana]]</f>
        <v>0</v>
      </c>
      <c r="BM8" s="97">
        <f ca="1">TblProd[[#This Row],[Ore]]</f>
        <v>0</v>
      </c>
    </row>
    <row r="9" spans="1:65" x14ac:dyDescent="0.2">
      <c r="A9" s="140">
        <v>6</v>
      </c>
      <c r="B9" s="155">
        <f ca="1">TblImps[[#This Row],[Time]]</f>
        <v>45429.958333333321</v>
      </c>
      <c r="C9" s="156"/>
      <c r="D9" s="157"/>
      <c r="E9" s="97">
        <f ca="1">TblConstr[[#This Row],[Land]]</f>
        <v>250</v>
      </c>
      <c r="F9" s="97">
        <f ca="1">TblPop[[#This Row],[Peasants]]</f>
        <v>1433</v>
      </c>
      <c r="G9" s="97">
        <f ca="1">TblMili[[#This Row],[Networth (2)]]</f>
        <v>5450</v>
      </c>
      <c r="H9" s="97">
        <f ca="1">OFFSET(TblProd[[#This Row],[Platinum]],-1,0)+OFFSET(TblProd[[#This Row],[Plat/hr]],-1,0) - TblProd[[#This Row],[Expenses Platinum]] + IF(TblProd[[#This Row],[Plat Bonus]],TblPop[[#This Row],[Peasants]]*4) + SUM(TblConstr[[#This Row],[Dest Hom]:[Dest Doc]])*TblConstr[[#This Row],[CPA Platinum -DB]]*tech_3_3_2*TblTech[[#This Row],[3-3]]</f>
        <v>16683</v>
      </c>
      <c r="I9" s="97">
        <f ca="1">OFFSET(TblProd[[#This Row],[Food]],-1,0)+OFFSET(TblProd[[#This Row],[Food/hr]],-1,0)+ROUNDUP((TblConstr[[#This Row],[Farms]]*80+TblConstr[[#This Row],[Docks]]*35)*(1+OFFSET(TblProd[[#This Row],[Bonus Food/hr]],-1,0)),0)</f>
        <v>24264</v>
      </c>
      <c r="J9" s="97">
        <f ca="1">OFFSET(TblProd[[#This Row],[Lumber]],-1,0)+OFFSET(TblProd[[#This Row],[Lumber/hr]],-1,0) - TblProd[[#This Row],[Expenses Lumber]] + SUM(TblConstr[[#This Row],[Dest Hom]:[Dest Doc]])*TblConstr[[#This Row],[CPA Lumber -DB]]*tech_3_3_2*TblTech[[#This Row],[3-3]]</f>
        <v>0</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1791</v>
      </c>
      <c r="U9" s="97">
        <f ca="1">ROUND(TblProd[[#This Row],[Raw Lumber/hr]]*(1+TblProd[[#This Row],[Bonus Lumber/hr]])-TblProd[[#This Row],[Lumber rot]],0)</f>
        <v>900</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 s="159">
        <f ca="1">race_lumber_bonus+ IF(TblMagic[[#This Row],[Active Gaia''s Blessing]]&gt;0,gaias_blessing_lumber)+ tech_1_3*TblTech[[#This Row],[1-3]] + tech_1_6*TblTech[[#This Row],[1-6]] + tech_3_3*TblTech[[#This Row],[3-3]]</f>
        <v>-0.1</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0.15</v>
      </c>
      <c r="AN9" s="145"/>
      <c r="AO9" s="97">
        <f ca="1">TblProd[[#This Row],[Food]]*food_decay * (1 + tech_2_1*TblTech[[#This Row],[2-1]] + tech_2_8*TblTech[[#This Row],[2-8]])</f>
        <v>242.64000000000001</v>
      </c>
      <c r="AP9" s="97">
        <f ca="1">(1+race_food_consumption)*TblPop[[#This Row],[Total]]*food_per_person*(1+tech_1_10*TblTech[[#This Row],[1-10]]+tech_7_5*TblTech[[#This Row],[7-5]])</f>
        <v>426.25</v>
      </c>
      <c r="AQ9" s="97">
        <f ca="1">TblProd[[#This Row],[Lumber]]*lumber_rot * (1 + tech_2_1*TblTech[[#This Row],[2-1]] + tech_2_8*TblTech[[#This Row],[2-8]] + tech_5_2*TblTech[[#This Row],[5-2]])</f>
        <v>0</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19950</v>
      </c>
      <c r="AU9" s="97">
        <f ca="1">TblConstr[[#This Row],[Total Lum Cost]]+TblImps[[#This Row],[L1]]-TblProd[[#This Row],[Bank Lumber]] + Military!$CL$25*TblMili[[#This Row],[Sec. rec. Cost]]</f>
        <v>900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450</v>
      </c>
      <c r="BD9" s="161">
        <v>-900</v>
      </c>
      <c r="BE9" s="161"/>
      <c r="BF9" s="161"/>
      <c r="BG9" s="162">
        <f ca="1">TblProd[[#This Row],[Time]]</f>
        <v>45429.958333333321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I9" s="97">
        <f ca="1">TblProd[[#This Row],[Platinum]]</f>
        <v>16683</v>
      </c>
      <c r="BJ9" s="97">
        <f ca="1">TblProd[[#This Row],[Food]]</f>
        <v>24264</v>
      </c>
      <c r="BK9" s="97">
        <f ca="1">TblProd[[#This Row],[Lumber]]</f>
        <v>0</v>
      </c>
      <c r="BL9" s="97">
        <f ca="1">TblProd[[#This Row],[Mana]]</f>
        <v>0</v>
      </c>
      <c r="BM9" s="97">
        <f ca="1">TblProd[[#This Row],[Ore]]</f>
        <v>0</v>
      </c>
    </row>
    <row r="10" spans="1:65" x14ac:dyDescent="0.2">
      <c r="A10" s="140">
        <v>7</v>
      </c>
      <c r="B10" s="155">
        <f ca="1">TblImps[[#This Row],[Time]]</f>
        <v>45429.999999999985</v>
      </c>
      <c r="C10" s="156"/>
      <c r="D10" s="157"/>
      <c r="E10" s="97">
        <f ca="1">TblConstr[[#This Row],[Land]]</f>
        <v>250</v>
      </c>
      <c r="F10" s="97">
        <f ca="1">TblPop[[#This Row],[Peasants]]</f>
        <v>1462</v>
      </c>
      <c r="G10" s="97">
        <f ca="1">TblMili[[#This Row],[Networth (2)]]</f>
        <v>5450</v>
      </c>
      <c r="H10" s="97">
        <f ca="1">OFFSET(TblProd[[#This Row],[Platinum]],-1,0)+OFFSET(TblProd[[#This Row],[Plat/hr]],-1,0) - TblProd[[#This Row],[Expenses Platinum]] + IF(TblProd[[#This Row],[Plat Bonus]],TblPop[[#This Row],[Peasants]]*4) + SUM(TblConstr[[#This Row],[Dest Hom]:[Dest Doc]])*TblConstr[[#This Row],[CPA Platinum -DB]]*tech_3_3_2*TblTech[[#This Row],[3-3]]</f>
        <v>21502</v>
      </c>
      <c r="I10" s="97">
        <f ca="1">OFFSET(TblProd[[#This Row],[Food]],-1,0)+OFFSET(TblProd[[#This Row],[Food/hr]],-1,0)+ROUNDUP((TblConstr[[#This Row],[Farms]]*80+TblConstr[[#This Row],[Docks]]*35)*(1+OFFSET(TblProd[[#This Row],[Bonus Food/hr]],-1,0)),0)</f>
        <v>26055</v>
      </c>
      <c r="J10" s="97">
        <f ca="1">OFFSET(TblProd[[#This Row],[Lumber]],-1,0)+OFFSET(TblProd[[#This Row],[Lumber/hr]],-1,0) - TblProd[[#This Row],[Expenses Lumber]] + SUM(TblConstr[[#This Row],[Dest Hom]:[Dest Doc]])*TblConstr[[#This Row],[CPA Lumber -DB]]*tech_3_3_2*TblTech[[#This Row],[3-3]]</f>
        <v>0</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1763</v>
      </c>
      <c r="U10" s="97">
        <f ca="1">ROUND(TblProd[[#This Row],[Raw Lumber/hr]]*(1+TblProd[[#This Row],[Bonus Lumber/hr]])-TblProd[[#This Row],[Lumber rot]],0)</f>
        <v>900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 s="159">
        <f ca="1">race_lumber_bonus+ IF(TblMagic[[#This Row],[Active Gaia''s Blessing]]&gt;0,gaias_blessing_lumber)+ tech_1_3*TblTech[[#This Row],[1-3]] + tech_1_6*TblTech[[#This Row],[1-6]] + tech_3_3*TblTech[[#This Row],[3-3]]</f>
        <v>-0.1</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0.15</v>
      </c>
      <c r="AN10" s="145"/>
      <c r="AO10" s="97">
        <f ca="1">TblProd[[#This Row],[Food]]*food_decay * (1 + tech_2_1*TblTech[[#This Row],[2-1]] + tech_2_8*TblTech[[#This Row],[2-8]])</f>
        <v>260.55</v>
      </c>
      <c r="AP10" s="97">
        <f ca="1">(1+race_food_consumption)*TblPop[[#This Row],[Total]]*food_per_person*(1+tech_1_10*TblTech[[#This Row],[1-10]]+tech_7_5*TblTech[[#This Row],[7-5]])</f>
        <v>436</v>
      </c>
      <c r="AQ10" s="97">
        <f ca="1">TblProd[[#This Row],[Lumber]]*lumber_rot * (1 + tech_2_1*TblTech[[#This Row],[2-1]] + tech_2_8*TblTech[[#This Row],[2-8]] + tech_5_2*TblTech[[#This Row],[5-2]])</f>
        <v>0</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400</v>
      </c>
      <c r="AU10" s="97">
        <f ca="1">TblConstr[[#This Row],[Total Lum Cost]]+TblImps[[#This Row],[L1]]-TblProd[[#This Row],[Bank Lumber]] + Military!$CL$25*TblMili[[#This Row],[Sec. rec. Cost]]</f>
        <v>900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450</v>
      </c>
      <c r="BD10" s="161">
        <v>-900</v>
      </c>
      <c r="BE10" s="161"/>
      <c r="BF10" s="161"/>
      <c r="BG10" s="162">
        <f ca="1">TblProd[[#This Row],[Time]]</f>
        <v>45429.999999999985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I10" s="97">
        <f ca="1">TblProd[[#This Row],[Platinum]]</f>
        <v>21502</v>
      </c>
      <c r="BJ10" s="97">
        <f ca="1">TblProd[[#This Row],[Food]]</f>
        <v>26055</v>
      </c>
      <c r="BK10" s="97">
        <f ca="1">TblProd[[#This Row],[Lumber]]</f>
        <v>0</v>
      </c>
      <c r="BL10" s="97">
        <f ca="1">TblProd[[#This Row],[Mana]]</f>
        <v>0</v>
      </c>
      <c r="BM10" s="97">
        <f ca="1">TblProd[[#This Row],[Ore]]</f>
        <v>0</v>
      </c>
    </row>
    <row r="11" spans="1:65" x14ac:dyDescent="0.2">
      <c r="A11" s="140">
        <v>8</v>
      </c>
      <c r="B11" s="155">
        <f ca="1">TblImps[[#This Row],[Time]]</f>
        <v>45430.04166666665</v>
      </c>
      <c r="C11" s="156"/>
      <c r="D11" s="157"/>
      <c r="E11" s="97">
        <f ca="1">TblConstr[[#This Row],[Land]]</f>
        <v>250</v>
      </c>
      <c r="F11" s="97">
        <f ca="1">TblPop[[#This Row],[Peasants]]</f>
        <v>1490</v>
      </c>
      <c r="G11" s="97">
        <f ca="1">TblMili[[#This Row],[Networth (2)]]</f>
        <v>5450</v>
      </c>
      <c r="H11" s="97">
        <f ca="1">OFFSET(TblProd[[#This Row],[Platinum]],-1,0)+OFFSET(TblProd[[#This Row],[Plat/hr]],-1,0) - TblProd[[#This Row],[Expenses Platinum]] + IF(TblProd[[#This Row],[Plat Bonus]],TblPop[[#This Row],[Peasants]]*4) + SUM(TblConstr[[#This Row],[Dest Hom]:[Dest Doc]])*TblConstr[[#This Row],[CPA Platinum -DB]]*tech_3_3_2*TblTech[[#This Row],[3-3]]</f>
        <v>26399</v>
      </c>
      <c r="I11" s="97">
        <f ca="1">OFFSET(TblProd[[#This Row],[Food]],-1,0)+OFFSET(TblProd[[#This Row],[Food/hr]],-1,0)+ROUNDUP((TblConstr[[#This Row],[Farms]]*80+TblConstr[[#This Row],[Docks]]*35)*(1+OFFSET(TblProd[[#This Row],[Bonus Food/hr]],-1,0)),0)</f>
        <v>27818</v>
      </c>
      <c r="J11" s="97">
        <f ca="1">OFFSET(TblProd[[#This Row],[Lumber]],-1,0)+OFFSET(TblProd[[#This Row],[Lumber/hr]],-1,0) - TblProd[[#This Row],[Expenses Lumber]] + SUM(TblConstr[[#This Row],[Dest Hom]:[Dest Doc]])*TblConstr[[#This Row],[CPA Lumber -DB]]*tech_3_3_2*TblTech[[#This Row],[3-3]]</f>
        <v>0</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1736</v>
      </c>
      <c r="U11" s="97">
        <f ca="1">ROUND(TblProd[[#This Row],[Raw Lumber/hr]]*(1+TblProd[[#This Row],[Bonus Lumber/hr]])-TblProd[[#This Row],[Lumber rot]],0)</f>
        <v>900</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 s="159">
        <f ca="1">race_lumber_bonus+ IF(TblMagic[[#This Row],[Active Gaia''s Blessing]]&gt;0,gaias_blessing_lumber)+ tech_1_3*TblTech[[#This Row],[1-3]] + tech_1_6*TblTech[[#This Row],[1-6]] + tech_3_3*TblTech[[#This Row],[3-3]]</f>
        <v>-0.1</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0.15</v>
      </c>
      <c r="AN11" s="145"/>
      <c r="AO11" s="97">
        <f ca="1">TblProd[[#This Row],[Food]]*food_decay * (1 + tech_2_1*TblTech[[#This Row],[2-1]] + tech_2_8*TblTech[[#This Row],[2-8]])</f>
        <v>278.18</v>
      </c>
      <c r="AP11" s="97">
        <f ca="1">(1+race_food_consumption)*TblPop[[#This Row],[Total]]*food_per_person*(1+tech_1_10*TblTech[[#This Row],[1-10]]+tech_7_5*TblTech[[#This Row],[7-5]])</f>
        <v>445.75</v>
      </c>
      <c r="AQ11" s="97">
        <f ca="1">TblProd[[#This Row],[Lumber]]*lumber_rot * (1 + tech_2_1*TblTech[[#This Row],[2-1]] + tech_2_8*TblTech[[#This Row],[2-8]] + tech_5_2*TblTech[[#This Row],[5-2]])</f>
        <v>0</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400</v>
      </c>
      <c r="AU11" s="97">
        <f ca="1">TblConstr[[#This Row],[Total Lum Cost]]+TblImps[[#This Row],[L1]]-TblProd[[#This Row],[Bank Lumber]] + Military!$CL$25*TblMili[[#This Row],[Sec. rec. Cost]]</f>
        <v>900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450</v>
      </c>
      <c r="BD11" s="161">
        <v>-900</v>
      </c>
      <c r="BE11" s="161"/>
      <c r="BF11" s="161"/>
      <c r="BG11" s="162">
        <f ca="1">TblProd[[#This Row],[Time]]</f>
        <v>45430.04166666665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I11" s="97">
        <f ca="1">TblProd[[#This Row],[Platinum]]</f>
        <v>26399</v>
      </c>
      <c r="BJ11" s="97">
        <f ca="1">TblProd[[#This Row],[Food]]</f>
        <v>27818</v>
      </c>
      <c r="BK11" s="97">
        <f ca="1">TblProd[[#This Row],[Lumber]]</f>
        <v>0</v>
      </c>
      <c r="BL11" s="97">
        <f ca="1">TblProd[[#This Row],[Mana]]</f>
        <v>0</v>
      </c>
      <c r="BM11" s="97">
        <f ca="1">TblProd[[#This Row],[Ore]]</f>
        <v>0</v>
      </c>
    </row>
    <row r="12" spans="1:65" x14ac:dyDescent="0.2">
      <c r="A12" s="140">
        <v>9</v>
      </c>
      <c r="B12" s="155">
        <f ca="1">TblImps[[#This Row],[Time]]</f>
        <v>45430.083333333314</v>
      </c>
      <c r="C12" s="156"/>
      <c r="D12" s="157"/>
      <c r="E12" s="97">
        <f ca="1">TblConstr[[#This Row],[Land]]</f>
        <v>250</v>
      </c>
      <c r="F12" s="97">
        <f ca="1">TblPop[[#This Row],[Peasants]]</f>
        <v>1519</v>
      </c>
      <c r="G12" s="97">
        <f ca="1">TblMili[[#This Row],[Networth (2)]]</f>
        <v>5450</v>
      </c>
      <c r="H12" s="97">
        <f ca="1">OFFSET(TblProd[[#This Row],[Platinum]],-1,0)+OFFSET(TblProd[[#This Row],[Plat/hr]],-1,0) - TblProd[[#This Row],[Expenses Platinum]] + IF(TblProd[[#This Row],[Plat Bonus]],TblPop[[#This Row],[Peasants]]*4) + SUM(TblConstr[[#This Row],[Dest Hom]:[Dest Doc]])*TblConstr[[#This Row],[CPA Platinum -DB]]*tech_3_3_2*TblTech[[#This Row],[3-3]]</f>
        <v>31372</v>
      </c>
      <c r="I12" s="97">
        <f ca="1">OFFSET(TblProd[[#This Row],[Food]],-1,0)+OFFSET(TblProd[[#This Row],[Food/hr]],-1,0)+ROUNDUP((TblConstr[[#This Row],[Farms]]*80+TblConstr[[#This Row],[Docks]]*35)*(1+OFFSET(TblProd[[#This Row],[Bonus Food/hr]],-1,0)),0)</f>
        <v>29554</v>
      </c>
      <c r="J12" s="97">
        <f ca="1">OFFSET(TblProd[[#This Row],[Lumber]],-1,0)+OFFSET(TblProd[[#This Row],[Lumber/hr]],-1,0) - TblProd[[#This Row],[Expenses Lumber]] + SUM(TblConstr[[#This Row],[Dest Hom]:[Dest Doc]])*TblConstr[[#This Row],[CPA Lumber -DB]]*tech_3_3_2*TblTech[[#This Row],[3-3]]</f>
        <v>0</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1709</v>
      </c>
      <c r="U12" s="97">
        <f ca="1">ROUND(TblProd[[#This Row],[Raw Lumber/hr]]*(1+TblProd[[#This Row],[Bonus Lumber/hr]])-TblProd[[#This Row],[Lumber rot]],0)</f>
        <v>900</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 s="159">
        <f ca="1">race_lumber_bonus+ IF(TblMagic[[#This Row],[Active Gaia''s Blessing]]&gt;0,gaias_blessing_lumber)+ tech_1_3*TblTech[[#This Row],[1-3]] + tech_1_6*TblTech[[#This Row],[1-6]] + tech_3_3*TblTech[[#This Row],[3-3]]</f>
        <v>-0.1</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0.15</v>
      </c>
      <c r="AN12" s="145"/>
      <c r="AO12" s="97">
        <f ca="1">TblProd[[#This Row],[Food]]*food_decay * (1 + tech_2_1*TblTech[[#This Row],[2-1]] + tech_2_8*TblTech[[#This Row],[2-8]])</f>
        <v>295.54000000000002</v>
      </c>
      <c r="AP12" s="97">
        <f ca="1">(1+race_food_consumption)*TblPop[[#This Row],[Total]]*food_per_person*(1+tech_1_10*TblTech[[#This Row],[1-10]]+tech_7_5*TblTech[[#This Row],[7-5]])</f>
        <v>455.75</v>
      </c>
      <c r="AQ12" s="97">
        <f ca="1">TblProd[[#This Row],[Lumber]]*lumber_rot * (1 + tech_2_1*TblTech[[#This Row],[2-1]] + tech_2_8*TblTech[[#This Row],[2-8]] + tech_5_2*TblTech[[#This Row],[5-2]])</f>
        <v>0</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400</v>
      </c>
      <c r="AU12" s="97">
        <f ca="1">TblConstr[[#This Row],[Total Lum Cost]]+TblImps[[#This Row],[L1]]-TblProd[[#This Row],[Bank Lumber]] + Military!$CL$25*TblMili[[#This Row],[Sec. rec. Cost]]</f>
        <v>900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450</v>
      </c>
      <c r="BD12" s="161">
        <v>-900</v>
      </c>
      <c r="BE12" s="161"/>
      <c r="BF12" s="161"/>
      <c r="BG12" s="162">
        <f ca="1">TblProd[[#This Row],[Time]]</f>
        <v>45430.083333333314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I12" s="97">
        <f ca="1">TblProd[[#This Row],[Platinum]]</f>
        <v>31372</v>
      </c>
      <c r="BJ12" s="97">
        <f ca="1">TblProd[[#This Row],[Food]]</f>
        <v>29554</v>
      </c>
      <c r="BK12" s="97">
        <f ca="1">TblProd[[#This Row],[Lumber]]</f>
        <v>0</v>
      </c>
      <c r="BL12" s="97">
        <f ca="1">TblProd[[#This Row],[Mana]]</f>
        <v>0</v>
      </c>
      <c r="BM12" s="97">
        <f ca="1">TblProd[[#This Row],[Ore]]</f>
        <v>0</v>
      </c>
    </row>
    <row r="13" spans="1:65" x14ac:dyDescent="0.2">
      <c r="A13" s="140">
        <v>10</v>
      </c>
      <c r="B13" s="155">
        <f ca="1">TblImps[[#This Row],[Time]]</f>
        <v>45430.124999999978</v>
      </c>
      <c r="C13" s="156"/>
      <c r="D13" s="157"/>
      <c r="E13" s="97">
        <f ca="1">TblConstr[[#This Row],[Land]]</f>
        <v>250</v>
      </c>
      <c r="F13" s="97">
        <f ca="1">TblPop[[#This Row],[Peasants]]</f>
        <v>1549</v>
      </c>
      <c r="G13" s="97">
        <f ca="1">TblMili[[#This Row],[Networth (2)]]</f>
        <v>5450</v>
      </c>
      <c r="H13" s="97">
        <f ca="1">OFFSET(TblProd[[#This Row],[Platinum]],-1,0)+OFFSET(TblProd[[#This Row],[Plat/hr]],-1,0) - TblProd[[#This Row],[Expenses Platinum]] + IF(TblProd[[#This Row],[Plat Bonus]],TblPop[[#This Row],[Peasants]]*4) + SUM(TblConstr[[#This Row],[Dest Hom]:[Dest Doc]])*TblConstr[[#This Row],[CPA Platinum -DB]]*tech_3_3_2*TblTech[[#This Row],[3-3]]</f>
        <v>36323</v>
      </c>
      <c r="I13" s="97">
        <f ca="1">OFFSET(TblProd[[#This Row],[Food]],-1,0)+OFFSET(TblProd[[#This Row],[Food/hr]],-1,0)+ROUNDUP((TblConstr[[#This Row],[Farms]]*80+TblConstr[[#This Row],[Docks]]*35)*(1+OFFSET(TblProd[[#This Row],[Bonus Food/hr]],-1,0)),0)</f>
        <v>31263</v>
      </c>
      <c r="J13" s="97">
        <f ca="1">OFFSET(TblProd[[#This Row],[Lumber]],-1,0)+OFFSET(TblProd[[#This Row],[Lumber/hr]],-1,0) - TblProd[[#This Row],[Expenses Lumber]] + SUM(TblConstr[[#This Row],[Dest Hom]:[Dest Doc]])*TblConstr[[#This Row],[CPA Lumber -DB]]*tech_3_3_2*TblTech[[#This Row],[3-3]]</f>
        <v>200</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1681</v>
      </c>
      <c r="U13" s="97">
        <f ca="1">ROUND(TblProd[[#This Row],[Raw Lumber/hr]]*(1+TblProd[[#This Row],[Bonus Lumber/hr]])-TblProd[[#This Row],[Lumber rot]],0)</f>
        <v>898</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 s="159">
        <f ca="1">race_lumber_bonus+ IF(TblMagic[[#This Row],[Active Gaia''s Blessing]]&gt;0,gaias_blessing_lumber)+ tech_1_3*TblTech[[#This Row],[1-3]] + tech_1_6*TblTech[[#This Row],[1-6]] + tech_3_3*TblTech[[#This Row],[3-3]]</f>
        <v>-0.1</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0.15</v>
      </c>
      <c r="AN13" s="145"/>
      <c r="AO13" s="97">
        <f ca="1">TblProd[[#This Row],[Food]]*food_decay * (1 + tech_2_1*TblTech[[#This Row],[2-1]] + tech_2_8*TblTech[[#This Row],[2-8]])</f>
        <v>312.63</v>
      </c>
      <c r="AP13" s="97">
        <f ca="1">(1+race_food_consumption)*TblPop[[#This Row],[Total]]*food_per_person*(1+tech_1_10*TblTech[[#This Row],[1-10]]+tech_7_5*TblTech[[#This Row],[7-5]])</f>
        <v>466</v>
      </c>
      <c r="AQ13" s="97">
        <f ca="1">TblProd[[#This Row],[Lumber]]*lumber_rot * (1 + tech_2_1*TblTech[[#This Row],[2-1]] + tech_2_8*TblTech[[#This Row],[2-8]] + tech_5_2*TblTech[[#This Row],[5-2]])</f>
        <v>2</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500</v>
      </c>
      <c r="AU13" s="97">
        <f ca="1">TblConstr[[#This Row],[Total Lum Cost]]+TblImps[[#This Row],[L1]]-TblProd[[#This Row],[Bank Lumber]] + Military!$CL$25*TblMili[[#This Row],[Sec. rec. Cost]]</f>
        <v>700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350</v>
      </c>
      <c r="BD13" s="161">
        <v>-700</v>
      </c>
      <c r="BE13" s="161"/>
      <c r="BF13" s="161"/>
      <c r="BG13" s="162">
        <f ca="1">TblProd[[#This Row],[Time]]</f>
        <v>45430.124999999978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I13" s="97">
        <f ca="1">TblProd[[#This Row],[Platinum]]</f>
        <v>36323</v>
      </c>
      <c r="BJ13" s="97">
        <f ca="1">TblProd[[#This Row],[Food]]</f>
        <v>31263</v>
      </c>
      <c r="BK13" s="97">
        <f ca="1">TblProd[[#This Row],[Lumber]]</f>
        <v>200</v>
      </c>
      <c r="BL13" s="97">
        <f ca="1">TblProd[[#This Row],[Mana]]</f>
        <v>0</v>
      </c>
      <c r="BM13" s="97">
        <f ca="1">TblProd[[#This Row],[Ore]]</f>
        <v>0</v>
      </c>
    </row>
    <row r="14" spans="1:65" x14ac:dyDescent="0.2">
      <c r="A14" s="140">
        <v>11</v>
      </c>
      <c r="B14" s="155">
        <f ca="1">TblImps[[#This Row],[Time]]</f>
        <v>45430.166666666642</v>
      </c>
      <c r="C14" s="156"/>
      <c r="D14" s="157"/>
      <c r="E14" s="97">
        <f ca="1">TblConstr[[#This Row],[Land]]</f>
        <v>250</v>
      </c>
      <c r="F14" s="97">
        <f ca="1">TblPop[[#This Row],[Peasants]]</f>
        <v>1580</v>
      </c>
      <c r="G14" s="97">
        <f ca="1">TblMili[[#This Row],[Networth (2)]]</f>
        <v>5450</v>
      </c>
      <c r="H14" s="97">
        <f ca="1">OFFSET(TblProd[[#This Row],[Platinum]],-1,0)+OFFSET(TblProd[[#This Row],[Plat/hr]],-1,0) - TblProd[[#This Row],[Expenses Platinum]] + IF(TblProd[[#This Row],[Plat Bonus]],TblPop[[#This Row],[Peasants]]*4) + SUM(TblConstr[[#This Row],[Dest Hom]:[Dest Doc]])*TblConstr[[#This Row],[CPA Platinum -DB]]*tech_3_3_2*TblTech[[#This Row],[3-3]]</f>
        <v>41005</v>
      </c>
      <c r="I14" s="97">
        <f ca="1">OFFSET(TblProd[[#This Row],[Food]],-1,0)+OFFSET(TblProd[[#This Row],[Food/hr]],-1,0)+ROUNDUP((TblConstr[[#This Row],[Farms]]*80+TblConstr[[#This Row],[Docks]]*35)*(1+OFFSET(TblProd[[#This Row],[Bonus Food/hr]],-1,0)),0)</f>
        <v>32944</v>
      </c>
      <c r="J14" s="97">
        <f ca="1">OFFSET(TblProd[[#This Row],[Lumber]],-1,0)+OFFSET(TblProd[[#This Row],[Lumber/hr]],-1,0) - TblProd[[#This Row],[Expenses Lumber]] + SUM(TblConstr[[#This Row],[Dest Hom]:[Dest Doc]])*TblConstr[[#This Row],[CPA Lumber -DB]]*tech_3_3_2*TblTech[[#This Row],[3-3]]</f>
        <v>1098</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1654</v>
      </c>
      <c r="U14" s="97">
        <f ca="1">ROUND(TblProd[[#This Row],[Raw Lumber/hr]]*(1+TblProd[[#This Row],[Bonus Lumber/hr]])-TblProd[[#This Row],[Lumber rot]],0)</f>
        <v>889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4" s="159">
        <f ca="1">race_lumber_bonus+ IF(TblMagic[[#This Row],[Active Gaia''s Blessing]]&gt;0,gaias_blessing_lumber)+ tech_1_3*TblTech[[#This Row],[1-3]] + tech_1_6*TblTech[[#This Row],[1-6]] + tech_3_3*TblTech[[#This Row],[3-3]]</f>
        <v>-0.1</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0.15</v>
      </c>
      <c r="AN14" s="145"/>
      <c r="AO14" s="97">
        <f ca="1">TblProd[[#This Row],[Food]]*food_decay * (1 + tech_2_1*TblTech[[#This Row],[2-1]] + tech_2_8*TblTech[[#This Row],[2-8]])</f>
        <v>329.44</v>
      </c>
      <c r="AP14" s="97">
        <f ca="1">(1+race_food_consumption)*TblPop[[#This Row],[Total]]*food_per_person*(1+tech_1_10*TblTech[[#This Row],[1-10]]+tech_7_5*TblTech[[#This Row],[7-5]])</f>
        <v>476.5</v>
      </c>
      <c r="AQ14" s="97">
        <f ca="1">TblProd[[#This Row],[Lumber]]*lumber_rot * (1 + tech_2_1*TblTech[[#This Row],[2-1]] + tech_2_8*TblTech[[#This Row],[2-8]] + tech_5_2*TblTech[[#This Row],[5-2]])</f>
        <v>10.98</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850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45430.166666666642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41005</v>
      </c>
      <c r="BJ14" s="97">
        <f ca="1">TblProd[[#This Row],[Food]]</f>
        <v>32944</v>
      </c>
      <c r="BK14" s="97">
        <f ca="1">TblProd[[#This Row],[Lumber]]</f>
        <v>1098</v>
      </c>
      <c r="BL14" s="97">
        <f ca="1">TblProd[[#This Row],[Mana]]</f>
        <v>0</v>
      </c>
      <c r="BM14" s="97">
        <f ca="1">TblProd[[#This Row],[Ore]]</f>
        <v>0</v>
      </c>
    </row>
    <row r="15" spans="1:65" x14ac:dyDescent="0.2">
      <c r="A15" s="140">
        <v>12</v>
      </c>
      <c r="B15" s="155">
        <f ca="1">TblImps[[#This Row],[Time]]</f>
        <v>45430.208333333307</v>
      </c>
      <c r="C15" s="156"/>
      <c r="D15" s="157"/>
      <c r="E15" s="97">
        <f ca="1">TblConstr[[#This Row],[Land]]</f>
        <v>250</v>
      </c>
      <c r="F15" s="97">
        <f ca="1">TblPop[[#This Row],[Peasants]]</f>
        <v>1611</v>
      </c>
      <c r="G15" s="97">
        <f ca="1">TblMili[[#This Row],[Networth (2)]]</f>
        <v>5450</v>
      </c>
      <c r="H15" s="97">
        <f ca="1">OFFSET(TblProd[[#This Row],[Platinum]],-1,0)+OFFSET(TblProd[[#This Row],[Plat/hr]],-1,0) - TblProd[[#This Row],[Expenses Platinum]] + IF(TblProd[[#This Row],[Plat Bonus]],TblPop[[#This Row],[Peasants]]*4) + SUM(TblConstr[[#This Row],[Dest Hom]:[Dest Doc]])*TblConstr[[#This Row],[CPA Platinum -DB]]*tech_3_3_2*TblTech[[#This Row],[3-3]]</f>
        <v>46621</v>
      </c>
      <c r="I15" s="97">
        <f ca="1">OFFSET(TblProd[[#This Row],[Food]],-1,0)+OFFSET(TblProd[[#This Row],[Food/hr]],-1,0)+ROUNDUP((TblConstr[[#This Row],[Farms]]*80+TblConstr[[#This Row],[Docks]]*35)*(1+OFFSET(TblProd[[#This Row],[Bonus Food/hr]],-1,0)),0)</f>
        <v>34598</v>
      </c>
      <c r="J15" s="97">
        <f ca="1">OFFSET(TblProd[[#This Row],[Lumber]],-1,0)+OFFSET(TblProd[[#This Row],[Lumber/hr]],-1,0) - TblProd[[#This Row],[Expenses Lumber]] + SUM(TblConstr[[#This Row],[Dest Hom]:[Dest Doc]])*TblConstr[[#This Row],[CPA Lumber -DB]]*tech_3_3_2*TblTech[[#This Row],[3-3]]</f>
        <v>1987</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7499</v>
      </c>
      <c r="T15" s="97">
        <f ca="1">ROUND(TblProd[[#This Row],[Raw Food/hr]]*(1+TblProd[[#This Row],[Bonus Food/hr]])-TblProd[[#This Row],[Food decay]]-TblProd[[#This Row],[Food eaten]],0)</f>
        <v>1626</v>
      </c>
      <c r="U15" s="97">
        <f ca="1">ROUND(TblProd[[#This Row],[Raw Lumber/hr]]*(1+TblProd[[#This Row],[Bonus Lumber/hr]])-TblProd[[#This Row],[Lumber rot]],0)</f>
        <v>880</v>
      </c>
      <c r="V15" s="97">
        <f ca="1">ROUND(TblProd[[#This Row],[Raw Mana/hr]]*(1+TblProd[[#This Row],[Bonus Mana/hr]])-TblProd[[#This Row],[Mana drain]],0)</f>
        <v>375</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7499.7000000000007</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375</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5" s="159">
        <f ca="1">race_lumber_bonus+ IF(TblMagic[[#This Row],[Active Gaia''s Blessing]]&gt;0,gaias_blessing_lumber)+ tech_1_3*TblTech[[#This Row],[1-3]] + tech_1_6*TblTech[[#This Row],[1-6]] + tech_3_3*TblTech[[#This Row],[3-3]]</f>
        <v>-0.1</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0.15</v>
      </c>
      <c r="AN15" s="145"/>
      <c r="AO15" s="97">
        <f ca="1">TblProd[[#This Row],[Food]]*food_decay * (1 + tech_2_1*TblTech[[#This Row],[2-1]] + tech_2_8*TblTech[[#This Row],[2-8]])</f>
        <v>345.98</v>
      </c>
      <c r="AP15" s="97">
        <f ca="1">(1+race_food_consumption)*TblPop[[#This Row],[Total]]*food_per_person*(1+tech_1_10*TblTech[[#This Row],[1-10]]+tech_7_5*TblTech[[#This Row],[7-5]])</f>
        <v>488.25</v>
      </c>
      <c r="AQ15" s="97">
        <f ca="1">TblProd[[#This Row],[Lumber]]*lumber_rot * (1 + tech_2_1*TblTech[[#This Row],[2-1]] + tech_2_8*TblTech[[#This Row],[2-8]] + tech_5_2*TblTech[[#This Row],[5-2]])</f>
        <v>19.87</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45430.208333333307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46621</v>
      </c>
      <c r="BJ15" s="97">
        <f ca="1">TblProd[[#This Row],[Food]]</f>
        <v>34598</v>
      </c>
      <c r="BK15" s="97">
        <f ca="1">TblProd[[#This Row],[Lumber]]</f>
        <v>1987</v>
      </c>
      <c r="BL15" s="97">
        <f ca="1">TblProd[[#This Row],[Mana]]</f>
        <v>0</v>
      </c>
      <c r="BM15" s="97">
        <f ca="1">TblProd[[#This Row],[Ore]]</f>
        <v>0</v>
      </c>
    </row>
    <row r="16" spans="1:65" x14ac:dyDescent="0.2">
      <c r="A16" s="140">
        <v>13</v>
      </c>
      <c r="B16" s="155">
        <f ca="1">TblImps[[#This Row],[Time]]</f>
        <v>45430.249999999971</v>
      </c>
      <c r="C16" s="156"/>
      <c r="D16" s="157"/>
      <c r="E16" s="97">
        <f ca="1">TblConstr[[#This Row],[Land]]</f>
        <v>250</v>
      </c>
      <c r="F16" s="97">
        <f ca="1">TblPop[[#This Row],[Peasants]]</f>
        <v>1697</v>
      </c>
      <c r="G16" s="97">
        <f ca="1">TblMili[[#This Row],[Networth (2)]]</f>
        <v>5925</v>
      </c>
      <c r="H16" s="97">
        <f ca="1">OFFSET(TblProd[[#This Row],[Platinum]],-1,0)+OFFSET(TblProd[[#This Row],[Plat/hr]],-1,0) - TblProd[[#This Row],[Expenses Platinum]] + IF(TblProd[[#This Row],[Plat Bonus]],TblPop[[#This Row],[Peasants]]*4) + SUM(TblConstr[[#This Row],[Dest Hom]:[Dest Doc]])*TblConstr[[#This Row],[CPA Platinum -DB]]*tech_3_3_2*TblTech[[#This Row],[3-3]]</f>
        <v>27645</v>
      </c>
      <c r="I16" s="97">
        <f ca="1">OFFSET(TblProd[[#This Row],[Food]],-1,0)+OFFSET(TblProd[[#This Row],[Food/hr]],-1,0)+ROUNDUP((TblConstr[[#This Row],[Farms]]*80+TblConstr[[#This Row],[Docks]]*35)*(1+OFFSET(TblProd[[#This Row],[Bonus Food/hr]],-1,0)),0)</f>
        <v>36224</v>
      </c>
      <c r="J16" s="97">
        <f ca="1">OFFSET(TblProd[[#This Row],[Lumber]],-1,0)+OFFSET(TblProd[[#This Row],[Lumber/hr]],-1,0) - TblProd[[#This Row],[Expenses Lumber]] + SUM(TblConstr[[#This Row],[Dest Hom]:[Dest Doc]])*TblConstr[[#This Row],[CPA Lumber -DB]]*tech_3_3_2*TblTech[[#This Row],[3-3]]</f>
        <v>7</v>
      </c>
      <c r="K16" s="97">
        <f ca="1">OFFSET(TblProd[[#This Row],[Mana]],-1,0)+OFFSET(TblProd[[#This Row],[Mana/hr]],-1,0)- TblProd[[#This Row],[Expenses Mana]]</f>
        <v>375</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7731</v>
      </c>
      <c r="T16" s="97">
        <f ca="1">ROUND(TblProd[[#This Row],[Raw Food/hr]]*(1+TblProd[[#This Row],[Bonus Food/hr]])-TblProd[[#This Row],[Food decay]]-TblProd[[#This Row],[Food eaten]],0)</f>
        <v>-466</v>
      </c>
      <c r="U16" s="97">
        <f ca="1">ROUND(TblProd[[#This Row],[Raw Lumber/hr]]*(1+TblProd[[#This Row],[Bonus Lumber/hr]])-TblProd[[#This Row],[Lumber rot]],0)</f>
        <v>900</v>
      </c>
      <c r="V16" s="97">
        <f ca="1">ROUND(TblProd[[#This Row],[Raw Mana/hr]]*(1+TblProd[[#This Row],[Bonus Mana/hr]])-TblProd[[#This Row],[Mana drain]],0)</f>
        <v>368</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7731.9000000000005</v>
      </c>
      <c r="AB16" s="97">
        <f ca="1">TblConstr[[#This Row],[Tot Farm]]*farm_food + TblConstr[[#This Row],[Tot Doc]]*dock_food</f>
        <v>400</v>
      </c>
      <c r="AC16" s="97">
        <f ca="1">TblConstr[[#This Row],[Tot Ly]]*ly_lumber + TblConstr[[#This Row],[Tot Hav]]*fh_lumber</f>
        <v>1000</v>
      </c>
      <c r="AD16" s="97">
        <f ca="1">OFFSET(TblConstr[[#This Row],[Tot Tow]],1,0)*(tower_mana + tech_4_5*TblTech[[#This Row],[4-5]]) + OFFSET(TblConstr[[#This Row],[Tot WG]],1,0)*wg_mana_prod</f>
        <v>375</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6" s="159">
        <f ca="1">race_lumber_bonus+ IF(TblMagic[[#This Row],[Active Gaia''s Blessing]]&gt;0,gaias_blessing_lumber)+ tech_1_3*TblTech[[#This Row],[1-3]] + tech_1_6*TblTech[[#This Row],[1-6]] + tech_3_3*TblTech[[#This Row],[3-3]]</f>
        <v>-0.1</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0.15</v>
      </c>
      <c r="AN16" s="145"/>
      <c r="AO16" s="97">
        <f ca="1">TblProd[[#This Row],[Food]]*food_decay * (1 + tech_2_1*TblTech[[#This Row],[2-1]] + tech_2_8*TblTech[[#This Row],[2-8]])</f>
        <v>362.24</v>
      </c>
      <c r="AP16" s="97">
        <f ca="1">(1+race_food_consumption)*TblPop[[#This Row],[Total]]*food_per_person*(1+tech_1_10*TblTech[[#This Row],[1-10]]+tech_7_5*TblTech[[#This Row],[7-5]])</f>
        <v>513.75</v>
      </c>
      <c r="AQ16" s="97">
        <f ca="1">TblProd[[#This Row],[Lumber]]*lumber_rot * (1 + tech_2_1*TblTech[[#This Row],[2-1]] + tech_2_8*TblTech[[#This Row],[2-8]] + tech_5_2*TblTech[[#This Row],[5-2]])</f>
        <v>7.0000000000000007E-2</v>
      </c>
      <c r="AR16" s="97">
        <f ca="1">TblProd[[#This Row],[Mana]]*mana_drain * (1 + tech_2_1*TblTech[[#This Row],[2-1]] + tech_2_8*TblTech[[#This Row],[2-8]])</f>
        <v>7.5</v>
      </c>
      <c r="AS16" s="157"/>
      <c r="AT16" s="97">
        <f ca="1">TblExplore[[#This Row],[Platinum (2)]]+TblConstr[[#This Row],[Total Plat Cost]]+TblMili[[#This Row],[Plat Cost]]+TblRezone[[#This Row],[Platinum cost]]+TblImps[[#This Row],[P1]]-TblProd[[#This Row],[Bank Plat]]</f>
        <v>26475</v>
      </c>
      <c r="AU16" s="97">
        <f ca="1">TblConstr[[#This Row],[Total Lum Cost]]+TblImps[[#This Row],[L1]]-TblProd[[#This Row],[Bank Lumber]] + Military!$CL$25*TblMili[[#This Row],[Sec. rec. Cost]]</f>
        <v>2860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45430.249999999971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27645</v>
      </c>
      <c r="BJ16" s="97">
        <f ca="1">TblProd[[#This Row],[Food]]</f>
        <v>36224</v>
      </c>
      <c r="BK16" s="97">
        <f ca="1">TblProd[[#This Row],[Lumber]]</f>
        <v>7</v>
      </c>
      <c r="BL16" s="97">
        <f ca="1">TblProd[[#This Row],[Mana]]</f>
        <v>375</v>
      </c>
      <c r="BM16" s="97">
        <f ca="1">TblProd[[#This Row],[Ore]]</f>
        <v>0</v>
      </c>
    </row>
    <row r="17" spans="1:65" x14ac:dyDescent="0.2">
      <c r="A17" s="140">
        <v>14</v>
      </c>
      <c r="B17" s="155">
        <f ca="1">TblImps[[#This Row],[Time]]</f>
        <v>45430.291666666635</v>
      </c>
      <c r="C17" s="156"/>
      <c r="D17" s="157"/>
      <c r="E17" s="97">
        <f ca="1">TblConstr[[#This Row],[Land]]</f>
        <v>250</v>
      </c>
      <c r="F17" s="97">
        <f ca="1">TblPop[[#This Row],[Peasants]]</f>
        <v>1787</v>
      </c>
      <c r="G17" s="97">
        <f ca="1">TblMili[[#This Row],[Networth (2)]]</f>
        <v>5925</v>
      </c>
      <c r="H17" s="97">
        <f ca="1">OFFSET(TblProd[[#This Row],[Platinum]],-1,0)+OFFSET(TblProd[[#This Row],[Plat/hr]],-1,0) - TblProd[[#This Row],[Expenses Platinum]] + IF(TblProd[[#This Row],[Plat Bonus]],TblPop[[#This Row],[Peasants]]*4) + SUM(TblConstr[[#This Row],[Dest Hom]:[Dest Doc]])*TblConstr[[#This Row],[CPA Platinum -DB]]*tech_3_3_2*TblTech[[#This Row],[3-3]]</f>
        <v>35376</v>
      </c>
      <c r="I17" s="97">
        <f ca="1">OFFSET(TblProd[[#This Row],[Food]],-1,0)+OFFSET(TblProd[[#This Row],[Food/hr]],-1,0)+ROUNDUP((TblConstr[[#This Row],[Farms]]*80+TblConstr[[#This Row],[Docks]]*35)*(1+OFFSET(TblProd[[#This Row],[Bonus Food/hr]],-1,0)),0)</f>
        <v>35758</v>
      </c>
      <c r="J17" s="97">
        <f ca="1">OFFSET(TblProd[[#This Row],[Lumber]],-1,0)+OFFSET(TblProd[[#This Row],[Lumber/hr]],-1,0) - TblProd[[#This Row],[Expenses Lumber]] + SUM(TblConstr[[#This Row],[Dest Hom]:[Dest Doc]])*TblConstr[[#This Row],[CPA Lumber -DB]]*tech_3_3_2*TblTech[[#This Row],[3-3]]</f>
        <v>907</v>
      </c>
      <c r="K17" s="97">
        <f ca="1">OFFSET(TblProd[[#This Row],[Mana]],-1,0)+OFFSET(TblProd[[#This Row],[Mana/hr]],-1,0)- TblProd[[#This Row],[Expenses Mana]]</f>
        <v>118</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7974</v>
      </c>
      <c r="T17" s="97">
        <f ca="1">ROUND(TblProd[[#This Row],[Raw Food/hr]]*(1+TblProd[[#This Row],[Bonus Food/hr]])-TblProd[[#This Row],[Food decay]]-TblProd[[#This Row],[Food eaten]],0)</f>
        <v>-488</v>
      </c>
      <c r="U17" s="97">
        <f ca="1">ROUND(TblProd[[#This Row],[Raw Lumber/hr]]*(1+TblProd[[#This Row],[Bonus Lumber/hr]])-TblProd[[#This Row],[Lumber rot]],0)</f>
        <v>891</v>
      </c>
      <c r="V17" s="97">
        <f ca="1">ROUND(TblProd[[#This Row],[Raw Mana/hr]]*(1+TblProd[[#This Row],[Bonus Mana/hr]])-TblProd[[#This Row],[Mana drain]],0)</f>
        <v>373</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7974.9000000000005</v>
      </c>
      <c r="AB17" s="97">
        <f ca="1">TblConstr[[#This Row],[Tot Farm]]*farm_food + TblConstr[[#This Row],[Tot Doc]]*dock_food</f>
        <v>400</v>
      </c>
      <c r="AC17" s="97">
        <f ca="1">TblConstr[[#This Row],[Tot Ly]]*ly_lumber + TblConstr[[#This Row],[Tot Hav]]*fh_lumber</f>
        <v>1000</v>
      </c>
      <c r="AD17" s="97">
        <f ca="1">OFFSET(TblConstr[[#This Row],[Tot Tow]],1,0)*(tower_mana + tech_4_5*TblTech[[#This Row],[4-5]]) + OFFSET(TblConstr[[#This Row],[Tot WG]],1,0)*wg_mana_prod</f>
        <v>375</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7" s="159">
        <f ca="1">race_lumber_bonus+ IF(TblMagic[[#This Row],[Active Gaia''s Blessing]]&gt;0,gaias_blessing_lumber)+ tech_1_3*TblTech[[#This Row],[1-3]] + tech_1_6*TblTech[[#This Row],[1-6]] + tech_3_3*TblTech[[#This Row],[3-3]]</f>
        <v>-0.1</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0.15</v>
      </c>
      <c r="AN17" s="145"/>
      <c r="AO17" s="97">
        <f ca="1">TblProd[[#This Row],[Food]]*food_decay * (1 + tech_2_1*TblTech[[#This Row],[2-1]] + tech_2_8*TblTech[[#This Row],[2-8]])</f>
        <v>357.58</v>
      </c>
      <c r="AP17" s="97">
        <f ca="1">(1+race_food_consumption)*TblPop[[#This Row],[Total]]*food_per_person*(1+tech_1_10*TblTech[[#This Row],[1-10]]+tech_7_5*TblTech[[#This Row],[7-5]])</f>
        <v>540.5</v>
      </c>
      <c r="AQ17" s="97">
        <f ca="1">TblProd[[#This Row],[Lumber]]*lumber_rot * (1 + tech_2_1*TblTech[[#This Row],[2-1]] + tech_2_8*TblTech[[#This Row],[2-8]] + tech_5_2*TblTech[[#This Row],[5-2]])</f>
        <v>9.07</v>
      </c>
      <c r="AR17" s="97">
        <f ca="1">TblProd[[#This Row],[Mana]]*mana_drain * (1 + tech_2_1*TblTech[[#This Row],[2-1]] + tech_2_8*TblTech[[#This Row],[2-8]])</f>
        <v>2.36</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625</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45430.291666666635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35376</v>
      </c>
      <c r="BJ17" s="97">
        <f ca="1">TblProd[[#This Row],[Food]]</f>
        <v>35758</v>
      </c>
      <c r="BK17" s="97">
        <f ca="1">TblProd[[#This Row],[Lumber]]</f>
        <v>907</v>
      </c>
      <c r="BL17" s="97">
        <f ca="1">TblProd[[#This Row],[Mana]]</f>
        <v>118</v>
      </c>
      <c r="BM17" s="97">
        <f ca="1">TblProd[[#This Row],[Ore]]</f>
        <v>0</v>
      </c>
    </row>
    <row r="18" spans="1:65" x14ac:dyDescent="0.2">
      <c r="A18" s="140">
        <v>15</v>
      </c>
      <c r="B18" s="155">
        <f ca="1">TblImps[[#This Row],[Time]]</f>
        <v>45430.333333333299</v>
      </c>
      <c r="C18" s="156"/>
      <c r="D18" s="157"/>
      <c r="E18" s="97">
        <f ca="1">TblConstr[[#This Row],[Land]]</f>
        <v>250</v>
      </c>
      <c r="F18" s="97">
        <f ca="1">TblPop[[#This Row],[Peasants]]</f>
        <v>1908</v>
      </c>
      <c r="G18" s="97">
        <f ca="1">TblMili[[#This Row],[Networth (2)]]</f>
        <v>5925</v>
      </c>
      <c r="H18" s="97">
        <f ca="1">OFFSET(TblProd[[#This Row],[Platinum]],-1,0)+OFFSET(TblProd[[#This Row],[Plat/hr]],-1,0) - TblProd[[#This Row],[Expenses Platinum]] + IF(TblProd[[#This Row],[Plat Bonus]],TblPop[[#This Row],[Peasants]]*4) + SUM(TblConstr[[#This Row],[Dest Hom]:[Dest Doc]])*TblConstr[[#This Row],[CPA Platinum -DB]]*tech_3_3_2*TblTech[[#This Row],[3-3]]</f>
        <v>43350</v>
      </c>
      <c r="I18" s="97">
        <f ca="1">OFFSET(TblProd[[#This Row],[Food]],-1,0)+OFFSET(TblProd[[#This Row],[Food/hr]],-1,0)+ROUNDUP((TblConstr[[#This Row],[Farms]]*80+TblConstr[[#This Row],[Docks]]*35)*(1+OFFSET(TblProd[[#This Row],[Bonus Food/hr]],-1,0)),0)</f>
        <v>35270</v>
      </c>
      <c r="J18" s="97">
        <f ca="1">OFFSET(TblProd[[#This Row],[Lumber]],-1,0)+OFFSET(TblProd[[#This Row],[Lumber/hr]],-1,0) - TblProd[[#This Row],[Expenses Lumber]] + SUM(TblConstr[[#This Row],[Dest Hom]:[Dest Doc]])*TblConstr[[#This Row],[CPA Lumber -DB]]*tech_3_3_2*TblTech[[#This Row],[3-3]]</f>
        <v>1798</v>
      </c>
      <c r="K18" s="97">
        <f ca="1">OFFSET(TblProd[[#This Row],[Mana]],-1,0)+OFFSET(TblProd[[#This Row],[Mana/hr]],-1,0)- TblProd[[#This Row],[Expenses Mana]]</f>
        <v>491</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8301</v>
      </c>
      <c r="T18" s="97">
        <f ca="1">ROUND(TblProd[[#This Row],[Raw Food/hr]]*(1+TblProd[[#This Row],[Bonus Food/hr]])-TblProd[[#This Row],[Food decay]]-TblProd[[#This Row],[Food eaten]],0)</f>
        <v>-518</v>
      </c>
      <c r="U18" s="97">
        <f ca="1">ROUND(TblProd[[#This Row],[Raw Lumber/hr]]*(1+TblProd[[#This Row],[Bonus Lumber/hr]])-TblProd[[#This Row],[Lumber rot]],0)</f>
        <v>882</v>
      </c>
      <c r="V18" s="97">
        <f ca="1">ROUND(TblProd[[#This Row],[Raw Mana/hr]]*(1+TblProd[[#This Row],[Bonus Mana/hr]])-TblProd[[#This Row],[Mana drain]],0)</f>
        <v>365</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8301.6</v>
      </c>
      <c r="AB18" s="97">
        <f ca="1">TblConstr[[#This Row],[Tot Farm]]*farm_food + TblConstr[[#This Row],[Tot Doc]]*dock_food</f>
        <v>400</v>
      </c>
      <c r="AC18" s="97">
        <f ca="1">TblConstr[[#This Row],[Tot Ly]]*ly_lumber + TblConstr[[#This Row],[Tot Hav]]*fh_lumber</f>
        <v>1000</v>
      </c>
      <c r="AD18" s="97">
        <f ca="1">OFFSET(TblConstr[[#This Row],[Tot Tow]],1,0)*(tower_mana + tech_4_5*TblTech[[#This Row],[4-5]]) + OFFSET(TblConstr[[#This Row],[Tot WG]],1,0)*wg_mana_prod</f>
        <v>375</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8" s="159">
        <f ca="1">race_lumber_bonus+ IF(TblMagic[[#This Row],[Active Gaia''s Blessing]]&gt;0,gaias_blessing_lumber)+ tech_1_3*TblTech[[#This Row],[1-3]] + tech_1_6*TblTech[[#This Row],[1-6]] + tech_3_3*TblTech[[#This Row],[3-3]]</f>
        <v>-0.1</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0.15</v>
      </c>
      <c r="AN18" s="145"/>
      <c r="AO18" s="97">
        <f ca="1">TblProd[[#This Row],[Food]]*food_decay * (1 + tech_2_1*TblTech[[#This Row],[2-1]] + tech_2_8*TblTech[[#This Row],[2-8]])</f>
        <v>352.7</v>
      </c>
      <c r="AP18" s="97">
        <f ca="1">(1+race_food_consumption)*TblPop[[#This Row],[Total]]*food_per_person*(1+tech_1_10*TblTech[[#This Row],[1-10]]+tech_7_5*TblTech[[#This Row],[7-5]])</f>
        <v>575.25</v>
      </c>
      <c r="AQ18" s="97">
        <f ca="1">TblProd[[#This Row],[Lumber]]*lumber_rot * (1 + tech_2_1*TblTech[[#This Row],[2-1]] + tech_2_8*TblTech[[#This Row],[2-8]] + tech_5_2*TblTech[[#This Row],[5-2]])</f>
        <v>17.98</v>
      </c>
      <c r="AR18" s="97">
        <f ca="1">TblProd[[#This Row],[Mana]]*mana_drain * (1 + tech_2_1*TblTech[[#This Row],[2-1]] + tech_2_8*TblTech[[#This Row],[2-8]])</f>
        <v>9.82</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45430.333333333299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43350</v>
      </c>
      <c r="BJ18" s="97">
        <f ca="1">TblProd[[#This Row],[Food]]</f>
        <v>35270</v>
      </c>
      <c r="BK18" s="97">
        <f ca="1">TblProd[[#This Row],[Lumber]]</f>
        <v>1798</v>
      </c>
      <c r="BL18" s="97">
        <f ca="1">TblProd[[#This Row],[Mana]]</f>
        <v>491</v>
      </c>
      <c r="BM18" s="97">
        <f ca="1">TblProd[[#This Row],[Ore]]</f>
        <v>0</v>
      </c>
    </row>
    <row r="19" spans="1:65" x14ac:dyDescent="0.2">
      <c r="A19" s="140">
        <v>16</v>
      </c>
      <c r="B19" s="155">
        <f ca="1">TblImps[[#This Row],[Time]]</f>
        <v>45430.374999999964</v>
      </c>
      <c r="C19" s="156"/>
      <c r="D19" s="157"/>
      <c r="E19" s="97">
        <f ca="1">TblConstr[[#This Row],[Land]]</f>
        <v>250</v>
      </c>
      <c r="F19" s="97">
        <f ca="1">TblPop[[#This Row],[Peasants]]</f>
        <v>2038</v>
      </c>
      <c r="G19" s="97">
        <f ca="1">TblMili[[#This Row],[Networth (2)]]</f>
        <v>5925</v>
      </c>
      <c r="H19" s="97">
        <f ca="1">OFFSET(TblProd[[#This Row],[Platinum]],-1,0)+OFFSET(TblProd[[#This Row],[Plat/hr]],-1,0) - TblProd[[#This Row],[Expenses Platinum]] + IF(TblProd[[#This Row],[Plat Bonus]],TblPop[[#This Row],[Peasants]]*4) + SUM(TblConstr[[#This Row],[Dest Hom]:[Dest Doc]])*TblConstr[[#This Row],[CPA Platinum -DB]]*tech_3_3_2*TblTech[[#This Row],[3-3]]</f>
        <v>51651</v>
      </c>
      <c r="I19" s="97">
        <f ca="1">OFFSET(TblProd[[#This Row],[Food]],-1,0)+OFFSET(TblProd[[#This Row],[Food/hr]],-1,0)+ROUNDUP((TblConstr[[#This Row],[Farms]]*80+TblConstr[[#This Row],[Docks]]*35)*(1+OFFSET(TblProd[[#This Row],[Bonus Food/hr]],-1,0)),0)</f>
        <v>34752</v>
      </c>
      <c r="J19" s="97">
        <f ca="1">OFFSET(TblProd[[#This Row],[Lumber]],-1,0)+OFFSET(TblProd[[#This Row],[Lumber/hr]],-1,0) - TblProd[[#This Row],[Expenses Lumber]] + SUM(TblConstr[[#This Row],[Dest Hom]:[Dest Doc]])*TblConstr[[#This Row],[CPA Lumber -DB]]*tech_3_3_2*TblTech[[#This Row],[3-3]]</f>
        <v>2680</v>
      </c>
      <c r="K19" s="97">
        <f ca="1">OFFSET(TblProd[[#This Row],[Mana]],-1,0)+OFFSET(TblProd[[#This Row],[Mana/hr]],-1,0)- TblProd[[#This Row],[Expenses Mana]]</f>
        <v>231</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9517</v>
      </c>
      <c r="T19" s="97">
        <f ca="1">ROUND(TblProd[[#This Row],[Raw Food/hr]]*(1+TblProd[[#This Row],[Bonus Food/hr]])-TblProd[[#This Row],[Food decay]]-TblProd[[#This Row],[Food eaten]],0)</f>
        <v>-550</v>
      </c>
      <c r="U19" s="97">
        <f ca="1">ROUND(TblProd[[#This Row],[Raw Lumber/hr]]*(1+TblProd[[#This Row],[Bonus Lumber/hr]])-TblProd[[#This Row],[Lumber rot]],0)</f>
        <v>873</v>
      </c>
      <c r="V19" s="97">
        <f ca="1">ROUND(TblProd[[#This Row],[Raw Mana/hr]]*(1+TblProd[[#This Row],[Bonus Mana/hr]])-TblProd[[#This Row],[Mana drain]],0)</f>
        <v>370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8652.6</v>
      </c>
      <c r="AB19" s="97">
        <f ca="1">TblConstr[[#This Row],[Tot Farm]]*farm_food + TblConstr[[#This Row],[Tot Doc]]*dock_food</f>
        <v>400</v>
      </c>
      <c r="AC19" s="97">
        <f ca="1">TblConstr[[#This Row],[Tot Ly]]*ly_lumber + TblConstr[[#This Row],[Tot Hav]]*fh_lumber</f>
        <v>1000</v>
      </c>
      <c r="AD19" s="97">
        <f ca="1">OFFSET(TblConstr[[#This Row],[Tot Tow]],1,0)*(tower_mana + tech_4_5*TblTech[[#This Row],[4-5]]) + OFFSET(TblConstr[[#This Row],[Tot WG]],1,0)*wg_mana_prod</f>
        <v>375</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0.1</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9" s="159">
        <f ca="1">race_lumber_bonus+ IF(TblMagic[[#This Row],[Active Gaia''s Blessing]]&gt;0,gaias_blessing_lumber)+ tech_1_3*TblTech[[#This Row],[1-3]] + tech_1_6*TblTech[[#This Row],[1-6]] + tech_3_3*TblTech[[#This Row],[3-3]]</f>
        <v>-0.1</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0.15</v>
      </c>
      <c r="AN19" s="145"/>
      <c r="AO19" s="97">
        <f ca="1">TblProd[[#This Row],[Food]]*food_decay * (1 + tech_2_1*TblTech[[#This Row],[2-1]] + tech_2_8*TblTech[[#This Row],[2-8]])</f>
        <v>347.52</v>
      </c>
      <c r="AP19" s="97">
        <f ca="1">(1+race_food_consumption)*TblPop[[#This Row],[Total]]*food_per_person*(1+tech_1_10*TblTech[[#This Row],[1-10]]+tech_7_5*TblTech[[#This Row],[7-5]])</f>
        <v>612.5</v>
      </c>
      <c r="AQ19" s="97">
        <f ca="1">TblProd[[#This Row],[Lumber]]*lumber_rot * (1 + tech_2_1*TblTech[[#This Row],[2-1]] + tech_2_8*TblTech[[#This Row],[2-8]] + tech_5_2*TblTech[[#This Row],[5-2]])</f>
        <v>26.8</v>
      </c>
      <c r="AR19" s="97">
        <f ca="1">TblProd[[#This Row],[Mana]]*mana_drain * (1 + tech_2_1*TblTech[[#This Row],[2-1]] + tech_2_8*TblTech[[#This Row],[2-8]])</f>
        <v>4.62</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625</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45430.374999999964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51651</v>
      </c>
      <c r="BJ19" s="97">
        <f ca="1">TblProd[[#This Row],[Food]]</f>
        <v>34752</v>
      </c>
      <c r="BK19" s="97">
        <f ca="1">TblProd[[#This Row],[Lumber]]</f>
        <v>2680</v>
      </c>
      <c r="BL19" s="97">
        <f ca="1">TblProd[[#This Row],[Mana]]</f>
        <v>231</v>
      </c>
      <c r="BM19" s="97">
        <f ca="1">TblProd[[#This Row],[Ore]]</f>
        <v>0</v>
      </c>
    </row>
    <row r="20" spans="1:65" x14ac:dyDescent="0.2">
      <c r="A20" s="140">
        <v>17</v>
      </c>
      <c r="B20" s="155">
        <f ca="1">TblImps[[#This Row],[Time]]</f>
        <v>45430.416666666628</v>
      </c>
      <c r="C20" s="156"/>
      <c r="D20" s="157"/>
      <c r="E20" s="97">
        <f ca="1">TblConstr[[#This Row],[Land]]</f>
        <v>250</v>
      </c>
      <c r="F20" s="97">
        <f ca="1">TblPop[[#This Row],[Peasants]]</f>
        <v>2177</v>
      </c>
      <c r="G20" s="97">
        <f ca="1">TblMili[[#This Row],[Networth (2)]]</f>
        <v>5925</v>
      </c>
      <c r="H20" s="97">
        <f ca="1">OFFSET(TblProd[[#This Row],[Platinum]],-1,0)+OFFSET(TblProd[[#This Row],[Plat/hr]],-1,0) - TblProd[[#This Row],[Expenses Platinum]] + IF(TblProd[[#This Row],[Plat Bonus]],TblPop[[#This Row],[Peasants]]*4) + SUM(TblConstr[[#This Row],[Dest Hom]:[Dest Doc]])*TblConstr[[#This Row],[CPA Platinum -DB]]*tech_3_3_2*TblTech[[#This Row],[3-3]]</f>
        <v>61168</v>
      </c>
      <c r="I20" s="97">
        <f ca="1">OFFSET(TblProd[[#This Row],[Food]],-1,0)+OFFSET(TblProd[[#This Row],[Food/hr]],-1,0)+ROUNDUP((TblConstr[[#This Row],[Farms]]*80+TblConstr[[#This Row],[Docks]]*35)*(1+OFFSET(TblProd[[#This Row],[Bonus Food/hr]],-1,0)),0)</f>
        <v>34202</v>
      </c>
      <c r="J20" s="97">
        <f ca="1">OFFSET(TblProd[[#This Row],[Lumber]],-1,0)+OFFSET(TblProd[[#This Row],[Lumber/hr]],-1,0) - TblProd[[#This Row],[Expenses Lumber]] + SUM(TblConstr[[#This Row],[Dest Hom]:[Dest Doc]])*TblConstr[[#This Row],[CPA Lumber -DB]]*tech_3_3_2*TblTech[[#This Row],[3-3]]</f>
        <v>3553</v>
      </c>
      <c r="K20" s="97">
        <f ca="1">OFFSET(TblProd[[#This Row],[Mana]],-1,0)+OFFSET(TblProd[[#This Row],[Mana/hr]],-1,0)- TblProd[[#This Row],[Expenses Mana]]</f>
        <v>601</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9930</v>
      </c>
      <c r="T20" s="97">
        <f ca="1">ROUND(TblProd[[#This Row],[Raw Food/hr]]*(1+TblProd[[#This Row],[Bonus Food/hr]])-TblProd[[#This Row],[Food decay]]-TblProd[[#This Row],[Food eaten]],0)</f>
        <v>-584</v>
      </c>
      <c r="U20" s="97">
        <f ca="1">ROUND(TblProd[[#This Row],[Raw Lumber/hr]]*(1+TblProd[[#This Row],[Bonus Lumber/hr]])-TblProd[[#This Row],[Lumber rot]],0)</f>
        <v>864</v>
      </c>
      <c r="V20" s="97">
        <f ca="1">ROUND(TblProd[[#This Row],[Raw Mana/hr]]*(1+TblProd[[#This Row],[Bonus Mana/hr]])-TblProd[[#This Row],[Mana drain]],0)</f>
        <v>363</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9027.9000000000015</v>
      </c>
      <c r="AB20" s="97">
        <f ca="1">TblConstr[[#This Row],[Tot Farm]]*farm_food + TblConstr[[#This Row],[Tot Doc]]*dock_food</f>
        <v>400</v>
      </c>
      <c r="AC20" s="97">
        <f ca="1">TblConstr[[#This Row],[Tot Ly]]*ly_lumber + TblConstr[[#This Row],[Tot Hav]]*fh_lumber</f>
        <v>1000</v>
      </c>
      <c r="AD20" s="97">
        <f ca="1">OFFSET(TblConstr[[#This Row],[Tot Tow]],1,0)*(tower_mana + tech_4_5*TblTech[[#This Row],[4-5]]) + OFFSET(TblConstr[[#This Row],[Tot WG]],1,0)*wg_mana_prod</f>
        <v>375</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0.1</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0" s="159">
        <f ca="1">race_lumber_bonus+ IF(TblMagic[[#This Row],[Active Gaia''s Blessing]]&gt;0,gaias_blessing_lumber)+ tech_1_3*TblTech[[#This Row],[1-3]] + tech_1_6*TblTech[[#This Row],[1-6]] + tech_3_3*TblTech[[#This Row],[3-3]]</f>
        <v>-0.1</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0.15</v>
      </c>
      <c r="AN20" s="145"/>
      <c r="AO20" s="97">
        <f ca="1">TblProd[[#This Row],[Food]]*food_decay * (1 + tech_2_1*TblTech[[#This Row],[2-1]] + tech_2_8*TblTech[[#This Row],[2-8]])</f>
        <v>342.02</v>
      </c>
      <c r="AP20" s="97">
        <f ca="1">(1+race_food_consumption)*TblPop[[#This Row],[Total]]*food_per_person*(1+tech_1_10*TblTech[[#This Row],[1-10]]+tech_7_5*TblTech[[#This Row],[7-5]])</f>
        <v>652.25</v>
      </c>
      <c r="AQ20" s="97">
        <f ca="1">TblProd[[#This Row],[Lumber]]*lumber_rot * (1 + tech_2_1*TblTech[[#This Row],[2-1]] + tech_2_8*TblTech[[#This Row],[2-8]] + tech_5_2*TblTech[[#This Row],[5-2]])</f>
        <v>35.53</v>
      </c>
      <c r="AR20" s="97">
        <f ca="1">TblProd[[#This Row],[Mana]]*mana_drain * (1 + tech_2_1*TblTech[[#This Row],[2-1]] + tech_2_8*TblTech[[#This Row],[2-8]])</f>
        <v>12.02</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45430.416666666628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61168</v>
      </c>
      <c r="BJ20" s="97">
        <f ca="1">TblProd[[#This Row],[Food]]</f>
        <v>34202</v>
      </c>
      <c r="BK20" s="97">
        <f ca="1">TblProd[[#This Row],[Lumber]]</f>
        <v>3553</v>
      </c>
      <c r="BL20" s="97">
        <f ca="1">TblProd[[#This Row],[Mana]]</f>
        <v>601</v>
      </c>
      <c r="BM20" s="97">
        <f ca="1">TblProd[[#This Row],[Ore]]</f>
        <v>0</v>
      </c>
    </row>
    <row r="21" spans="1:65" x14ac:dyDescent="0.2">
      <c r="A21" s="140">
        <v>18</v>
      </c>
      <c r="B21" s="155">
        <f ca="1">TblImps[[#This Row],[Time]]</f>
        <v>45430.458333333292</v>
      </c>
      <c r="C21" s="156"/>
      <c r="D21" s="157"/>
      <c r="E21" s="97">
        <f ca="1">TblConstr[[#This Row],[Land]]</f>
        <v>274</v>
      </c>
      <c r="F21" s="97">
        <f ca="1">TblPop[[#This Row],[Peasants]]</f>
        <v>2319</v>
      </c>
      <c r="G21" s="97">
        <f ca="1">TblMili[[#This Row],[Networth (2)]]</f>
        <v>6405</v>
      </c>
      <c r="H21" s="97">
        <f ca="1">OFFSET(TblProd[[#This Row],[Platinum]],-1,0)+OFFSET(TblProd[[#This Row],[Plat/hr]],-1,0) - TblProd[[#This Row],[Expenses Platinum]] + IF(TblProd[[#This Row],[Plat Bonus]],TblPop[[#This Row],[Peasants]]*4) + SUM(TblConstr[[#This Row],[Dest Hom]:[Dest Doc]])*TblConstr[[#This Row],[CPA Platinum -DB]]*tech_3_3_2*TblTech[[#This Row],[3-3]]</f>
        <v>980</v>
      </c>
      <c r="I21" s="97">
        <f ca="1">OFFSET(TblProd[[#This Row],[Food]],-1,0)+OFFSET(TblProd[[#This Row],[Food/hr]],-1,0)+ROUNDUP((TblConstr[[#This Row],[Farms]]*80+TblConstr[[#This Row],[Docks]]*35)*(1+OFFSET(TblProd[[#This Row],[Bonus Food/hr]],-1,0)),0)</f>
        <v>33618</v>
      </c>
      <c r="J21" s="97">
        <f ca="1">OFFSET(TblProd[[#This Row],[Lumber]],-1,0)+OFFSET(TblProd[[#This Row],[Lumber/hr]],-1,0) - TblProd[[#This Row],[Expenses Lumber]] + SUM(TblConstr[[#This Row],[Dest Hom]:[Dest Doc]])*TblConstr[[#This Row],[CPA Lumber -DB]]*tech_3_3_2*TblTech[[#This Row],[3-3]]</f>
        <v>3289</v>
      </c>
      <c r="K21" s="97">
        <f ca="1">OFFSET(TblProd[[#This Row],[Mana]],-1,0)+OFFSET(TblProd[[#This Row],[Mana/hr]],-1,0)- TblProd[[#This Row],[Expenses Mana]]</f>
        <v>964</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10352</v>
      </c>
      <c r="T21" s="97">
        <f ca="1">ROUND(TblProd[[#This Row],[Raw Food/hr]]*(1+TblProd[[#This Row],[Bonus Food/hr]])-TblProd[[#This Row],[Food decay]]-TblProd[[#This Row],[Food eaten]],0)</f>
        <v>-549</v>
      </c>
      <c r="U21" s="97">
        <f ca="1">ROUND(TblProd[[#This Row],[Raw Lumber/hr]]*(1+TblProd[[#This Row],[Bonus Lumber/hr]])-TblProd[[#This Row],[Lumber rot]],0)</f>
        <v>867</v>
      </c>
      <c r="V21" s="97">
        <f ca="1">ROUND(TblProd[[#This Row],[Raw Mana/hr]]*(1+TblProd[[#This Row],[Bonus Mana/hr]])-TblProd[[#This Row],[Mana drain]],0)</f>
        <v>356</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9411.2999999999993</v>
      </c>
      <c r="AB21" s="97">
        <f ca="1">TblConstr[[#This Row],[Tot Farm]]*farm_food + TblConstr[[#This Row],[Tot Doc]]*dock_food</f>
        <v>400</v>
      </c>
      <c r="AC21" s="97">
        <f ca="1">TblConstr[[#This Row],[Tot Ly]]*ly_lumber + TblConstr[[#This Row],[Tot Hav]]*fh_lumber</f>
        <v>1000</v>
      </c>
      <c r="AD21" s="97">
        <f ca="1">OFFSET(TblConstr[[#This Row],[Tot Tow]],1,0)*(tower_mana + tech_4_5*TblTech[[#This Row],[4-5]]) + OFFSET(TblConstr[[#This Row],[Tot WG]],1,0)*wg_mana_prod</f>
        <v>375</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0.1</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1" s="159">
        <f ca="1">race_lumber_bonus+ IF(TblMagic[[#This Row],[Active Gaia''s Blessing]]&gt;0,gaias_blessing_lumber)+ tech_1_3*TblTech[[#This Row],[1-3]] + tech_1_6*TblTech[[#This Row],[1-6]] + tech_3_3*TblTech[[#This Row],[3-3]]</f>
        <v>-0.1</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0.15</v>
      </c>
      <c r="AN21" s="145"/>
      <c r="AO21" s="97">
        <f ca="1">TblProd[[#This Row],[Food]]*food_decay * (1 + tech_2_1*TblTech[[#This Row],[2-1]] + tech_2_8*TblTech[[#This Row],[2-8]])</f>
        <v>336.18</v>
      </c>
      <c r="AP21" s="97">
        <f ca="1">(1+race_food_consumption)*TblPop[[#This Row],[Total]]*food_per_person*(1+tech_1_10*TblTech[[#This Row],[1-10]]+tech_7_5*TblTech[[#This Row],[7-5]])</f>
        <v>623.25</v>
      </c>
      <c r="AQ21" s="97">
        <f ca="1">TblProd[[#This Row],[Lumber]]*lumber_rot * (1 + tech_2_1*TblTech[[#This Row],[2-1]] + tech_2_8*TblTech[[#This Row],[2-8]] + tech_5_2*TblTech[[#This Row],[5-2]])</f>
        <v>32.89</v>
      </c>
      <c r="AR21" s="97">
        <f ca="1">TblProd[[#This Row],[Mana]]*mana_drain * (1 + tech_2_1*TblTech[[#This Row],[2-1]] + tech_2_8*TblTech[[#This Row],[2-8]])</f>
        <v>19.28</v>
      </c>
      <c r="AS21" s="157"/>
      <c r="AT21" s="97">
        <f ca="1">TblExplore[[#This Row],[Platinum (2)]]+TblConstr[[#This Row],[Total Plat Cost]]+TblMili[[#This Row],[Plat Cost]]+TblRezone[[#This Row],[Platinum cost]]+TblImps[[#This Row],[P1]]-TblProd[[#This Row],[Bank Plat]]</f>
        <v>70118</v>
      </c>
      <c r="AU21" s="97">
        <f ca="1">TblConstr[[#This Row],[Total Lum Cost]]+TblImps[[#This Row],[L1]]-TblProd[[#This Row],[Bank Lumber]] + Military!$CL$25*TblMili[[#This Row],[Sec. rec. Cost]]</f>
        <v>1128</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45430.458333333292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980</v>
      </c>
      <c r="BJ21" s="97">
        <f ca="1">TblProd[[#This Row],[Food]]</f>
        <v>33618</v>
      </c>
      <c r="BK21" s="97">
        <f ca="1">TblProd[[#This Row],[Lumber]]</f>
        <v>3289</v>
      </c>
      <c r="BL21" s="97">
        <f ca="1">TblProd[[#This Row],[Mana]]</f>
        <v>964</v>
      </c>
      <c r="BM21" s="97">
        <f ca="1">TblProd[[#This Row],[Ore]]</f>
        <v>0</v>
      </c>
    </row>
    <row r="22" spans="1:65" x14ac:dyDescent="0.2">
      <c r="A22" s="140">
        <v>19</v>
      </c>
      <c r="B22" s="155">
        <f ca="1">TblImps[[#This Row],[Time]]</f>
        <v>45430.499999999956</v>
      </c>
      <c r="C22" s="156"/>
      <c r="D22" s="157"/>
      <c r="E22" s="97">
        <f ca="1">TblConstr[[#This Row],[Land]]</f>
        <v>275</v>
      </c>
      <c r="F22" s="97">
        <f ca="1">TblPop[[#This Row],[Peasants]]</f>
        <v>2470</v>
      </c>
      <c r="G22" s="97">
        <f ca="1">TblMili[[#This Row],[Networth (2)]]</f>
        <v>6425</v>
      </c>
      <c r="H22" s="97">
        <f ca="1">OFFSET(TblProd[[#This Row],[Platinum]],-1,0)+OFFSET(TblProd[[#This Row],[Plat/hr]],-1,0) - TblProd[[#This Row],[Expenses Platinum]] + IF(TblProd[[#This Row],[Plat Bonus]],TblPop[[#This Row],[Peasants]]*4) + SUM(TblConstr[[#This Row],[Dest Hom]:[Dest Doc]])*TblConstr[[#This Row],[CPA Platinum -DB]]*tech_3_3_2*TblTech[[#This Row],[3-3]]</f>
        <v>1245</v>
      </c>
      <c r="I22" s="97">
        <f ca="1">OFFSET(TblProd[[#This Row],[Food]],-1,0)+OFFSET(TblProd[[#This Row],[Food/hr]],-1,0)+ROUNDUP((TblConstr[[#This Row],[Farms]]*80+TblConstr[[#This Row],[Docks]]*35)*(1+OFFSET(TblProd[[#This Row],[Bonus Food/hr]],-1,0)),0)</f>
        <v>33069</v>
      </c>
      <c r="J22" s="97">
        <f ca="1">OFFSET(TblProd[[#This Row],[Lumber]],-1,0)+OFFSET(TblProd[[#This Row],[Lumber/hr]],-1,0) - TblProd[[#This Row],[Expenses Lumber]] + SUM(TblConstr[[#This Row],[Dest Hom]:[Dest Doc]])*TblConstr[[#This Row],[CPA Lumber -DB]]*tech_3_3_2*TblTech[[#This Row],[3-3]]</f>
        <v>4109</v>
      </c>
      <c r="K22" s="97">
        <f ca="1">OFFSET(TblProd[[#This Row],[Mana]],-1,0)+OFFSET(TblProd[[#This Row],[Mana/hr]],-1,0)- TblProd[[#This Row],[Expenses Mana]]</f>
        <v>1320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10800</v>
      </c>
      <c r="T22" s="97">
        <f ca="1">ROUND(TblProd[[#This Row],[Raw Food/hr]]*(1+TblProd[[#This Row],[Bonus Food/hr]])-TblProd[[#This Row],[Food decay]]-TblProd[[#This Row],[Food eaten]],0)</f>
        <v>-576</v>
      </c>
      <c r="U22" s="97">
        <f ca="1">ROUND(TblProd[[#This Row],[Raw Lumber/hr]]*(1+TblProd[[#This Row],[Bonus Lumber/hr]])-TblProd[[#This Row],[Lumber rot]],0)</f>
        <v>859</v>
      </c>
      <c r="V22" s="97">
        <f ca="1">ROUND(TblProd[[#This Row],[Raw Mana/hr]]*(1+TblProd[[#This Row],[Bonus Mana/hr]])-TblProd[[#This Row],[Mana drain]],0)</f>
        <v>349</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9819</v>
      </c>
      <c r="AB22" s="97">
        <f ca="1">TblConstr[[#This Row],[Tot Farm]]*farm_food + TblConstr[[#This Row],[Tot Doc]]*dock_food</f>
        <v>400</v>
      </c>
      <c r="AC22" s="97">
        <f ca="1">TblConstr[[#This Row],[Tot Ly]]*ly_lumber + TblConstr[[#This Row],[Tot Hav]]*fh_lumber</f>
        <v>1000</v>
      </c>
      <c r="AD22" s="97">
        <f ca="1">OFFSET(TblConstr[[#This Row],[Tot Tow]],1,0)*(tower_mana + tech_4_5*TblTech[[#This Row],[4-5]]) + OFFSET(TblConstr[[#This Row],[Tot WG]],1,0)*wg_mana_prod</f>
        <v>375</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0.1</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2" s="159">
        <f ca="1">race_lumber_bonus+ IF(TblMagic[[#This Row],[Active Gaia''s Blessing]]&gt;0,gaias_blessing_lumber)+ tech_1_3*TblTech[[#This Row],[1-3]] + tech_1_6*TblTech[[#This Row],[1-6]] + tech_3_3*TblTech[[#This Row],[3-3]]</f>
        <v>-0.1</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0.15</v>
      </c>
      <c r="AN22" s="145"/>
      <c r="AO22" s="97">
        <f ca="1">TblProd[[#This Row],[Food]]*food_decay * (1 + tech_2_1*TblTech[[#This Row],[2-1]] + tech_2_8*TblTech[[#This Row],[2-8]])</f>
        <v>330.69</v>
      </c>
      <c r="AP22" s="97">
        <f ca="1">(1+race_food_consumption)*TblPop[[#This Row],[Total]]*food_per_person*(1+tech_1_10*TblTech[[#This Row],[1-10]]+tech_7_5*TblTech[[#This Row],[7-5]])</f>
        <v>655.75</v>
      </c>
      <c r="AQ22" s="97">
        <f ca="1">TblProd[[#This Row],[Lumber]]*lumber_rot * (1 + tech_2_1*TblTech[[#This Row],[2-1]] + tech_2_8*TblTech[[#This Row],[2-8]] + tech_5_2*TblTech[[#This Row],[5-2]])</f>
        <v>41.09</v>
      </c>
      <c r="AR22" s="97">
        <f ca="1">TblProd[[#This Row],[Mana]]*mana_drain * (1 + tech_2_1*TblTech[[#This Row],[2-1]] + tech_2_8*TblTech[[#This Row],[2-8]])</f>
        <v>26.400000000000002</v>
      </c>
      <c r="AS22" s="157"/>
      <c r="AT22" s="97">
        <f ca="1">TblExplore[[#This Row],[Platinum (2)]]+TblConstr[[#This Row],[Total Plat Cost]]+TblMili[[#This Row],[Plat Cost]]+TblRezone[[#This Row],[Platinum cost]]+TblImps[[#This Row],[P1]]-TblProd[[#This Row],[Bank Plat]]</f>
        <v>10087</v>
      </c>
      <c r="AU22" s="97">
        <f ca="1">TblConstr[[#This Row],[Total Lum Cost]]+TblImps[[#This Row],[L1]]-TblProd[[#This Row],[Bank Lumber]] + Military!$CL$25*TblMili[[#This Row],[Sec. rec. Cost]]</f>
        <v>47</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45430.499999999956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1245</v>
      </c>
      <c r="BJ22" s="97">
        <f ca="1">TblProd[[#This Row],[Food]]</f>
        <v>33069</v>
      </c>
      <c r="BK22" s="97">
        <f ca="1">TblProd[[#This Row],[Lumber]]</f>
        <v>4109</v>
      </c>
      <c r="BL22" s="97">
        <f ca="1">TblProd[[#This Row],[Mana]]</f>
        <v>1320</v>
      </c>
      <c r="BM22" s="97">
        <f ca="1">TblProd[[#This Row],[Ore]]</f>
        <v>0</v>
      </c>
    </row>
    <row r="23" spans="1:65" x14ac:dyDescent="0.2">
      <c r="A23" s="140">
        <v>20</v>
      </c>
      <c r="B23" s="155">
        <f ca="1">TblImps[[#This Row],[Time]]</f>
        <v>45430.541666666621</v>
      </c>
      <c r="C23" s="156"/>
      <c r="D23" s="157"/>
      <c r="E23" s="97">
        <f ca="1">TblConstr[[#This Row],[Land]]</f>
        <v>276</v>
      </c>
      <c r="F23" s="97">
        <f ca="1">TblPop[[#This Row],[Peasants]]</f>
        <v>2630</v>
      </c>
      <c r="G23" s="97">
        <f ca="1">TblMili[[#This Row],[Networth (2)]]</f>
        <v>6445</v>
      </c>
      <c r="H23" s="97">
        <f ca="1">OFFSET(TblProd[[#This Row],[Platinum]],-1,0)+OFFSET(TblProd[[#This Row],[Plat/hr]],-1,0) - TblProd[[#This Row],[Expenses Platinum]] + IF(TblProd[[#This Row],[Plat Bonus]],TblPop[[#This Row],[Peasants]]*4) + SUM(TblConstr[[#This Row],[Dest Hom]:[Dest Doc]])*TblConstr[[#This Row],[CPA Platinum -DB]]*tech_3_3_2*TblTech[[#This Row],[3-3]]</f>
        <v>1024</v>
      </c>
      <c r="I23" s="97">
        <f ca="1">OFFSET(TblProd[[#This Row],[Food]],-1,0)+OFFSET(TblProd[[#This Row],[Food/hr]],-1,0)+ROUNDUP((TblConstr[[#This Row],[Farms]]*80+TblConstr[[#This Row],[Docks]]*35)*(1+OFFSET(TblProd[[#This Row],[Bonus Food/hr]],-1,0)),0)</f>
        <v>32493</v>
      </c>
      <c r="J23" s="97">
        <f ca="1">OFFSET(TblProd[[#This Row],[Lumber]],-1,0)+OFFSET(TblProd[[#This Row],[Lumber/hr]],-1,0) - TblProd[[#This Row],[Expenses Lumber]] + SUM(TblConstr[[#This Row],[Dest Hom]:[Dest Doc]])*TblConstr[[#This Row],[CPA Lumber -DB]]*tech_3_3_2*TblTech[[#This Row],[3-3]]</f>
        <v>4921</v>
      </c>
      <c r="K23" s="97">
        <f ca="1">OFFSET(TblProd[[#This Row],[Mana]],-1,0)+OFFSET(TblProd[[#This Row],[Mana/hr]],-1,0)- TblProd[[#This Row],[Expenses Mana]]</f>
        <v>1669</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11276</v>
      </c>
      <c r="T23" s="97">
        <f ca="1">ROUND(TblProd[[#This Row],[Raw Food/hr]]*(1+TblProd[[#This Row],[Bonus Food/hr]])-TblProd[[#This Row],[Food decay]]-TblProd[[#This Row],[Food eaten]],0)</f>
        <v>-605</v>
      </c>
      <c r="U23" s="97">
        <f ca="1">ROUND(TblProd[[#This Row],[Raw Lumber/hr]]*(1+TblProd[[#This Row],[Bonus Lumber/hr]])-TblProd[[#This Row],[Lumber rot]],0)</f>
        <v>851</v>
      </c>
      <c r="V23" s="97">
        <f ca="1">ROUND(TblProd[[#This Row],[Raw Mana/hr]]*(1+TblProd[[#This Row],[Bonus Mana/hr]])-TblProd[[#This Row],[Mana drain]],0)</f>
        <v>342</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10251</v>
      </c>
      <c r="AB23" s="97">
        <f ca="1">TblConstr[[#This Row],[Tot Farm]]*farm_food + TblConstr[[#This Row],[Tot Doc]]*dock_food</f>
        <v>400</v>
      </c>
      <c r="AC23" s="97">
        <f ca="1">TblConstr[[#This Row],[Tot Ly]]*ly_lumber + TblConstr[[#This Row],[Tot Hav]]*fh_lumber</f>
        <v>1000</v>
      </c>
      <c r="AD23" s="97">
        <f ca="1">OFFSET(TblConstr[[#This Row],[Tot Tow]],1,0)*(tower_mana + tech_4_5*TblTech[[#This Row],[4-5]]) + OFFSET(TblConstr[[#This Row],[Tot WG]],1,0)*wg_mana_prod</f>
        <v>375</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0.1</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3" s="159">
        <f ca="1">race_lumber_bonus+ IF(TblMagic[[#This Row],[Active Gaia''s Blessing]]&gt;0,gaias_blessing_lumber)+ tech_1_3*TblTech[[#This Row],[1-3]] + tech_1_6*TblTech[[#This Row],[1-6]] + tech_3_3*TblTech[[#This Row],[3-3]]</f>
        <v>-0.1</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0.15</v>
      </c>
      <c r="AN23" s="145"/>
      <c r="AO23" s="97">
        <f ca="1">TblProd[[#This Row],[Food]]*food_decay * (1 + tech_2_1*TblTech[[#This Row],[2-1]] + tech_2_8*TblTech[[#This Row],[2-8]])</f>
        <v>324.93</v>
      </c>
      <c r="AP23" s="97">
        <f ca="1">(1+race_food_consumption)*TblPop[[#This Row],[Total]]*food_per_person*(1+tech_1_10*TblTech[[#This Row],[1-10]]+tech_7_5*TblTech[[#This Row],[7-5]])</f>
        <v>690</v>
      </c>
      <c r="AQ23" s="97">
        <f ca="1">TblProd[[#This Row],[Lumber]]*lumber_rot * (1 + tech_2_1*TblTech[[#This Row],[2-1]] + tech_2_8*TblTech[[#This Row],[2-8]] + tech_5_2*TblTech[[#This Row],[5-2]])</f>
        <v>49.21</v>
      </c>
      <c r="AR23" s="97">
        <f ca="1">TblProd[[#This Row],[Mana]]*mana_drain * (1 + tech_2_1*TblTech[[#This Row],[2-1]] + tech_2_8*TblTech[[#This Row],[2-8]])</f>
        <v>33.380000000000003</v>
      </c>
      <c r="AS23" s="157"/>
      <c r="AT23" s="97">
        <f ca="1">TblExplore[[#This Row],[Platinum (2)]]+TblConstr[[#This Row],[Total Plat Cost]]+TblMili[[#This Row],[Plat Cost]]+TblRezone[[#This Row],[Platinum cost]]+TblImps[[#This Row],[P1]]-TblProd[[#This Row],[Bank Plat]]</f>
        <v>11021</v>
      </c>
      <c r="AU23" s="97">
        <f ca="1">TblConstr[[#This Row],[Total Lum Cost]]+TblImps[[#This Row],[L1]]-TblProd[[#This Row],[Bank Lumber]] + Military!$CL$25*TblMili[[#This Row],[Sec. rec. Cost]]</f>
        <v>47</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45430.541666666621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1024</v>
      </c>
      <c r="BJ23" s="97">
        <f ca="1">TblProd[[#This Row],[Food]]</f>
        <v>32493</v>
      </c>
      <c r="BK23" s="97">
        <f ca="1">TblProd[[#This Row],[Lumber]]</f>
        <v>4921</v>
      </c>
      <c r="BL23" s="97">
        <f ca="1">TblProd[[#This Row],[Mana]]</f>
        <v>1669</v>
      </c>
      <c r="BM23" s="97">
        <f ca="1">TblProd[[#This Row],[Ore]]</f>
        <v>0</v>
      </c>
    </row>
    <row r="24" spans="1:65" x14ac:dyDescent="0.2">
      <c r="A24" s="140">
        <v>21</v>
      </c>
      <c r="B24" s="155">
        <f ca="1">TblImps[[#This Row],[Time]]</f>
        <v>45430.583333333285</v>
      </c>
      <c r="C24" s="156"/>
      <c r="D24" s="157"/>
      <c r="E24" s="97">
        <f ca="1">TblConstr[[#This Row],[Land]]</f>
        <v>277</v>
      </c>
      <c r="F24" s="97">
        <f ca="1">TblPop[[#This Row],[Peasants]]</f>
        <v>2801</v>
      </c>
      <c r="G24" s="97">
        <f ca="1">TblMili[[#This Row],[Networth (2)]]</f>
        <v>6465</v>
      </c>
      <c r="H24" s="97">
        <f ca="1">OFFSET(TblProd[[#This Row],[Platinum]],-1,0)+OFFSET(TblProd[[#This Row],[Plat/hr]],-1,0) - TblProd[[#This Row],[Expenses Platinum]] + IF(TblProd[[#This Row],[Plat Bonus]],TblPop[[#This Row],[Peasants]]*4) + SUM(TblConstr[[#This Row],[Dest Hom]:[Dest Doc]])*TblConstr[[#This Row],[CPA Platinum -DB]]*tech_3_3_2*TblTech[[#This Row],[3-3]]</f>
        <v>1231</v>
      </c>
      <c r="I24" s="97">
        <f ca="1">OFFSET(TblProd[[#This Row],[Food]],-1,0)+OFFSET(TblProd[[#This Row],[Food/hr]],-1,0)+ROUNDUP((TblConstr[[#This Row],[Farms]]*80+TblConstr[[#This Row],[Docks]]*35)*(1+OFFSET(TblProd[[#This Row],[Bonus Food/hr]],-1,0)),0)</f>
        <v>31888</v>
      </c>
      <c r="J24" s="97">
        <f ca="1">OFFSET(TblProd[[#This Row],[Lumber]],-1,0)+OFFSET(TblProd[[#This Row],[Lumber/hr]],-1,0) - TblProd[[#This Row],[Expenses Lumber]] + SUM(TblConstr[[#This Row],[Dest Hom]:[Dest Doc]])*TblConstr[[#This Row],[CPA Lumber -DB]]*tech_3_3_2*TblTech[[#This Row],[3-3]]</f>
        <v>5725</v>
      </c>
      <c r="K24" s="97">
        <f ca="1">OFFSET(TblProd[[#This Row],[Mana]],-1,0)+OFFSET(TblProd[[#This Row],[Mana/hr]],-1,0)- TblProd[[#This Row],[Expenses Mana]]</f>
        <v>2011</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11783</v>
      </c>
      <c r="T24" s="97">
        <f ca="1">ROUND(TblProd[[#This Row],[Raw Food/hr]]*(1+TblProd[[#This Row],[Bonus Food/hr]])-TblProd[[#This Row],[Food decay]]-TblProd[[#This Row],[Food eaten]],0)</f>
        <v>-636</v>
      </c>
      <c r="U24" s="97">
        <f ca="1">ROUND(TblProd[[#This Row],[Raw Lumber/hr]]*(1+TblProd[[#This Row],[Bonus Lumber/hr]])-TblProd[[#This Row],[Lumber rot]],0)</f>
        <v>843</v>
      </c>
      <c r="V24" s="97">
        <f ca="1">ROUND(TblProd[[#This Row],[Raw Mana/hr]]*(1+TblProd[[#This Row],[Bonus Mana/hr]])-TblProd[[#This Row],[Mana drain]],0)</f>
        <v>335</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10712.7</v>
      </c>
      <c r="AB24" s="97">
        <f ca="1">TblConstr[[#This Row],[Tot Farm]]*farm_food + TblConstr[[#This Row],[Tot Doc]]*dock_food</f>
        <v>400</v>
      </c>
      <c r="AC24" s="97">
        <f ca="1">TblConstr[[#This Row],[Tot Ly]]*ly_lumber + TblConstr[[#This Row],[Tot Hav]]*fh_lumber</f>
        <v>1000</v>
      </c>
      <c r="AD24" s="97">
        <f ca="1">OFFSET(TblConstr[[#This Row],[Tot Tow]],1,0)*(tower_mana + tech_4_5*TblTech[[#This Row],[4-5]]) + OFFSET(TblConstr[[#This Row],[Tot WG]],1,0)*wg_mana_prod</f>
        <v>375</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0.1</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4" s="159">
        <f ca="1">race_lumber_bonus+ IF(TblMagic[[#This Row],[Active Gaia''s Blessing]]&gt;0,gaias_blessing_lumber)+ tech_1_3*TblTech[[#This Row],[1-3]] + tech_1_6*TblTech[[#This Row],[1-6]] + tech_3_3*TblTech[[#This Row],[3-3]]</f>
        <v>-0.1</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0.15</v>
      </c>
      <c r="AN24" s="145"/>
      <c r="AO24" s="97">
        <f ca="1">TblProd[[#This Row],[Food]]*food_decay * (1 + tech_2_1*TblTech[[#This Row],[2-1]] + tech_2_8*TblTech[[#This Row],[2-8]])</f>
        <v>318.88</v>
      </c>
      <c r="AP24" s="97">
        <f ca="1">(1+race_food_consumption)*TblPop[[#This Row],[Total]]*food_per_person*(1+tech_1_10*TblTech[[#This Row],[1-10]]+tech_7_5*TblTech[[#This Row],[7-5]])</f>
        <v>727.25</v>
      </c>
      <c r="AQ24" s="97">
        <f ca="1">TblProd[[#This Row],[Lumber]]*lumber_rot * (1 + tech_2_1*TblTech[[#This Row],[2-1]] + tech_2_8*TblTech[[#This Row],[2-8]] + tech_5_2*TblTech[[#This Row],[5-2]])</f>
        <v>57.25</v>
      </c>
      <c r="AR24" s="97">
        <f ca="1">TblProd[[#This Row],[Mana]]*mana_drain * (1 + tech_2_1*TblTech[[#This Row],[2-1]] + tech_2_8*TblTech[[#This Row],[2-8]])</f>
        <v>40.22</v>
      </c>
      <c r="AS24" s="157"/>
      <c r="AT24" s="97">
        <f ca="1">TblExplore[[#This Row],[Platinum (2)]]+TblConstr[[#This Row],[Total Plat Cost]]+TblMili[[#This Row],[Plat Cost]]+TblRezone[[#This Row],[Platinum cost]]+TblImps[[#This Row],[P1]]-TblProd[[#This Row],[Bank Plat]]</f>
        <v>11069</v>
      </c>
      <c r="AU24" s="97">
        <f ca="1">TblConstr[[#This Row],[Total Lum Cost]]+TblImps[[#This Row],[L1]]-TblProd[[#This Row],[Bank Lumber]] + Military!$CL$25*TblMili[[#This Row],[Sec. rec. Cost]]</f>
        <v>47</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45430.583333333285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1231</v>
      </c>
      <c r="BJ24" s="97">
        <f ca="1">TblProd[[#This Row],[Food]]</f>
        <v>31888</v>
      </c>
      <c r="BK24" s="97">
        <f ca="1">TblProd[[#This Row],[Lumber]]</f>
        <v>5725</v>
      </c>
      <c r="BL24" s="97">
        <f ca="1">TblProd[[#This Row],[Mana]]</f>
        <v>2011</v>
      </c>
      <c r="BM24" s="97">
        <f ca="1">TblProd[[#This Row],[Ore]]</f>
        <v>0</v>
      </c>
    </row>
    <row r="25" spans="1:65" x14ac:dyDescent="0.2">
      <c r="A25" s="140">
        <v>22</v>
      </c>
      <c r="B25" s="155">
        <f ca="1">TblImps[[#This Row],[Time]]</f>
        <v>45430.624999999949</v>
      </c>
      <c r="C25" s="156"/>
      <c r="D25" s="157"/>
      <c r="E25" s="97">
        <f ca="1">TblConstr[[#This Row],[Land]]</f>
        <v>278</v>
      </c>
      <c r="F25" s="97">
        <f ca="1">TblPop[[#This Row],[Peasants]]</f>
        <v>2982</v>
      </c>
      <c r="G25" s="97">
        <f ca="1">TblMili[[#This Row],[Networth (2)]]</f>
        <v>6485</v>
      </c>
      <c r="H25" s="97">
        <f ca="1">OFFSET(TblProd[[#This Row],[Platinum]],-1,0)+OFFSET(TblProd[[#This Row],[Plat/hr]],-1,0) - TblProd[[#This Row],[Expenses Platinum]] + IF(TblProd[[#This Row],[Plat Bonus]],TblPop[[#This Row],[Peasants]]*4) + SUM(TblConstr[[#This Row],[Dest Hom]:[Dest Doc]])*TblConstr[[#This Row],[CPA Platinum -DB]]*tech_3_3_2*TblTech[[#This Row],[3-3]]</f>
        <v>9969</v>
      </c>
      <c r="I25" s="97">
        <f ca="1">OFFSET(TblProd[[#This Row],[Food]],-1,0)+OFFSET(TblProd[[#This Row],[Food/hr]],-1,0)+ROUNDUP((TblConstr[[#This Row],[Farms]]*80+TblConstr[[#This Row],[Docks]]*35)*(1+OFFSET(TblProd[[#This Row],[Bonus Food/hr]],-1,0)),0)</f>
        <v>31252</v>
      </c>
      <c r="J25" s="97">
        <f ca="1">OFFSET(TblProd[[#This Row],[Lumber]],-1,0)+OFFSET(TblProd[[#This Row],[Lumber/hr]],-1,0) - TblProd[[#This Row],[Expenses Lumber]] + SUM(TblConstr[[#This Row],[Dest Hom]:[Dest Doc]])*TblConstr[[#This Row],[CPA Lumber -DB]]*tech_3_3_2*TblTech[[#This Row],[3-3]]</f>
        <v>6521</v>
      </c>
      <c r="K25" s="97">
        <f ca="1">OFFSET(TblProd[[#This Row],[Mana]],-1,0)+OFFSET(TblProd[[#This Row],[Mana/hr]],-1,0)- TblProd[[#This Row],[Expenses Mana]]</f>
        <v>2346</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12321</v>
      </c>
      <c r="T25" s="97">
        <f ca="1">ROUND(TblProd[[#This Row],[Raw Food/hr]]*(1+TblProd[[#This Row],[Bonus Food/hr]])-TblProd[[#This Row],[Food decay]]-TblProd[[#This Row],[Food eaten]],0)</f>
        <v>-679</v>
      </c>
      <c r="U25" s="97">
        <f ca="1">ROUND(TblProd[[#This Row],[Raw Lumber/hr]]*(1+TblProd[[#This Row],[Bonus Lumber/hr]])-TblProd[[#This Row],[Lumber rot]],0)</f>
        <v>835</v>
      </c>
      <c r="V25" s="97">
        <f ca="1">ROUND(TblProd[[#This Row],[Raw Mana/hr]]*(1+TblProd[[#This Row],[Bonus Mana/hr]])-TblProd[[#This Row],[Mana drain]],0)</f>
        <v>328</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11201.400000000001</v>
      </c>
      <c r="AB25" s="97">
        <f ca="1">TblConstr[[#This Row],[Tot Farm]]*farm_food + TblConstr[[#This Row],[Tot Doc]]*dock_food</f>
        <v>400</v>
      </c>
      <c r="AC25" s="97">
        <f ca="1">TblConstr[[#This Row],[Tot Ly]]*ly_lumber + TblConstr[[#This Row],[Tot Hav]]*fh_lumber</f>
        <v>1000</v>
      </c>
      <c r="AD25" s="97">
        <f ca="1">OFFSET(TblConstr[[#This Row],[Tot Tow]],1,0)*(tower_mana + tech_4_5*TblTech[[#This Row],[4-5]]) + OFFSET(TblConstr[[#This Row],[Tot WG]],1,0)*wg_mana_prod</f>
        <v>375</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0.1</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5" s="159">
        <f ca="1">race_lumber_bonus+ IF(TblMagic[[#This Row],[Active Gaia''s Blessing]]&gt;0,gaias_blessing_lumber)+ tech_1_3*TblTech[[#This Row],[1-3]] + tech_1_6*TblTech[[#This Row],[1-6]] + tech_3_3*TblTech[[#This Row],[3-3]]</f>
        <v>-0.1</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0.15</v>
      </c>
      <c r="AN25" s="145"/>
      <c r="AO25" s="97">
        <f ca="1">TblProd[[#This Row],[Food]]*food_decay * (1 + tech_2_1*TblTech[[#This Row],[2-1]] + tech_2_8*TblTech[[#This Row],[2-8]])</f>
        <v>312.52</v>
      </c>
      <c r="AP25" s="97">
        <f ca="1">(1+race_food_consumption)*TblPop[[#This Row],[Total]]*food_per_person*(1+tech_1_10*TblTech[[#This Row],[1-10]]+tech_7_5*TblTech[[#This Row],[7-5]])</f>
        <v>776.5</v>
      </c>
      <c r="AQ25" s="97">
        <f ca="1">TblProd[[#This Row],[Lumber]]*lumber_rot * (1 + tech_2_1*TblTech[[#This Row],[2-1]] + tech_2_8*TblTech[[#This Row],[2-8]] + tech_5_2*TblTech[[#This Row],[5-2]])</f>
        <v>65.210000000000008</v>
      </c>
      <c r="AR25" s="97">
        <f ca="1">TblProd[[#This Row],[Mana]]*mana_drain * (1 + tech_2_1*TblTech[[#This Row],[2-1]] + tech_2_8*TblTech[[#This Row],[2-8]])</f>
        <v>46.92</v>
      </c>
      <c r="AS25" s="157"/>
      <c r="AT25" s="97">
        <f ca="1">TblExplore[[#This Row],[Platinum (2)]]+TblConstr[[#This Row],[Total Plat Cost]]+TblMili[[#This Row],[Plat Cost]]+TblRezone[[#This Row],[Platinum cost]]+TblImps[[#This Row],[P1]]-TblProd[[#This Row],[Bank Plat]]</f>
        <v>3045</v>
      </c>
      <c r="AU25" s="97">
        <f ca="1">TblConstr[[#This Row],[Total Lum Cost]]+TblImps[[#This Row],[L1]]-TblProd[[#This Row],[Bank Lumber]] + Military!$CL$25*TblMili[[#This Row],[Sec. rec. Cost]]</f>
        <v>47</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45430.624999999949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9969</v>
      </c>
      <c r="BJ25" s="97">
        <f ca="1">TblProd[[#This Row],[Food]]</f>
        <v>31252</v>
      </c>
      <c r="BK25" s="97">
        <f ca="1">TblProd[[#This Row],[Lumber]]</f>
        <v>6521</v>
      </c>
      <c r="BL25" s="97">
        <f ca="1">TblProd[[#This Row],[Mana]]</f>
        <v>2346</v>
      </c>
      <c r="BM25" s="97">
        <f ca="1">TblProd[[#This Row],[Ore]]</f>
        <v>0</v>
      </c>
    </row>
    <row r="26" spans="1:65" x14ac:dyDescent="0.2">
      <c r="A26" s="140">
        <v>23</v>
      </c>
      <c r="B26" s="155">
        <f ca="1">TblImps[[#This Row],[Time]]</f>
        <v>45430.666666666613</v>
      </c>
      <c r="C26" s="156"/>
      <c r="D26" s="157"/>
      <c r="E26" s="97">
        <f ca="1">TblConstr[[#This Row],[Land]]</f>
        <v>279</v>
      </c>
      <c r="F26" s="97">
        <f ca="1">TblPop[[#This Row],[Peasants]]</f>
        <v>3174</v>
      </c>
      <c r="G26" s="97">
        <f ca="1">TblMili[[#This Row],[Networth (2)]]</f>
        <v>6505</v>
      </c>
      <c r="H26" s="97">
        <f ca="1">OFFSET(TblProd[[#This Row],[Platinum]],-1,0)+OFFSET(TblProd[[#This Row],[Plat/hr]],-1,0) - TblProd[[#This Row],[Expenses Platinum]] + IF(TblProd[[#This Row],[Plat Bonus]],TblPop[[#This Row],[Peasants]]*4) + SUM(TblConstr[[#This Row],[Dest Hom]:[Dest Doc]])*TblConstr[[#This Row],[CPA Platinum -DB]]*tech_3_3_2*TblTech[[#This Row],[3-3]]</f>
        <v>20132</v>
      </c>
      <c r="I26" s="97">
        <f ca="1">OFFSET(TblProd[[#This Row],[Food]],-1,0)+OFFSET(TblProd[[#This Row],[Food/hr]],-1,0)+ROUNDUP((TblConstr[[#This Row],[Farms]]*80+TblConstr[[#This Row],[Docks]]*35)*(1+OFFSET(TblProd[[#This Row],[Bonus Food/hr]],-1,0)),0)</f>
        <v>30573</v>
      </c>
      <c r="J26" s="97">
        <f ca="1">OFFSET(TblProd[[#This Row],[Lumber]],-1,0)+OFFSET(TblProd[[#This Row],[Lumber/hr]],-1,0) - TblProd[[#This Row],[Expenses Lumber]] + SUM(TblConstr[[#This Row],[Dest Hom]:[Dest Doc]])*TblConstr[[#This Row],[CPA Lumber -DB]]*tech_3_3_2*TblTech[[#This Row],[3-3]]</f>
        <v>7308</v>
      </c>
      <c r="K26" s="97">
        <f ca="1">OFFSET(TblProd[[#This Row],[Mana]],-1,0)+OFFSET(TblProd[[#This Row],[Mana/hr]],-1,0)- TblProd[[#This Row],[Expenses Mana]]</f>
        <v>2674</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12891</v>
      </c>
      <c r="T26" s="97">
        <f ca="1">ROUND(TblProd[[#This Row],[Raw Food/hr]]*(1+TblProd[[#This Row],[Bonus Food/hr]])-TblProd[[#This Row],[Food decay]]-TblProd[[#This Row],[Food eaten]],0)</f>
        <v>-726</v>
      </c>
      <c r="U26" s="97">
        <f ca="1">ROUND(TblProd[[#This Row],[Raw Lumber/hr]]*(1+TblProd[[#This Row],[Bonus Lumber/hr]])-TblProd[[#This Row],[Lumber rot]],0)</f>
        <v>827</v>
      </c>
      <c r="V26" s="97">
        <f ca="1">ROUND(TblProd[[#This Row],[Raw Mana/hr]]*(1+TblProd[[#This Row],[Bonus Mana/hr]])-TblProd[[#This Row],[Mana drain]],0)</f>
        <v>322</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11719.800000000001</v>
      </c>
      <c r="AB26" s="97">
        <f ca="1">TblConstr[[#This Row],[Tot Farm]]*farm_food + TblConstr[[#This Row],[Tot Doc]]*dock_food</f>
        <v>400</v>
      </c>
      <c r="AC26" s="97">
        <f ca="1">TblConstr[[#This Row],[Tot Ly]]*ly_lumber + TblConstr[[#This Row],[Tot Hav]]*fh_lumber</f>
        <v>1000</v>
      </c>
      <c r="AD26" s="97">
        <f ca="1">OFFSET(TblConstr[[#This Row],[Tot Tow]],1,0)*(tower_mana + tech_4_5*TblTech[[#This Row],[4-5]]) + OFFSET(TblConstr[[#This Row],[Tot WG]],1,0)*wg_mana_prod</f>
        <v>375</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0.1</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6" s="159">
        <f ca="1">race_lumber_bonus+ IF(TblMagic[[#This Row],[Active Gaia''s Blessing]]&gt;0,gaias_blessing_lumber)+ tech_1_3*TblTech[[#This Row],[1-3]] + tech_1_6*TblTech[[#This Row],[1-6]] + tech_3_3*TblTech[[#This Row],[3-3]]</f>
        <v>-0.1</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0.15</v>
      </c>
      <c r="AN26" s="145"/>
      <c r="AO26" s="97">
        <f ca="1">TblProd[[#This Row],[Food]]*food_decay * (1 + tech_2_1*TblTech[[#This Row],[2-1]] + tech_2_8*TblTech[[#This Row],[2-8]])</f>
        <v>305.73</v>
      </c>
      <c r="AP26" s="97">
        <f ca="1">(1+race_food_consumption)*TblPop[[#This Row],[Total]]*food_per_person*(1+tech_1_10*TblTech[[#This Row],[1-10]]+tech_7_5*TblTech[[#This Row],[7-5]])</f>
        <v>830</v>
      </c>
      <c r="AQ26" s="97">
        <f ca="1">TblProd[[#This Row],[Lumber]]*lumber_rot * (1 + tech_2_1*TblTech[[#This Row],[2-1]] + tech_2_8*TblTech[[#This Row],[2-8]] + tech_5_2*TblTech[[#This Row],[5-2]])</f>
        <v>73.08</v>
      </c>
      <c r="AR26" s="97">
        <f ca="1">TblProd[[#This Row],[Mana]]*mana_drain * (1 + tech_2_1*TblTech[[#This Row],[2-1]] + tech_2_8*TblTech[[#This Row],[2-8]])</f>
        <v>53.480000000000004</v>
      </c>
      <c r="AS26" s="157"/>
      <c r="AT26" s="97">
        <f ca="1">TblExplore[[#This Row],[Platinum (2)]]+TblConstr[[#This Row],[Total Plat Cost]]+TblMili[[#This Row],[Plat Cost]]+TblRezone[[#This Row],[Platinum cost]]+TblImps[[#This Row],[P1]]-TblProd[[#This Row],[Bank Plat]]</f>
        <v>2158</v>
      </c>
      <c r="AU26" s="97">
        <f ca="1">TblConstr[[#This Row],[Total Lum Cost]]+TblImps[[#This Row],[L1]]-TblProd[[#This Row],[Bank Lumber]] + Military!$CL$25*TblMili[[#This Row],[Sec. rec. Cost]]</f>
        <v>48</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45430.666666666613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20132</v>
      </c>
      <c r="BJ26" s="97">
        <f ca="1">TblProd[[#This Row],[Food]]</f>
        <v>30573</v>
      </c>
      <c r="BK26" s="97">
        <f ca="1">TblProd[[#This Row],[Lumber]]</f>
        <v>7308</v>
      </c>
      <c r="BL26" s="97">
        <f ca="1">TblProd[[#This Row],[Mana]]</f>
        <v>2674</v>
      </c>
      <c r="BM26" s="97">
        <f ca="1">TblProd[[#This Row],[Ore]]</f>
        <v>0</v>
      </c>
    </row>
    <row r="27" spans="1:65" x14ac:dyDescent="0.2">
      <c r="A27" s="140">
        <v>24</v>
      </c>
      <c r="B27" s="155">
        <f ca="1">TblImps[[#This Row],[Time]]</f>
        <v>45430.708333333278</v>
      </c>
      <c r="C27" s="156">
        <v>1</v>
      </c>
      <c r="D27" s="157"/>
      <c r="E27" s="97">
        <f ca="1">TblConstr[[#This Row],[Land]]</f>
        <v>299</v>
      </c>
      <c r="F27" s="97">
        <f ca="1">TblPop[[#This Row],[Peasants]]</f>
        <v>3379</v>
      </c>
      <c r="G27" s="97">
        <f ca="1">TblMili[[#This Row],[Networth (2)]]</f>
        <v>6905</v>
      </c>
      <c r="H27" s="97">
        <f ca="1">OFFSET(TblProd[[#This Row],[Platinum]],-1,0)+OFFSET(TblProd[[#This Row],[Plat/hr]],-1,0) - TblProd[[#This Row],[Expenses Platinum]] + IF(TblProd[[#This Row],[Plat Bonus]],TblPop[[#This Row],[Peasants]]*4) + SUM(TblConstr[[#This Row],[Dest Hom]:[Dest Doc]])*TblConstr[[#This Row],[CPA Platinum -DB]]*tech_3_3_2*TblTech[[#This Row],[3-3]]</f>
        <v>26679</v>
      </c>
      <c r="I27" s="97">
        <f ca="1">OFFSET(TblProd[[#This Row],[Food]],-1,0)+OFFSET(TblProd[[#This Row],[Food/hr]],-1,0)+ROUNDUP((TblConstr[[#This Row],[Farms]]*80+TblConstr[[#This Row],[Docks]]*35)*(1+OFFSET(TblProd[[#This Row],[Bonus Food/hr]],-1,0)),0)</f>
        <v>29847</v>
      </c>
      <c r="J27" s="97">
        <f ca="1">OFFSET(TblProd[[#This Row],[Lumber]],-1,0)+OFFSET(TblProd[[#This Row],[Lumber/hr]],-1,0) - TblProd[[#This Row],[Expenses Lumber]] + SUM(TblConstr[[#This Row],[Dest Hom]:[Dest Doc]])*TblConstr[[#This Row],[CPA Lumber -DB]]*tech_3_3_2*TblTech[[#This Row],[3-3]]</f>
        <v>7075</v>
      </c>
      <c r="K27" s="97">
        <f ca="1">OFFSET(TblProd[[#This Row],[Mana]],-1,0)+OFFSET(TblProd[[#This Row],[Mana/hr]],-1,0)- TblProd[[#This Row],[Expenses Mana]]</f>
        <v>2996</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7" s="97">
        <f ca="1">MAX(3750,_xlfn.CEILING.MATH(TblProd[[#This Row],[Land]]*2.5+OFFSET(TblTech[[#This Row],[Sum of tech]],-1,0)*150))</f>
        <v>3750</v>
      </c>
      <c r="R27" s="145"/>
      <c r="S27" s="97">
        <f ca="1">ROUNDDOWN(TblProd[[#This Row],[Raw Plat/hr]]*(1+TblProd[[#This Row],[Bonus Plat/hr]]),0)</f>
        <v>16223</v>
      </c>
      <c r="T27" s="97">
        <f ca="1">ROUND(TblProd[[#This Row],[Raw Food/hr]]*(1+TblProd[[#This Row],[Bonus Food/hr]])-TblProd[[#This Row],[Food decay]]-TblProd[[#This Row],[Food eaten]],0)</f>
        <v>-768</v>
      </c>
      <c r="U27" s="97">
        <f ca="1">ROUND(TblProd[[#This Row],[Raw Lumber/hr]]*(1+TblProd[[#This Row],[Bonus Lumber/hr]])-TblProd[[#This Row],[Lumber rot]],0)</f>
        <v>829</v>
      </c>
      <c r="V27" s="97">
        <f ca="1">ROUND(TblProd[[#This Row],[Raw Mana/hr]]*(1+TblProd[[#This Row],[Bonus Mana/hr]])-TblProd[[#This Row],[Mana drain]],0)</f>
        <v>390</v>
      </c>
      <c r="W27" s="97">
        <f ca="1">ROUNDDOWN(TblProd[[#This Row],[Raw Ore/hr]]*(1+TblProd[[#This Row],[Bonux Ore/hr]]),0)</f>
        <v>0</v>
      </c>
      <c r="X27" s="97">
        <f ca="1">ROUNDDOWN(TblProd[[#This Row],[Raw Gems/hr]]*(1+TblProd[[#This Row],[Bonus Gems/hr]]),0)</f>
        <v>0</v>
      </c>
      <c r="Y27" s="158">
        <f ca="1">OFFSET(TblConstr[[#This Row],[Tot Doc]],1,0)*dock_boats_hr * (1 + tech_4_1*TblTech[[#This Row],[4-1]])</f>
        <v>0.25</v>
      </c>
      <c r="Z27" s="157"/>
      <c r="AA27" s="97">
        <f ca="1">TblPop[[#This Row],[Peasants]]*tax*TblPop[[#This Row],[Employment]] + (Construction!AZ28+Construction!BX28)*(alch_plat+(Magic!AM27&gt;0)*alchemist_flame_bonus)</f>
        <v>14748.300000000001</v>
      </c>
      <c r="AB27" s="97">
        <f ca="1">TblConstr[[#This Row],[Tot Farm]]*farm_food + TblConstr[[#This Row],[Tot Doc]]*dock_food</f>
        <v>400</v>
      </c>
      <c r="AC27" s="97">
        <f ca="1">TblConstr[[#This Row],[Tot Ly]]*ly_lumber + TblConstr[[#This Row],[Tot Hav]]*fh_lumber</f>
        <v>1000</v>
      </c>
      <c r="AD27" s="97">
        <f ca="1">OFFSET(TblConstr[[#This Row],[Tot Tow]],1,0)*(tower_mana + tech_4_5*TblTech[[#This Row],[4-5]]) + OFFSET(TblConstr[[#This Row],[Tot WG]],1,0)*wg_mana_prod</f>
        <v>450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0.1</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7" s="159">
        <f ca="1">race_lumber_bonus+ IF(TblMagic[[#This Row],[Active Gaia''s Blessing]]&gt;0,gaias_blessing_lumber)+ tech_1_3*TblTech[[#This Row],[1-3]] + tech_1_6*TblTech[[#This Row],[1-6]] + tech_3_3*TblTech[[#This Row],[3-3]]</f>
        <v>-0.1</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0.15</v>
      </c>
      <c r="AN27" s="145"/>
      <c r="AO27" s="97">
        <f ca="1">TblProd[[#This Row],[Food]]*food_decay * (1 + tech_2_1*TblTech[[#This Row],[2-1]] + tech_2_8*TblTech[[#This Row],[2-8]])</f>
        <v>298.47000000000003</v>
      </c>
      <c r="AP27" s="97">
        <f ca="1">(1+race_food_consumption)*TblPop[[#This Row],[Total]]*food_per_person*(1+tech_1_10*TblTech[[#This Row],[1-10]]+tech_7_5*TblTech[[#This Row],[7-5]])</f>
        <v>879.25</v>
      </c>
      <c r="AQ27" s="97">
        <f ca="1">TblProd[[#This Row],[Lumber]]*lumber_rot * (1 + tech_2_1*TblTech[[#This Row],[2-1]] + tech_2_8*TblTech[[#This Row],[2-8]] + tech_5_2*TblTech[[#This Row],[5-2]])</f>
        <v>70.75</v>
      </c>
      <c r="AR27" s="97">
        <f ca="1">TblProd[[#This Row],[Mana]]*mana_drain * (1 + tech_2_1*TblTech[[#This Row],[2-1]] + tech_2_8*TblTech[[#This Row],[2-8]])</f>
        <v>59.92</v>
      </c>
      <c r="AS27" s="157"/>
      <c r="AT27" s="97">
        <f ca="1">TblExplore[[#This Row],[Platinum (2)]]+TblConstr[[#This Row],[Total Plat Cost]]+TblMili[[#This Row],[Plat Cost]]+TblRezone[[#This Row],[Platinum cost]]+TblImps[[#This Row],[P1]]-TblProd[[#This Row],[Bank Plat]]</f>
        <v>19860</v>
      </c>
      <c r="AU27" s="97">
        <f ca="1">TblConstr[[#This Row],[Total Lum Cost]]+TblImps[[#This Row],[L1]]-TblProd[[#This Row],[Bank Lumber]] + Military!$CL$25*TblMili[[#This Row],[Sec. rec. Cost]]</f>
        <v>1060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45430.708333333278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26679</v>
      </c>
      <c r="BJ27" s="97">
        <f ca="1">TblProd[[#This Row],[Food]]</f>
        <v>29847</v>
      </c>
      <c r="BK27" s="97">
        <f ca="1">TblProd[[#This Row],[Lumber]]</f>
        <v>7075</v>
      </c>
      <c r="BL27" s="97">
        <f ca="1">TblProd[[#This Row],[Mana]]</f>
        <v>2996</v>
      </c>
      <c r="BM27" s="97">
        <f ca="1">TblProd[[#This Row],[Ore]]</f>
        <v>0</v>
      </c>
    </row>
    <row r="28" spans="1:65" x14ac:dyDescent="0.2">
      <c r="A28" s="140">
        <v>25</v>
      </c>
      <c r="B28" s="155">
        <f ca="1">TblImps[[#This Row],[Time]]</f>
        <v>45430.749999999942</v>
      </c>
      <c r="C28" s="156"/>
      <c r="D28" s="157"/>
      <c r="E28" s="97">
        <f ca="1">TblConstr[[#This Row],[Land]]</f>
        <v>299</v>
      </c>
      <c r="F28" s="97">
        <f ca="1">TblPop[[#This Row],[Peasants]]</f>
        <v>3590</v>
      </c>
      <c r="G28" s="97">
        <f ca="1">TblMili[[#This Row],[Networth (2)]]</f>
        <v>7230</v>
      </c>
      <c r="H28" s="97">
        <f ca="1">OFFSET(TblProd[[#This Row],[Platinum]],-1,0)+OFFSET(TblProd[[#This Row],[Plat/hr]],-1,0) - TblProd[[#This Row],[Expenses Platinum]] + IF(TblProd[[#This Row],[Plat Bonus]],TblPop[[#This Row],[Peasants]]*4) + SUM(TblConstr[[#This Row],[Dest Hom]:[Dest Doc]])*TblConstr[[#This Row],[CPA Platinum -DB]]*tech_3_3_2*TblTech[[#This Row],[3-3]]</f>
        <v>42902</v>
      </c>
      <c r="I28" s="97">
        <f ca="1">OFFSET(TblProd[[#This Row],[Food]],-1,0)+OFFSET(TblProd[[#This Row],[Food/hr]],-1,0)+ROUNDUP((TblConstr[[#This Row],[Farms]]*80+TblConstr[[#This Row],[Docks]]*35)*(1+OFFSET(TblProd[[#This Row],[Bonus Food/hr]],-1,0)),0)</f>
        <v>29259</v>
      </c>
      <c r="J28" s="97">
        <f ca="1">OFFSET(TblProd[[#This Row],[Lumber]],-1,0)+OFFSET(TblProd[[#This Row],[Lumber/hr]],-1,0) - TblProd[[#This Row],[Expenses Lumber]] + SUM(TblConstr[[#This Row],[Dest Hom]:[Dest Doc]])*TblConstr[[#This Row],[CPA Lumber -DB]]*tech_3_3_2*TblTech[[#This Row],[3-3]]</f>
        <v>7904</v>
      </c>
      <c r="K28" s="97">
        <f ca="1">OFFSET(TblProd[[#This Row],[Mana]],-1,0)+OFFSET(TblProd[[#This Row],[Mana/hr]],-1,0)- TblProd[[#This Row],[Expenses Mana]]</f>
        <v>3386</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0.25</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8" s="97">
        <f ca="1">MAX(3750,_xlfn.CEILING.MATH(TblProd[[#This Row],[Land]]*2.5+OFFSET(TblTech[[#This Row],[Sum of tech]],-1,0)*150))</f>
        <v>3750</v>
      </c>
      <c r="R28" s="145"/>
      <c r="S28" s="97">
        <f ca="1">ROUNDDOWN(TblProd[[#This Row],[Raw Plat/hr]]*(1+TblProd[[#This Row],[Bonus Plat/hr]]),0)</f>
        <v>16849</v>
      </c>
      <c r="T28" s="97">
        <f ca="1">ROUND(TblProd[[#This Row],[Raw Food/hr]]*(1+TblProd[[#This Row],[Bonus Food/hr]])-TblProd[[#This Row],[Food decay]]-TblProd[[#This Row],[Food eaten]],0)</f>
        <v>-618</v>
      </c>
      <c r="U28" s="97">
        <f ca="1">ROUND(TblProd[[#This Row],[Raw Lumber/hr]]*(1+TblProd[[#This Row],[Bonus Lumber/hr]])-TblProd[[#This Row],[Lumber rot]],0)</f>
        <v>821</v>
      </c>
      <c r="V28" s="97">
        <f ca="1">ROUND(TblProd[[#This Row],[Raw Mana/hr]]*(1+TblProd[[#This Row],[Bonus Mana/hr]])-TblProd[[#This Row],[Mana drain]],0)</f>
        <v>382</v>
      </c>
      <c r="W28" s="97">
        <f ca="1">ROUNDDOWN(TblProd[[#This Row],[Raw Ore/hr]]*(1+TblProd[[#This Row],[Bonux Ore/hr]]),0)</f>
        <v>0</v>
      </c>
      <c r="X28" s="97">
        <f ca="1">ROUNDDOWN(TblProd[[#This Row],[Raw Gems/hr]]*(1+TblProd[[#This Row],[Bonus Gems/hr]]),0)</f>
        <v>0</v>
      </c>
      <c r="Y28" s="158">
        <f ca="1">OFFSET(TblConstr[[#This Row],[Tot Doc]],1,0)*dock_boats_hr * (1 + tech_4_1*TblTech[[#This Row],[4-1]])</f>
        <v>0.25</v>
      </c>
      <c r="Z28" s="157"/>
      <c r="AA28" s="97">
        <f ca="1">TblPop[[#This Row],[Peasants]]*tax*TblPop[[#This Row],[Employment]] + (Construction!AZ29+Construction!BX29)*(alch_plat+(Magic!AM28&gt;0)*alchemist_flame_bonus)</f>
        <v>15318</v>
      </c>
      <c r="AB28" s="97">
        <f ca="1">TblConstr[[#This Row],[Tot Farm]]*farm_food + TblConstr[[#This Row],[Tot Doc]]*dock_food</f>
        <v>600</v>
      </c>
      <c r="AC28" s="97">
        <f ca="1">TblConstr[[#This Row],[Tot Ly]]*ly_lumber + TblConstr[[#This Row],[Tot Hav]]*fh_lumber</f>
        <v>1000</v>
      </c>
      <c r="AD28" s="97">
        <f ca="1">OFFSET(TblConstr[[#This Row],[Tot Tow]],1,0)*(tower_mana + tech_4_5*TblTech[[#This Row],[4-5]]) + OFFSET(TblConstr[[#This Row],[Tot WG]],1,0)*wg_mana_prod</f>
        <v>450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0.1</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8" s="159">
        <f ca="1">race_lumber_bonus+ IF(TblMagic[[#This Row],[Active Gaia''s Blessing]]&gt;0,gaias_blessing_lumber)+ tech_1_3*TblTech[[#This Row],[1-3]] + tech_1_6*TblTech[[#This Row],[1-6]] + tech_3_3*TblTech[[#This Row],[3-3]]</f>
        <v>-0.1</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0.15</v>
      </c>
      <c r="AN28" s="145"/>
      <c r="AO28" s="97">
        <f ca="1">TblProd[[#This Row],[Food]]*food_decay * (1 + tech_2_1*TblTech[[#This Row],[2-1]] + tech_2_8*TblTech[[#This Row],[2-8]])</f>
        <v>292.59000000000003</v>
      </c>
      <c r="AP28" s="97">
        <f ca="1">(1+race_food_consumption)*TblPop[[#This Row],[Total]]*food_per_person*(1+tech_1_10*TblTech[[#This Row],[1-10]]+tech_7_5*TblTech[[#This Row],[7-5]])</f>
        <v>940.5</v>
      </c>
      <c r="AQ28" s="97">
        <f ca="1">TblProd[[#This Row],[Lumber]]*lumber_rot * (1 + tech_2_1*TblTech[[#This Row],[2-1]] + tech_2_8*TblTech[[#This Row],[2-8]] + tech_5_2*TblTech[[#This Row],[5-2]])</f>
        <v>79.040000000000006</v>
      </c>
      <c r="AR28" s="97">
        <f ca="1">TblProd[[#This Row],[Mana]]*mana_drain * (1 + tech_2_1*TblTech[[#This Row],[2-1]] + tech_2_8*TblTech[[#This Row],[2-8]])</f>
        <v>67.72</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45430.749999999942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42902</v>
      </c>
      <c r="BJ28" s="97">
        <f ca="1">TblProd[[#This Row],[Food]]</f>
        <v>29259</v>
      </c>
      <c r="BK28" s="97">
        <f ca="1">TblProd[[#This Row],[Lumber]]</f>
        <v>7904</v>
      </c>
      <c r="BL28" s="97">
        <f ca="1">TblProd[[#This Row],[Mana]]</f>
        <v>3386</v>
      </c>
      <c r="BM28" s="97">
        <f ca="1">TblProd[[#This Row],[Ore]]</f>
        <v>0</v>
      </c>
    </row>
    <row r="29" spans="1:65" x14ac:dyDescent="0.2">
      <c r="A29" s="140">
        <v>26</v>
      </c>
      <c r="B29" s="155">
        <f ca="1">TblImps[[#This Row],[Time]]</f>
        <v>45430.791666666606</v>
      </c>
      <c r="C29" s="156"/>
      <c r="D29" s="157"/>
      <c r="E29" s="97">
        <f ca="1">TblConstr[[#This Row],[Land]]</f>
        <v>299</v>
      </c>
      <c r="F29" s="97">
        <f ca="1">TblPop[[#This Row],[Peasants]]</f>
        <v>3814</v>
      </c>
      <c r="G29" s="97">
        <f ca="1">TblMili[[#This Row],[Networth (2)]]</f>
        <v>7230</v>
      </c>
      <c r="H29" s="97">
        <f ca="1">OFFSET(TblProd[[#This Row],[Platinum]],-1,0)+OFFSET(TblProd[[#This Row],[Plat/hr]],-1,0) - TblProd[[#This Row],[Expenses Platinum]] + IF(TblProd[[#This Row],[Plat Bonus]],TblPop[[#This Row],[Peasants]]*4) + SUM(TblConstr[[#This Row],[Dest Hom]:[Dest Doc]])*TblConstr[[#This Row],[CPA Platinum -DB]]*tech_3_3_2*TblTech[[#This Row],[3-3]]</f>
        <v>59751</v>
      </c>
      <c r="I29" s="97">
        <f ca="1">OFFSET(TblProd[[#This Row],[Food]],-1,0)+OFFSET(TblProd[[#This Row],[Food/hr]],-1,0)+ROUNDUP((TblConstr[[#This Row],[Farms]]*80+TblConstr[[#This Row],[Docks]]*35)*(1+OFFSET(TblProd[[#This Row],[Bonus Food/hr]],-1,0)),0)</f>
        <v>28641</v>
      </c>
      <c r="J29" s="97">
        <f ca="1">OFFSET(TblProd[[#This Row],[Lumber]],-1,0)+OFFSET(TblProd[[#This Row],[Lumber/hr]],-1,0) - TblProd[[#This Row],[Expenses Lumber]] + SUM(TblConstr[[#This Row],[Dest Hom]:[Dest Doc]])*TblConstr[[#This Row],[CPA Lumber -DB]]*tech_3_3_2*TblTech[[#This Row],[3-3]]</f>
        <v>8725</v>
      </c>
      <c r="K29" s="97">
        <f ca="1">OFFSET(TblProd[[#This Row],[Mana]],-1,0)+OFFSET(TblProd[[#This Row],[Mana/hr]],-1,0)- TblProd[[#This Row],[Expenses Mana]]</f>
        <v>1525.5</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0.5</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9" s="97">
        <f ca="1">MAX(3750,_xlfn.CEILING.MATH(TblProd[[#This Row],[Land]]*2.5+OFFSET(TblTech[[#This Row],[Sum of tech]],-1,0)*150))</f>
        <v>3750</v>
      </c>
      <c r="R29" s="145"/>
      <c r="S29" s="97">
        <f ca="1">ROUNDDOWN(TblProd[[#This Row],[Raw Plat/hr]]*(1+TblProd[[#This Row],[Bonus Plat/hr]]),0)</f>
        <v>19302</v>
      </c>
      <c r="T29" s="97">
        <f ca="1">ROUND(TblProd[[#This Row],[Raw Food/hr]]*(1+TblProd[[#This Row],[Bonus Food/hr]])-TblProd[[#This Row],[Food decay]]-TblProd[[#This Row],[Food eaten]],0)</f>
        <v>-677</v>
      </c>
      <c r="U29" s="97">
        <f ca="1">ROUND(TblProd[[#This Row],[Raw Lumber/hr]]*(1+TblProd[[#This Row],[Bonus Lumber/hr]])-TblProd[[#This Row],[Lumber rot]],0)</f>
        <v>813</v>
      </c>
      <c r="V29" s="97">
        <f ca="1">ROUND(TblProd[[#This Row],[Raw Mana/hr]]*(1+TblProd[[#This Row],[Bonus Mana/hr]])-TblProd[[#This Row],[Mana drain]],0)</f>
        <v>419</v>
      </c>
      <c r="W29" s="97">
        <f ca="1">ROUNDDOWN(TblProd[[#This Row],[Raw Ore/hr]]*(1+TblProd[[#This Row],[Bonux Ore/hr]]),0)</f>
        <v>0</v>
      </c>
      <c r="X29" s="97">
        <f ca="1">ROUNDDOWN(TblProd[[#This Row],[Raw Gems/hr]]*(1+TblProd[[#This Row],[Bonus Gems/hr]]),0)</f>
        <v>0</v>
      </c>
      <c r="Y29" s="158">
        <f ca="1">OFFSET(TblConstr[[#This Row],[Tot Doc]],1,0)*dock_boats_hr * (1 + tech_4_1*TblTech[[#This Row],[4-1]])</f>
        <v>0.25</v>
      </c>
      <c r="Z29" s="157"/>
      <c r="AA29" s="97">
        <f ca="1">TblPop[[#This Row],[Peasants]]*tax*TblPop[[#This Row],[Employment]] + (Construction!AZ30+Construction!BX30)*(alch_plat+(Magic!AM29&gt;0)*alchemist_flame_bonus)</f>
        <v>17547.800000000003</v>
      </c>
      <c r="AB29" s="97">
        <f ca="1">TblConstr[[#This Row],[Tot Farm]]*farm_food + TblConstr[[#This Row],[Tot Doc]]*dock_food</f>
        <v>600</v>
      </c>
      <c r="AC29" s="97">
        <f ca="1">TblConstr[[#This Row],[Tot Ly]]*ly_lumber + TblConstr[[#This Row],[Tot Hav]]*fh_lumber</f>
        <v>1000</v>
      </c>
      <c r="AD29" s="97">
        <f ca="1">OFFSET(TblConstr[[#This Row],[Tot Tow]],1,0)*(tower_mana + tech_4_5*TblTech[[#This Row],[4-5]]) + OFFSET(TblConstr[[#This Row],[Tot WG]],1,0)*wg_mana_prod</f>
        <v>450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0.1</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29" s="159">
        <f ca="1">race_lumber_bonus+ IF(TblMagic[[#This Row],[Active Gaia''s Blessing]]&gt;0,gaias_blessing_lumber)+ tech_1_3*TblTech[[#This Row],[1-3]] + tech_1_6*TblTech[[#This Row],[1-6]] + tech_3_3*TblTech[[#This Row],[3-3]]</f>
        <v>-0.1</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0.15</v>
      </c>
      <c r="AN29" s="145"/>
      <c r="AO29" s="97">
        <f ca="1">TblProd[[#This Row],[Food]]*food_decay * (1 + tech_2_1*TblTech[[#This Row],[2-1]] + tech_2_8*TblTech[[#This Row],[2-8]])</f>
        <v>286.41000000000003</v>
      </c>
      <c r="AP29" s="97">
        <f ca="1">(1+race_food_consumption)*TblPop[[#This Row],[Total]]*food_per_person*(1+tech_1_10*TblTech[[#This Row],[1-10]]+tech_7_5*TblTech[[#This Row],[7-5]])</f>
        <v>1005.5</v>
      </c>
      <c r="AQ29" s="97">
        <f ca="1">TblProd[[#This Row],[Lumber]]*lumber_rot * (1 + tech_2_1*TblTech[[#This Row],[2-1]] + tech_2_8*TblTech[[#This Row],[2-8]] + tech_5_2*TblTech[[#This Row],[5-2]])</f>
        <v>87.25</v>
      </c>
      <c r="AR29" s="97">
        <f ca="1">TblProd[[#This Row],[Mana]]*mana_drain * (1 + tech_2_1*TblTech[[#This Row],[2-1]] + tech_2_8*TblTech[[#This Row],[2-8]])</f>
        <v>30.51</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2242.5</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45430.791666666606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59751</v>
      </c>
      <c r="BJ29" s="97">
        <f ca="1">TblProd[[#This Row],[Food]]</f>
        <v>28641</v>
      </c>
      <c r="BK29" s="97">
        <f ca="1">TblProd[[#This Row],[Lumber]]</f>
        <v>8725</v>
      </c>
      <c r="BL29" s="97">
        <f ca="1">TblProd[[#This Row],[Mana]]</f>
        <v>1525.5</v>
      </c>
      <c r="BM29" s="97">
        <f ca="1">TblProd[[#This Row],[Ore]]</f>
        <v>0</v>
      </c>
    </row>
    <row r="30" spans="1:65" x14ac:dyDescent="0.2">
      <c r="A30" s="140">
        <v>27</v>
      </c>
      <c r="B30" s="155">
        <f ca="1">TblImps[[#This Row],[Time]]</f>
        <v>45430.83333333327</v>
      </c>
      <c r="C30" s="156"/>
      <c r="D30" s="157"/>
      <c r="E30" s="97">
        <f ca="1">TblConstr[[#This Row],[Land]]</f>
        <v>299</v>
      </c>
      <c r="F30" s="97">
        <f ca="1">TblPop[[#This Row],[Peasants]]</f>
        <v>4053</v>
      </c>
      <c r="G30" s="97">
        <f ca="1">TblMili[[#This Row],[Networth (2)]]</f>
        <v>7230</v>
      </c>
      <c r="H30" s="97">
        <f ca="1">OFFSET(TblProd[[#This Row],[Platinum]],-1,0)+OFFSET(TblProd[[#This Row],[Plat/hr]],-1,0) - TblProd[[#This Row],[Expenses Platinum]] + IF(TblProd[[#This Row],[Plat Bonus]],TblPop[[#This Row],[Peasants]]*4) + SUM(TblConstr[[#This Row],[Dest Hom]:[Dest Doc]])*TblConstr[[#This Row],[CPA Platinum -DB]]*tech_3_3_2*TblTech[[#This Row],[3-3]]</f>
        <v>79053</v>
      </c>
      <c r="I30" s="97">
        <f ca="1">OFFSET(TblProd[[#This Row],[Food]],-1,0)+OFFSET(TblProd[[#This Row],[Food/hr]],-1,0)+ROUNDUP((TblConstr[[#This Row],[Farms]]*80+TblConstr[[#This Row],[Docks]]*35)*(1+OFFSET(TblProd[[#This Row],[Bonus Food/hr]],-1,0)),0)</f>
        <v>27964</v>
      </c>
      <c r="J30" s="97">
        <f ca="1">OFFSET(TblProd[[#This Row],[Lumber]],-1,0)+OFFSET(TblProd[[#This Row],[Lumber/hr]],-1,0) - TblProd[[#This Row],[Expenses Lumber]] + SUM(TblConstr[[#This Row],[Dest Hom]:[Dest Doc]])*TblConstr[[#This Row],[CPA Lumber -DB]]*tech_3_3_2*TblTech[[#This Row],[3-3]]</f>
        <v>9538</v>
      </c>
      <c r="K30" s="97">
        <f ca="1">OFFSET(TblProd[[#This Row],[Mana]],-1,0)+OFFSET(TblProd[[#This Row],[Mana/hr]],-1,0)- TblProd[[#This Row],[Expenses Mana]]</f>
        <v>1944.5</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0.75</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0" s="97">
        <f ca="1">MAX(3750,_xlfn.CEILING.MATH(TblProd[[#This Row],[Land]]*2.5+OFFSET(TblTech[[#This Row],[Sum of tech]],-1,0)*150))</f>
        <v>3750</v>
      </c>
      <c r="R30" s="145"/>
      <c r="S30" s="97">
        <f ca="1">ROUNDDOWN(TblProd[[#This Row],[Raw Plat/hr]]*(1+TblProd[[#This Row],[Bonus Plat/hr]]),0)</f>
        <v>20012</v>
      </c>
      <c r="T30" s="97">
        <f ca="1">ROUND(TblProd[[#This Row],[Raw Food/hr]]*(1+TblProd[[#This Row],[Bonus Food/hr]])-TblProd[[#This Row],[Food decay]]-TblProd[[#This Row],[Food eaten]],0)</f>
        <v>-739</v>
      </c>
      <c r="U30" s="97">
        <f ca="1">ROUND(TblProd[[#This Row],[Raw Lumber/hr]]*(1+TblProd[[#This Row],[Bonus Lumber/hr]])-TblProd[[#This Row],[Lumber rot]],0)</f>
        <v>805</v>
      </c>
      <c r="V30" s="97">
        <f ca="1">ROUND(TblProd[[#This Row],[Raw Mana/hr]]*(1+TblProd[[#This Row],[Bonus Mana/hr]])-TblProd[[#This Row],[Mana drain]],0)</f>
        <v>411</v>
      </c>
      <c r="W30" s="97">
        <f ca="1">ROUNDDOWN(TblProd[[#This Row],[Raw Ore/hr]]*(1+TblProd[[#This Row],[Bonux Ore/hr]]),0)</f>
        <v>0</v>
      </c>
      <c r="X30" s="97">
        <f ca="1">ROUNDDOWN(TblProd[[#This Row],[Raw Gems/hr]]*(1+TblProd[[#This Row],[Bonus Gems/hr]]),0)</f>
        <v>0</v>
      </c>
      <c r="Y30" s="158">
        <f ca="1">OFFSET(TblConstr[[#This Row],[Tot Doc]],1,0)*dock_boats_hr * (1 + tech_4_1*TblTech[[#This Row],[4-1]])</f>
        <v>0.25</v>
      </c>
      <c r="Z30" s="157"/>
      <c r="AA30" s="97">
        <f ca="1">TblPop[[#This Row],[Peasants]]*tax*TblPop[[#This Row],[Employment]] + (Construction!AZ31+Construction!BX31)*(alch_plat+(Magic!AM30&gt;0)*alchemist_flame_bonus)</f>
        <v>18193.099999999999</v>
      </c>
      <c r="AB30" s="97">
        <f ca="1">TblConstr[[#This Row],[Tot Farm]]*farm_food + TblConstr[[#This Row],[Tot Doc]]*dock_food</f>
        <v>600</v>
      </c>
      <c r="AC30" s="97">
        <f ca="1">TblConstr[[#This Row],[Tot Ly]]*ly_lumber + TblConstr[[#This Row],[Tot Hav]]*fh_lumber</f>
        <v>1000</v>
      </c>
      <c r="AD30" s="97">
        <f ca="1">OFFSET(TblConstr[[#This Row],[Tot Tow]],1,0)*(tower_mana + tech_4_5*TblTech[[#This Row],[4-5]]) + OFFSET(TblConstr[[#This Row],[Tot WG]],1,0)*wg_mana_prod</f>
        <v>450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0.1</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0" s="159">
        <f ca="1">race_lumber_bonus+ IF(TblMagic[[#This Row],[Active Gaia''s Blessing]]&gt;0,gaias_blessing_lumber)+ tech_1_3*TblTech[[#This Row],[1-3]] + tech_1_6*TblTech[[#This Row],[1-6]] + tech_3_3*TblTech[[#This Row],[3-3]]</f>
        <v>-0.1</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0.15</v>
      </c>
      <c r="AN30" s="145"/>
      <c r="AO30" s="97">
        <f ca="1">TblProd[[#This Row],[Food]]*food_decay * (1 + tech_2_1*TblTech[[#This Row],[2-1]] + tech_2_8*TblTech[[#This Row],[2-8]])</f>
        <v>279.64</v>
      </c>
      <c r="AP30" s="97">
        <f ca="1">(1+race_food_consumption)*TblPop[[#This Row],[Total]]*food_per_person*(1+tech_1_10*TblTech[[#This Row],[1-10]]+tech_7_5*TblTech[[#This Row],[7-5]])</f>
        <v>1074.75</v>
      </c>
      <c r="AQ30" s="97">
        <f ca="1">TblProd[[#This Row],[Lumber]]*lumber_rot * (1 + tech_2_1*TblTech[[#This Row],[2-1]] + tech_2_8*TblTech[[#This Row],[2-8]] + tech_5_2*TblTech[[#This Row],[5-2]])</f>
        <v>95.38</v>
      </c>
      <c r="AR30" s="97">
        <f ca="1">TblProd[[#This Row],[Mana]]*mana_drain * (1 + tech_2_1*TblTech[[#This Row],[2-1]] + tech_2_8*TblTech[[#This Row],[2-8]])</f>
        <v>38.89</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45430.83333333327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79053</v>
      </c>
      <c r="BJ30" s="97">
        <f ca="1">TblProd[[#This Row],[Food]]</f>
        <v>27964</v>
      </c>
      <c r="BK30" s="97">
        <f ca="1">TblProd[[#This Row],[Lumber]]</f>
        <v>9538</v>
      </c>
      <c r="BL30" s="97">
        <f ca="1">TblProd[[#This Row],[Mana]]</f>
        <v>1944.5</v>
      </c>
      <c r="BM30" s="97">
        <f ca="1">TblProd[[#This Row],[Ore]]</f>
        <v>0</v>
      </c>
    </row>
    <row r="31" spans="1:65" x14ac:dyDescent="0.2">
      <c r="A31" s="140">
        <v>28</v>
      </c>
      <c r="B31" s="155">
        <f ca="1">TblImps[[#This Row],[Time]]</f>
        <v>45430.874999999935</v>
      </c>
      <c r="C31" s="156"/>
      <c r="D31" s="157"/>
      <c r="E31" s="97">
        <f ca="1">TblConstr[[#This Row],[Land]]</f>
        <v>299</v>
      </c>
      <c r="F31" s="97">
        <f ca="1">TblPop[[#This Row],[Peasants]]</f>
        <v>4306</v>
      </c>
      <c r="G31" s="97">
        <f ca="1">TblMili[[#This Row],[Networth (2)]]</f>
        <v>7230</v>
      </c>
      <c r="H31" s="97">
        <f ca="1">OFFSET(TblProd[[#This Row],[Platinum]],-1,0)+OFFSET(TblProd[[#This Row],[Plat/hr]],-1,0) - TblProd[[#This Row],[Expenses Platinum]] + IF(TblProd[[#This Row],[Plat Bonus]],TblPop[[#This Row],[Peasants]]*4) + SUM(TblConstr[[#This Row],[Dest Hom]:[Dest Doc]])*TblConstr[[#This Row],[CPA Platinum -DB]]*tech_3_3_2*TblTech[[#This Row],[3-3]]</f>
        <v>99065</v>
      </c>
      <c r="I31" s="97">
        <f ca="1">OFFSET(TblProd[[#This Row],[Food]],-1,0)+OFFSET(TblProd[[#This Row],[Food/hr]],-1,0)+ROUNDUP((TblConstr[[#This Row],[Farms]]*80+TblConstr[[#This Row],[Docks]]*35)*(1+OFFSET(TblProd[[#This Row],[Bonus Food/hr]],-1,0)),0)</f>
        <v>27225</v>
      </c>
      <c r="J31" s="97">
        <f ca="1">OFFSET(TblProd[[#This Row],[Lumber]],-1,0)+OFFSET(TblProd[[#This Row],[Lumber/hr]],-1,0) - TblProd[[#This Row],[Expenses Lumber]] + SUM(TblConstr[[#This Row],[Dest Hom]:[Dest Doc]])*TblConstr[[#This Row],[CPA Lumber -DB]]*tech_3_3_2*TblTech[[#This Row],[3-3]]</f>
        <v>10343</v>
      </c>
      <c r="K31" s="97">
        <f ca="1">OFFSET(TblProd[[#This Row],[Mana]],-1,0)+OFFSET(TblProd[[#This Row],[Mana/hr]],-1,0)- TblProd[[#This Row],[Expenses Mana]]</f>
        <v>1608</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1</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1" s="97">
        <f ca="1">MAX(3750,_xlfn.CEILING.MATH(TblProd[[#This Row],[Land]]*2.5+OFFSET(TblTech[[#This Row],[Sum of tech]],-1,0)*150))</f>
        <v>3750</v>
      </c>
      <c r="R31" s="145"/>
      <c r="S31" s="97">
        <f ca="1">ROUNDDOWN(TblProd[[#This Row],[Raw Plat/hr]]*(1+TblProd[[#This Row],[Bonus Plat/hr]]),0)</f>
        <v>20763</v>
      </c>
      <c r="T31" s="97">
        <f ca="1">ROUND(TblProd[[#This Row],[Raw Food/hr]]*(1+TblProd[[#This Row],[Bonus Food/hr]])-TblProd[[#This Row],[Food decay]]-TblProd[[#This Row],[Food eaten]],0)</f>
        <v>-806</v>
      </c>
      <c r="U31" s="97">
        <f ca="1">ROUND(TblProd[[#This Row],[Raw Lumber/hr]]*(1+TblProd[[#This Row],[Bonus Lumber/hr]])-TblProd[[#This Row],[Lumber rot]],0)</f>
        <v>797</v>
      </c>
      <c r="V31" s="97">
        <f ca="1">ROUND(TblProd[[#This Row],[Raw Mana/hr]]*(1+TblProd[[#This Row],[Bonus Mana/hr]])-TblProd[[#This Row],[Mana drain]],0)</f>
        <v>418</v>
      </c>
      <c r="W31" s="97">
        <f ca="1">ROUNDDOWN(TblProd[[#This Row],[Raw Ore/hr]]*(1+TblProd[[#This Row],[Bonux Ore/hr]]),0)</f>
        <v>0</v>
      </c>
      <c r="X31" s="97">
        <f ca="1">ROUNDDOWN(TblProd[[#This Row],[Raw Gems/hr]]*(1+TblProd[[#This Row],[Bonus Gems/hr]]),0)</f>
        <v>0</v>
      </c>
      <c r="Y31" s="158">
        <f ca="1">OFFSET(TblConstr[[#This Row],[Tot Doc]],1,0)*dock_boats_hr * (1 + tech_4_1*TblTech[[#This Row],[4-1]])</f>
        <v>0.25</v>
      </c>
      <c r="Z31" s="157"/>
      <c r="AA31" s="97">
        <f ca="1">TblPop[[#This Row],[Peasants]]*tax*TblPop[[#This Row],[Employment]] + (Construction!AZ32+Construction!BX32)*(alch_plat+(Magic!AM31&gt;0)*alchemist_flame_bonus)</f>
        <v>18876.2</v>
      </c>
      <c r="AB31" s="97">
        <f ca="1">TblConstr[[#This Row],[Tot Farm]]*farm_food + TblConstr[[#This Row],[Tot Doc]]*dock_food</f>
        <v>600</v>
      </c>
      <c r="AC31" s="97">
        <f ca="1">TblConstr[[#This Row],[Tot Ly]]*ly_lumber + TblConstr[[#This Row],[Tot Hav]]*fh_lumber</f>
        <v>1000</v>
      </c>
      <c r="AD31" s="97">
        <f ca="1">OFFSET(TblConstr[[#This Row],[Tot Tow]],1,0)*(tower_mana + tech_4_5*TblTech[[#This Row],[4-5]]) + OFFSET(TblConstr[[#This Row],[Tot WG]],1,0)*wg_mana_prod</f>
        <v>450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0.1</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1" s="159">
        <f ca="1">race_lumber_bonus+ IF(TblMagic[[#This Row],[Active Gaia''s Blessing]]&gt;0,gaias_blessing_lumber)+ tech_1_3*TblTech[[#This Row],[1-3]] + tech_1_6*TblTech[[#This Row],[1-6]] + tech_3_3*TblTech[[#This Row],[3-3]]</f>
        <v>-0.1</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0.15</v>
      </c>
      <c r="AN31" s="145"/>
      <c r="AO31" s="97">
        <f ca="1">TblProd[[#This Row],[Food]]*food_decay * (1 + tech_2_1*TblTech[[#This Row],[2-1]] + tech_2_8*TblTech[[#This Row],[2-8]])</f>
        <v>272.25</v>
      </c>
      <c r="AP31" s="97">
        <f ca="1">(1+race_food_consumption)*TblPop[[#This Row],[Total]]*food_per_person*(1+tech_1_10*TblTech[[#This Row],[1-10]]+tech_7_5*TblTech[[#This Row],[7-5]])</f>
        <v>1148.25</v>
      </c>
      <c r="AQ31" s="97">
        <f ca="1">TblProd[[#This Row],[Lumber]]*lumber_rot * (1 + tech_2_1*TblTech[[#This Row],[2-1]] + tech_2_8*TblTech[[#This Row],[2-8]] + tech_5_2*TblTech[[#This Row],[5-2]])</f>
        <v>103.43</v>
      </c>
      <c r="AR31" s="97">
        <f ca="1">TblProd[[#This Row],[Mana]]*mana_drain * (1 + tech_2_1*TblTech[[#This Row],[2-1]] + tech_2_8*TblTech[[#This Row],[2-8]])</f>
        <v>32.160000000000004</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747.5</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45430.874999999935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99065</v>
      </c>
      <c r="BJ31" s="97">
        <f ca="1">TblProd[[#This Row],[Food]]</f>
        <v>27225</v>
      </c>
      <c r="BK31" s="97">
        <f ca="1">TblProd[[#This Row],[Lumber]]</f>
        <v>10343</v>
      </c>
      <c r="BL31" s="97">
        <f ca="1">TblProd[[#This Row],[Mana]]</f>
        <v>1608</v>
      </c>
      <c r="BM31" s="97">
        <f ca="1">TblProd[[#This Row],[Ore]]</f>
        <v>0</v>
      </c>
    </row>
    <row r="32" spans="1:65" x14ac:dyDescent="0.2">
      <c r="A32" s="140">
        <v>29</v>
      </c>
      <c r="B32" s="155">
        <f ca="1">TblImps[[#This Row],[Time]]</f>
        <v>45430.916666666599</v>
      </c>
      <c r="C32" s="156"/>
      <c r="D32" s="157"/>
      <c r="E32" s="97">
        <f ca="1">TblConstr[[#This Row],[Land]]</f>
        <v>299</v>
      </c>
      <c r="F32" s="97">
        <f ca="1">TblPop[[#This Row],[Peasants]]</f>
        <v>4497</v>
      </c>
      <c r="G32" s="97">
        <f ca="1">TblMili[[#This Row],[Networth (2)]]</f>
        <v>7230</v>
      </c>
      <c r="H32" s="97">
        <f ca="1">OFFSET(TblProd[[#This Row],[Platinum]],-1,0)+OFFSET(TblProd[[#This Row],[Plat/hr]],-1,0) - TblProd[[#This Row],[Expenses Platinum]] + IF(TblProd[[#This Row],[Plat Bonus]],TblPop[[#This Row],[Peasants]]*4) + SUM(TblConstr[[#This Row],[Dest Hom]:[Dest Doc]])*TblConstr[[#This Row],[CPA Platinum -DB]]*tech_3_3_2*TblTech[[#This Row],[3-3]]</f>
        <v>38976</v>
      </c>
      <c r="I32" s="97">
        <f ca="1">OFFSET(TblProd[[#This Row],[Food]],-1,0)+OFFSET(TblProd[[#This Row],[Food/hr]],-1,0)+ROUNDUP((TblConstr[[#This Row],[Farms]]*80+TblConstr[[#This Row],[Docks]]*35)*(1+OFFSET(TblProd[[#This Row],[Bonus Food/hr]],-1,0)),0)</f>
        <v>26419</v>
      </c>
      <c r="J32" s="97">
        <f ca="1">OFFSET(TblProd[[#This Row],[Lumber]],-1,0)+OFFSET(TblProd[[#This Row],[Lumber/hr]],-1,0) - TblProd[[#This Row],[Expenses Lumber]] + SUM(TblConstr[[#This Row],[Dest Hom]:[Dest Doc]])*TblConstr[[#This Row],[CPA Lumber -DB]]*tech_3_3_2*TblTech[[#This Row],[3-3]]</f>
        <v>11140</v>
      </c>
      <c r="K32" s="97">
        <f ca="1">OFFSET(TblProd[[#This Row],[Mana]],-1,0)+OFFSET(TblProd[[#This Row],[Mana/hr]],-1,0)- TblProd[[#This Row],[Expenses Mana]]</f>
        <v>2026</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1.25</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2" s="97">
        <f ca="1">MAX(3750,_xlfn.CEILING.MATH(TblProd[[#This Row],[Land]]*2.5+OFFSET(TblTech[[#This Row],[Sum of tech]],-1,0)*150))</f>
        <v>3750</v>
      </c>
      <c r="R32" s="145"/>
      <c r="S32" s="97">
        <f ca="1">ROUNDDOWN(TblProd[[#This Row],[Raw Plat/hr]]*(1+TblProd[[#This Row],[Bonus Plat/hr]]),0)</f>
        <v>22096</v>
      </c>
      <c r="T32" s="97">
        <f ca="1">ROUND(TblProd[[#This Row],[Raw Food/hr]]*(1+TblProd[[#This Row],[Bonus Food/hr]])-TblProd[[#This Row],[Food decay]]-TblProd[[#This Row],[Food eaten]],0)</f>
        <v>-774</v>
      </c>
      <c r="U32" s="97">
        <f ca="1">ROUND(TblProd[[#This Row],[Raw Lumber/hr]]*(1+TblProd[[#This Row],[Bonus Lumber/hr]])-TblProd[[#This Row],[Lumber rot]],0)</f>
        <v>789</v>
      </c>
      <c r="V32" s="97">
        <f ca="1">ROUND(TblProd[[#This Row],[Raw Mana/hr]]*(1+TblProd[[#This Row],[Bonus Mana/hr]])-TblProd[[#This Row],[Mana drain]],0)</f>
        <v>409</v>
      </c>
      <c r="W32" s="97">
        <f ca="1">ROUNDDOWN(TblProd[[#This Row],[Raw Ore/hr]]*(1+TblProd[[#This Row],[Bonux Ore/hr]]),0)</f>
        <v>0</v>
      </c>
      <c r="X32" s="97">
        <f ca="1">ROUNDDOWN(TblProd[[#This Row],[Raw Gems/hr]]*(1+TblProd[[#This Row],[Bonus Gems/hr]]),0)</f>
        <v>0</v>
      </c>
      <c r="Y32" s="158">
        <f ca="1">OFFSET(TblConstr[[#This Row],[Tot Doc]],1,0)*dock_boats_hr * (1 + tech_4_1*TblTech[[#This Row],[4-1]])</f>
        <v>0.25</v>
      </c>
      <c r="Z32" s="157"/>
      <c r="AA32" s="97">
        <f ca="1">TblPop[[#This Row],[Peasants]]*tax*TblPop[[#This Row],[Employment]] + (Construction!AZ33+Construction!BX33)*(alch_plat+(Magic!AM32&gt;0)*alchemist_flame_bonus)</f>
        <v>20087.900000000001</v>
      </c>
      <c r="AB32" s="97">
        <f ca="1">TblConstr[[#This Row],[Tot Farm]]*farm_food + TblConstr[[#This Row],[Tot Doc]]*dock_food</f>
        <v>600</v>
      </c>
      <c r="AC32" s="97">
        <f ca="1">TblConstr[[#This Row],[Tot Ly]]*ly_lumber + TblConstr[[#This Row],[Tot Hav]]*fh_lumber</f>
        <v>1000</v>
      </c>
      <c r="AD32" s="97">
        <f ca="1">OFFSET(TblConstr[[#This Row],[Tot Tow]],1,0)*(tower_mana + tech_4_5*TblTech[[#This Row],[4-5]]) + OFFSET(TblConstr[[#This Row],[Tot WG]],1,0)*wg_mana_prod</f>
        <v>450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0.1</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2" s="159">
        <f ca="1">race_lumber_bonus+ IF(TblMagic[[#This Row],[Active Gaia''s Blessing]]&gt;0,gaias_blessing_lumber)+ tech_1_3*TblTech[[#This Row],[1-3]] + tech_1_6*TblTech[[#This Row],[1-6]] + tech_3_3*TblTech[[#This Row],[3-3]]</f>
        <v>-0.1</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0.15</v>
      </c>
      <c r="AN32" s="145"/>
      <c r="AO32" s="97">
        <f ca="1">TblProd[[#This Row],[Food]]*food_decay * (1 + tech_2_1*TblTech[[#This Row],[2-1]] + tech_2_8*TblTech[[#This Row],[2-8]])</f>
        <v>264.19</v>
      </c>
      <c r="AP32" s="97">
        <f ca="1">(1+race_food_consumption)*TblPop[[#This Row],[Total]]*food_per_person*(1+tech_1_10*TblTech[[#This Row],[1-10]]+tech_7_5*TblTech[[#This Row],[7-5]])</f>
        <v>1124.75</v>
      </c>
      <c r="AQ32" s="97">
        <f ca="1">TblProd[[#This Row],[Lumber]]*lumber_rot * (1 + tech_2_1*TblTech[[#This Row],[2-1]] + tech_2_8*TblTech[[#This Row],[2-8]] + tech_5_2*TblTech[[#This Row],[5-2]])</f>
        <v>111.4</v>
      </c>
      <c r="AR32" s="97">
        <f ca="1">TblProd[[#This Row],[Mana]]*mana_drain * (1 + tech_2_1*TblTech[[#This Row],[2-1]] + tech_2_8*TblTech[[#This Row],[2-8]])</f>
        <v>40.520000000000003</v>
      </c>
      <c r="AS32" s="157"/>
      <c r="AT32" s="97">
        <f ca="1">TblExplore[[#This Row],[Platinum (2)]]+TblConstr[[#This Row],[Total Plat Cost]]+TblMili[[#This Row],[Plat Cost]]+TblRezone[[#This Row],[Platinum cost]]+TblImps[[#This Row],[P1]]-TblProd[[#This Row],[Bank Plat]]</f>
        <v>80852</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45430.916666666599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38976</v>
      </c>
      <c r="BJ32" s="97">
        <f ca="1">TblProd[[#This Row],[Food]]</f>
        <v>26419</v>
      </c>
      <c r="BK32" s="97">
        <f ca="1">TblProd[[#This Row],[Lumber]]</f>
        <v>11140</v>
      </c>
      <c r="BL32" s="97">
        <f ca="1">TblProd[[#This Row],[Mana]]</f>
        <v>2026</v>
      </c>
      <c r="BM32" s="97">
        <f ca="1">TblProd[[#This Row],[Ore]]</f>
        <v>0</v>
      </c>
    </row>
    <row r="33" spans="1:65" x14ac:dyDescent="0.2">
      <c r="A33" s="140">
        <v>30</v>
      </c>
      <c r="B33" s="155">
        <f ca="1">TblImps[[#This Row],[Time]]</f>
        <v>45430.958333333263</v>
      </c>
      <c r="C33" s="156"/>
      <c r="D33" s="157"/>
      <c r="E33" s="97">
        <f ca="1">TblConstr[[#This Row],[Land]]</f>
        <v>369</v>
      </c>
      <c r="F33" s="97">
        <f ca="1">TblPop[[#This Row],[Peasants]]</f>
        <v>4754</v>
      </c>
      <c r="G33" s="97">
        <f ca="1">TblMili[[#This Row],[Networth (2)]]</f>
        <v>8750</v>
      </c>
      <c r="H33" s="97">
        <f ca="1">OFFSET(TblProd[[#This Row],[Platinum]],-1,0)+OFFSET(TblProd[[#This Row],[Plat/hr]],-1,0) - TblProd[[#This Row],[Expenses Platinum]] + IF(TblProd[[#This Row],[Plat Bonus]],TblPop[[#This Row],[Peasants]]*4) + SUM(TblConstr[[#This Row],[Dest Hom]:[Dest Doc]])*TblConstr[[#This Row],[CPA Platinum -DB]]*tech_3_3_2*TblTech[[#This Row],[3-3]]</f>
        <v>21478</v>
      </c>
      <c r="I33" s="97">
        <f ca="1">OFFSET(TblProd[[#This Row],[Food]],-1,0)+OFFSET(TblProd[[#This Row],[Food/hr]],-1,0)+ROUNDUP((TblConstr[[#This Row],[Farms]]*80+TblConstr[[#This Row],[Docks]]*35)*(1+OFFSET(TblProd[[#This Row],[Bonus Food/hr]],-1,0)),0)</f>
        <v>25727</v>
      </c>
      <c r="J33" s="97">
        <f ca="1">OFFSET(TblProd[[#This Row],[Lumber]],-1,0)+OFFSET(TblProd[[#This Row],[Lumber/hr]],-1,0) - TblProd[[#This Row],[Expenses Lumber]] + SUM(TblConstr[[#This Row],[Dest Hom]:[Dest Doc]])*TblConstr[[#This Row],[CPA Lumber -DB]]*tech_3_3_2*TblTech[[#This Row],[3-3]]</f>
        <v>7729</v>
      </c>
      <c r="K33" s="97">
        <f ca="1">OFFSET(TblProd[[#This Row],[Mana]],-1,0)+OFFSET(TblProd[[#This Row],[Mana/hr]],-1,0)- TblProd[[#This Row],[Expenses Mana]]</f>
        <v>2435</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1.5</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3" s="97">
        <f ca="1">MAX(3750,_xlfn.CEILING.MATH(TblProd[[#This Row],[Land]]*2.5+OFFSET(TblTech[[#This Row],[Sum of tech]],-1,0)*150))</f>
        <v>3750</v>
      </c>
      <c r="R33" s="145"/>
      <c r="S33" s="97">
        <f ca="1">ROUNDDOWN(TblProd[[#This Row],[Raw Plat/hr]]*(1+TblProd[[#This Row],[Bonus Plat/hr]]),0)</f>
        <v>22859</v>
      </c>
      <c r="T33" s="97">
        <f ca="1">ROUND(TblProd[[#This Row],[Raw Food/hr]]*(1+TblProd[[#This Row],[Bonus Food/hr]])-TblProd[[#This Row],[Food decay]]-TblProd[[#This Row],[Food eaten]],0)</f>
        <v>-749</v>
      </c>
      <c r="U33" s="97">
        <f ca="1">ROUND(TblProd[[#This Row],[Raw Lumber/hr]]*(1+TblProd[[#This Row],[Bonus Lumber/hr]])-TblProd[[#This Row],[Lumber rot]],0)</f>
        <v>958</v>
      </c>
      <c r="V33" s="97">
        <f ca="1">ROUND(TblProd[[#This Row],[Raw Mana/hr]]*(1+TblProd[[#This Row],[Bonus Mana/hr]])-TblProd[[#This Row],[Mana drain]],0)</f>
        <v>401</v>
      </c>
      <c r="W33" s="97">
        <f ca="1">ROUNDDOWN(TblProd[[#This Row],[Raw Ore/hr]]*(1+TblProd[[#This Row],[Bonux Ore/hr]]),0)</f>
        <v>0</v>
      </c>
      <c r="X33" s="97">
        <f ca="1">ROUNDDOWN(TblProd[[#This Row],[Raw Gems/hr]]*(1+TblProd[[#This Row],[Bonus Gems/hr]]),0)</f>
        <v>0</v>
      </c>
      <c r="Y33" s="158">
        <f ca="1">OFFSET(TblConstr[[#This Row],[Tot Doc]],1,0)*dock_boats_hr * (1 + tech_4_1*TblTech[[#This Row],[4-1]])</f>
        <v>0.25</v>
      </c>
      <c r="Z33" s="157"/>
      <c r="AA33" s="97">
        <f ca="1">TblPop[[#This Row],[Peasants]]*tax*TblPop[[#This Row],[Employment]] + (Construction!AZ34+Construction!BX34)*(alch_plat+(Magic!AM33&gt;0)*alchemist_flame_bonus)</f>
        <v>20781.800000000003</v>
      </c>
      <c r="AB33" s="97">
        <f ca="1">TblConstr[[#This Row],[Tot Farm]]*farm_food + TblConstr[[#This Row],[Tot Doc]]*dock_food</f>
        <v>680</v>
      </c>
      <c r="AC33" s="97">
        <f ca="1">TblConstr[[#This Row],[Tot Ly]]*ly_lumber + TblConstr[[#This Row],[Tot Hav]]*fh_lumber</f>
        <v>1150</v>
      </c>
      <c r="AD33" s="97">
        <f ca="1">OFFSET(TblConstr[[#This Row],[Tot Tow]],1,0)*(tower_mana + tech_4_5*TblTech[[#This Row],[4-5]]) + OFFSET(TblConstr[[#This Row],[Tot WG]],1,0)*wg_mana_prod</f>
        <v>450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0.1</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3" s="159">
        <f ca="1">race_lumber_bonus+ IF(TblMagic[[#This Row],[Active Gaia''s Blessing]]&gt;0,gaias_blessing_lumber)+ tech_1_3*TblTech[[#This Row],[1-3]] + tech_1_6*TblTech[[#This Row],[1-6]] + tech_3_3*TblTech[[#This Row],[3-3]]</f>
        <v>-0.1</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0.15</v>
      </c>
      <c r="AN33" s="145"/>
      <c r="AO33" s="97">
        <f ca="1">TblProd[[#This Row],[Food]]*food_decay * (1 + tech_2_1*TblTech[[#This Row],[2-1]] + tech_2_8*TblTech[[#This Row],[2-8]])</f>
        <v>257.27</v>
      </c>
      <c r="AP33" s="97">
        <f ca="1">(1+race_food_consumption)*TblPop[[#This Row],[Total]]*food_per_person*(1+tech_1_10*TblTech[[#This Row],[1-10]]+tech_7_5*TblTech[[#This Row],[7-5]])</f>
        <v>1189</v>
      </c>
      <c r="AQ33" s="97">
        <f ca="1">TblProd[[#This Row],[Lumber]]*lumber_rot * (1 + tech_2_1*TblTech[[#This Row],[2-1]] + tech_2_8*TblTech[[#This Row],[2-8]] + tech_5_2*TblTech[[#This Row],[5-2]])</f>
        <v>77.290000000000006</v>
      </c>
      <c r="AR33" s="97">
        <f ca="1">TblProd[[#This Row],[Mana]]*mana_drain * (1 + tech_2_1*TblTech[[#This Row],[2-1]] + tech_2_8*TblTech[[#This Row],[2-8]])</f>
        <v>48.7</v>
      </c>
      <c r="AS33" s="157"/>
      <c r="AT33" s="97">
        <f ca="1">TblExplore[[#This Row],[Platinum (2)]]+TblConstr[[#This Row],[Total Plat Cost]]+TblMili[[#This Row],[Plat Cost]]+TblRezone[[#This Row],[Platinum cost]]+TblImps[[#This Row],[P1]]-TblProd[[#This Row],[Bank Plat]]</f>
        <v>39594</v>
      </c>
      <c r="AU33" s="97">
        <f ca="1">TblConstr[[#This Row],[Total Lum Cost]]+TblImps[[#This Row],[L1]]-TblProd[[#This Row],[Bank Lumber]] + Military!$CL$25*TblMili[[#This Row],[Sec. rec. Cost]]</f>
        <v>4200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45430.958333333263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21478</v>
      </c>
      <c r="BJ33" s="97">
        <f ca="1">TblProd[[#This Row],[Food]]</f>
        <v>25727</v>
      </c>
      <c r="BK33" s="97">
        <f ca="1">TblProd[[#This Row],[Lumber]]</f>
        <v>7729</v>
      </c>
      <c r="BL33" s="97">
        <f ca="1">TblProd[[#This Row],[Mana]]</f>
        <v>2435</v>
      </c>
      <c r="BM33" s="97">
        <f ca="1">TblProd[[#This Row],[Ore]]</f>
        <v>0</v>
      </c>
    </row>
    <row r="34" spans="1:65" x14ac:dyDescent="0.2">
      <c r="A34" s="140">
        <v>31</v>
      </c>
      <c r="B34" s="155">
        <f ca="1">TblImps[[#This Row],[Time]]</f>
        <v>45430.999999999927</v>
      </c>
      <c r="C34" s="156"/>
      <c r="D34" s="157"/>
      <c r="E34" s="97">
        <f ca="1">TblConstr[[#This Row],[Land]]</f>
        <v>380</v>
      </c>
      <c r="F34" s="97">
        <f ca="1">TblPop[[#This Row],[Peasants]]</f>
        <v>5023</v>
      </c>
      <c r="G34" s="97">
        <f ca="1">TblMili[[#This Row],[Networth (2)]]</f>
        <v>8975</v>
      </c>
      <c r="H34" s="97">
        <f ca="1">OFFSET(TblProd[[#This Row],[Platinum]],-1,0)+OFFSET(TblProd[[#This Row],[Plat/hr]],-1,0) - TblProd[[#This Row],[Expenses Platinum]] + IF(TblProd[[#This Row],[Plat Bonus]],TblPop[[#This Row],[Peasants]]*4) + SUM(TblConstr[[#This Row],[Dest Hom]:[Dest Doc]])*TblConstr[[#This Row],[CPA Platinum -DB]]*tech_3_3_2*TblTech[[#This Row],[3-3]]</f>
        <v>26412</v>
      </c>
      <c r="I34" s="97">
        <f ca="1">OFFSET(TblProd[[#This Row],[Food]],-1,0)+OFFSET(TblProd[[#This Row],[Food/hr]],-1,0)+ROUNDUP((TblConstr[[#This Row],[Farms]]*80+TblConstr[[#This Row],[Docks]]*35)*(1+OFFSET(TblProd[[#This Row],[Bonus Food/hr]],-1,0)),0)</f>
        <v>24978</v>
      </c>
      <c r="J34" s="97">
        <f ca="1">OFFSET(TblProd[[#This Row],[Lumber]],-1,0)+OFFSET(TblProd[[#This Row],[Lumber/hr]],-1,0) - TblProd[[#This Row],[Expenses Lumber]] + SUM(TblConstr[[#This Row],[Dest Hom]:[Dest Doc]])*TblConstr[[#This Row],[CPA Lumber -DB]]*tech_3_3_2*TblTech[[#This Row],[3-3]]</f>
        <v>8005</v>
      </c>
      <c r="K34" s="97">
        <f ca="1">OFFSET(TblProd[[#This Row],[Mana]],-1,0)+OFFSET(TblProd[[#This Row],[Mana/hr]],-1,0)- TblProd[[#This Row],[Expenses Mana]]</f>
        <v>2836</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1.75</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4" s="97">
        <f ca="1">MAX(3750,_xlfn.CEILING.MATH(TblProd[[#This Row],[Land]]*2.5+OFFSET(TblTech[[#This Row],[Sum of tech]],-1,0)*150))</f>
        <v>3750</v>
      </c>
      <c r="R34" s="145"/>
      <c r="S34" s="97">
        <f ca="1">ROUNDDOWN(TblProd[[#This Row],[Raw Plat/hr]]*(1+TblProd[[#This Row],[Bonus Plat/hr]]),0)</f>
        <v>23658</v>
      </c>
      <c r="T34" s="97">
        <f ca="1">ROUND(TblProd[[#This Row],[Raw Food/hr]]*(1+TblProd[[#This Row],[Bonus Food/hr]])-TblProd[[#This Row],[Food decay]]-TblProd[[#This Row],[Food eaten]],0)</f>
        <v>-809</v>
      </c>
      <c r="U34" s="97">
        <f ca="1">ROUND(TblProd[[#This Row],[Raw Lumber/hr]]*(1+TblProd[[#This Row],[Bonus Lumber/hr]])-TblProd[[#This Row],[Lumber rot]],0)</f>
        <v>955</v>
      </c>
      <c r="V34" s="97">
        <f ca="1">ROUND(TblProd[[#This Row],[Raw Mana/hr]]*(1+TblProd[[#This Row],[Bonus Mana/hr]])-TblProd[[#This Row],[Mana drain]],0)</f>
        <v>393</v>
      </c>
      <c r="W34" s="97">
        <f ca="1">ROUNDDOWN(TblProd[[#This Row],[Raw Ore/hr]]*(1+TblProd[[#This Row],[Bonux Ore/hr]]),0)</f>
        <v>0</v>
      </c>
      <c r="X34" s="97">
        <f ca="1">ROUNDDOWN(TblProd[[#This Row],[Raw Gems/hr]]*(1+TblProd[[#This Row],[Bonus Gems/hr]]),0)</f>
        <v>0</v>
      </c>
      <c r="Y34" s="158">
        <f ca="1">OFFSET(TblConstr[[#This Row],[Tot Doc]],1,0)*dock_boats_hr * (1 + tech_4_1*TblTech[[#This Row],[4-1]])</f>
        <v>0.25</v>
      </c>
      <c r="Z34" s="157"/>
      <c r="AA34" s="97">
        <f ca="1">TblPop[[#This Row],[Peasants]]*tax*TblPop[[#This Row],[Employment]] + (Construction!AZ35+Construction!BX35)*(alch_plat+(Magic!AM34&gt;0)*alchemist_flame_bonus)</f>
        <v>21508.1</v>
      </c>
      <c r="AB34" s="97">
        <f ca="1">TblConstr[[#This Row],[Tot Farm]]*farm_food + TblConstr[[#This Row],[Tot Doc]]*dock_food</f>
        <v>680</v>
      </c>
      <c r="AC34" s="97">
        <f ca="1">TblConstr[[#This Row],[Tot Ly]]*ly_lumber + TblConstr[[#This Row],[Tot Hav]]*fh_lumber</f>
        <v>1150</v>
      </c>
      <c r="AD34" s="97">
        <f ca="1">OFFSET(TblConstr[[#This Row],[Tot Tow]],1,0)*(tower_mana + tech_4_5*TblTech[[#This Row],[4-5]]) + OFFSET(TblConstr[[#This Row],[Tot WG]],1,0)*wg_mana_prod</f>
        <v>450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0.1</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4" s="159">
        <f ca="1">race_lumber_bonus+ IF(TblMagic[[#This Row],[Active Gaia''s Blessing]]&gt;0,gaias_blessing_lumber)+ tech_1_3*TblTech[[#This Row],[1-3]] + tech_1_6*TblTech[[#This Row],[1-6]] + tech_3_3*TblTech[[#This Row],[3-3]]</f>
        <v>-0.1</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0.15</v>
      </c>
      <c r="AN34" s="145"/>
      <c r="AO34" s="97">
        <f ca="1">TblProd[[#This Row],[Food]]*food_decay * (1 + tech_2_1*TblTech[[#This Row],[2-1]] + tech_2_8*TblTech[[#This Row],[2-8]])</f>
        <v>249.78</v>
      </c>
      <c r="AP34" s="97">
        <f ca="1">(1+race_food_consumption)*TblPop[[#This Row],[Total]]*food_per_person*(1+tech_1_10*TblTech[[#This Row],[1-10]]+tech_7_5*TblTech[[#This Row],[7-5]])</f>
        <v>1255.75</v>
      </c>
      <c r="AQ34" s="97">
        <f ca="1">TblProd[[#This Row],[Lumber]]*lumber_rot * (1 + tech_2_1*TblTech[[#This Row],[2-1]] + tech_2_8*TblTech[[#This Row],[2-8]] + tech_5_2*TblTech[[#This Row],[5-2]])</f>
        <v>80.05</v>
      </c>
      <c r="AR34" s="97">
        <f ca="1">TblProd[[#This Row],[Mana]]*mana_drain * (1 + tech_2_1*TblTech[[#This Row],[2-1]] + tech_2_8*TblTech[[#This Row],[2-8]])</f>
        <v>56.72</v>
      </c>
      <c r="AS34" s="157"/>
      <c r="AT34" s="97">
        <f ca="1">TblExplore[[#This Row],[Platinum (2)]]+TblConstr[[#This Row],[Total Plat Cost]]+TblMili[[#This Row],[Plat Cost]]+TblRezone[[#This Row],[Platinum cost]]+TblImps[[#This Row],[P1]]-TblProd[[#This Row],[Bank Plat]]</f>
        <v>17925</v>
      </c>
      <c r="AU34" s="97">
        <f ca="1">TblConstr[[#This Row],[Total Lum Cost]]+TblImps[[#This Row],[L1]]-TblProd[[#This Row],[Bank Lumber]] + Military!$CL$25*TblMili[[#This Row],[Sec. rec. Cost]]</f>
        <v>682</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45430.999999999927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26412</v>
      </c>
      <c r="BJ34" s="97">
        <f ca="1">TblProd[[#This Row],[Food]]</f>
        <v>24978</v>
      </c>
      <c r="BK34" s="97">
        <f ca="1">TblProd[[#This Row],[Lumber]]</f>
        <v>8005</v>
      </c>
      <c r="BL34" s="97">
        <f ca="1">TblProd[[#This Row],[Mana]]</f>
        <v>2836</v>
      </c>
      <c r="BM34" s="97">
        <f ca="1">TblProd[[#This Row],[Ore]]</f>
        <v>0</v>
      </c>
    </row>
    <row r="35" spans="1:65" x14ac:dyDescent="0.2">
      <c r="A35" s="140">
        <v>32</v>
      </c>
      <c r="B35" s="155">
        <f ca="1">TblImps[[#This Row],[Time]]</f>
        <v>45431.041666666591</v>
      </c>
      <c r="C35" s="156"/>
      <c r="D35" s="157"/>
      <c r="E35" s="97">
        <f ca="1">TblConstr[[#This Row],[Land]]</f>
        <v>392</v>
      </c>
      <c r="F35" s="97">
        <f ca="1">TblPop[[#This Row],[Peasants]]</f>
        <v>5304</v>
      </c>
      <c r="G35" s="97">
        <f ca="1">TblMili[[#This Row],[Networth (2)]]</f>
        <v>9220</v>
      </c>
      <c r="H35" s="97">
        <f ca="1">OFFSET(TblProd[[#This Row],[Platinum]],-1,0)+OFFSET(TblProd[[#This Row],[Plat/hr]],-1,0) - TblProd[[#This Row],[Expenses Platinum]] + IF(TblProd[[#This Row],[Plat Bonus]],TblPop[[#This Row],[Peasants]]*4) + SUM(TblConstr[[#This Row],[Dest Hom]:[Dest Doc]])*TblConstr[[#This Row],[CPA Platinum -DB]]*tech_3_3_2*TblTech[[#This Row],[3-3]]</f>
        <v>31118</v>
      </c>
      <c r="I35" s="97">
        <f ca="1">OFFSET(TblProd[[#This Row],[Food]],-1,0)+OFFSET(TblProd[[#This Row],[Food/hr]],-1,0)+ROUNDUP((TblConstr[[#This Row],[Farms]]*80+TblConstr[[#This Row],[Docks]]*35)*(1+OFFSET(TblProd[[#This Row],[Bonus Food/hr]],-1,0)),0)</f>
        <v>24169</v>
      </c>
      <c r="J35" s="97">
        <f ca="1">OFFSET(TblProd[[#This Row],[Lumber]],-1,0)+OFFSET(TblProd[[#This Row],[Lumber/hr]],-1,0) - TblProd[[#This Row],[Expenses Lumber]] + SUM(TblConstr[[#This Row],[Dest Hom]:[Dest Doc]])*TblConstr[[#This Row],[CPA Lumber -DB]]*tech_3_3_2*TblTech[[#This Row],[3-3]]</f>
        <v>8192</v>
      </c>
      <c r="K35" s="97">
        <f ca="1">OFFSET(TblProd[[#This Row],[Mana]],-1,0)+OFFSET(TblProd[[#This Row],[Mana/hr]],-1,0)- TblProd[[#This Row],[Expenses Mana]]</f>
        <v>3229</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2</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5" s="97">
        <f ca="1">MAX(3750,_xlfn.CEILING.MATH(TblProd[[#This Row],[Land]]*2.5+OFFSET(TblTech[[#This Row],[Sum of tech]],-1,0)*150))</f>
        <v>3750</v>
      </c>
      <c r="R35" s="145"/>
      <c r="S35" s="97">
        <f ca="1">ROUNDDOWN(TblProd[[#This Row],[Raw Plat/hr]]*(1+TblProd[[#This Row],[Bonus Plat/hr]]),0)</f>
        <v>24493</v>
      </c>
      <c r="T35" s="97">
        <f ca="1">ROUND(TblProd[[#This Row],[Raw Food/hr]]*(1+TblProd[[#This Row],[Bonus Food/hr]])-TblProd[[#This Row],[Food decay]]-TblProd[[#This Row],[Food eaten]],0)</f>
        <v>-871</v>
      </c>
      <c r="U35" s="97">
        <f ca="1">ROUND(TblProd[[#This Row],[Raw Lumber/hr]]*(1+TblProd[[#This Row],[Bonus Lumber/hr]])-TblProd[[#This Row],[Lumber rot]],0)</f>
        <v>953</v>
      </c>
      <c r="V35" s="97">
        <f ca="1">ROUND(TblProd[[#This Row],[Raw Mana/hr]]*(1+TblProd[[#This Row],[Bonus Mana/hr]])-TblProd[[#This Row],[Mana drain]],0)</f>
        <v>385</v>
      </c>
      <c r="W35" s="97">
        <f ca="1">ROUNDDOWN(TblProd[[#This Row],[Raw Ore/hr]]*(1+TblProd[[#This Row],[Bonux Ore/hr]]),0)</f>
        <v>0</v>
      </c>
      <c r="X35" s="97">
        <f ca="1">ROUNDDOWN(TblProd[[#This Row],[Raw Gems/hr]]*(1+TblProd[[#This Row],[Bonus Gems/hr]]),0)</f>
        <v>0</v>
      </c>
      <c r="Y35" s="158">
        <f ca="1">OFFSET(TblConstr[[#This Row],[Tot Doc]],1,0)*dock_boats_hr * (1 + tech_4_1*TblTech[[#This Row],[4-1]])</f>
        <v>0.25</v>
      </c>
      <c r="Z35" s="157"/>
      <c r="AA35" s="97">
        <f ca="1">TblPop[[#This Row],[Peasants]]*tax*TblPop[[#This Row],[Employment]] + (Construction!AZ36+Construction!BX36)*(alch_plat+(Magic!AM35&gt;0)*alchemist_flame_bonus)</f>
        <v>22266.800000000003</v>
      </c>
      <c r="AB35" s="97">
        <f ca="1">TblConstr[[#This Row],[Tot Farm]]*farm_food + TblConstr[[#This Row],[Tot Doc]]*dock_food</f>
        <v>680</v>
      </c>
      <c r="AC35" s="97">
        <f ca="1">TblConstr[[#This Row],[Tot Ly]]*ly_lumber + TblConstr[[#This Row],[Tot Hav]]*fh_lumber</f>
        <v>1150</v>
      </c>
      <c r="AD35" s="97">
        <f ca="1">OFFSET(TblConstr[[#This Row],[Tot Tow]],1,0)*(tower_mana + tech_4_5*TblTech[[#This Row],[4-5]]) + OFFSET(TblConstr[[#This Row],[Tot WG]],1,0)*wg_mana_prod</f>
        <v>450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0.1</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5" s="159">
        <f ca="1">race_lumber_bonus+ IF(TblMagic[[#This Row],[Active Gaia''s Blessing]]&gt;0,gaias_blessing_lumber)+ tech_1_3*TblTech[[#This Row],[1-3]] + tech_1_6*TblTech[[#This Row],[1-6]] + tech_3_3*TblTech[[#This Row],[3-3]]</f>
        <v>-0.1</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0.15</v>
      </c>
      <c r="AN35" s="145"/>
      <c r="AO35" s="97">
        <f ca="1">TblProd[[#This Row],[Food]]*food_decay * (1 + tech_2_1*TblTech[[#This Row],[2-1]] + tech_2_8*TblTech[[#This Row],[2-8]])</f>
        <v>241.69</v>
      </c>
      <c r="AP35" s="97">
        <f ca="1">(1+race_food_consumption)*TblPop[[#This Row],[Total]]*food_per_person*(1+tech_1_10*TblTech[[#This Row],[1-10]]+tech_7_5*TblTech[[#This Row],[7-5]])</f>
        <v>1326</v>
      </c>
      <c r="AQ35" s="97">
        <f ca="1">TblProd[[#This Row],[Lumber]]*lumber_rot * (1 + tech_2_1*TblTech[[#This Row],[2-1]] + tech_2_8*TblTech[[#This Row],[2-8]] + tech_5_2*TblTech[[#This Row],[5-2]])</f>
        <v>81.92</v>
      </c>
      <c r="AR35" s="97">
        <f ca="1">TblProd[[#This Row],[Mana]]*mana_drain * (1 + tech_2_1*TblTech[[#This Row],[2-1]] + tech_2_8*TblTech[[#This Row],[2-8]])</f>
        <v>64.58</v>
      </c>
      <c r="AS35" s="157"/>
      <c r="AT35" s="97">
        <f ca="1">TblExplore[[#This Row],[Platinum (2)]]+TblConstr[[#This Row],[Total Plat Cost]]+TblMili[[#This Row],[Plat Cost]]+TblRezone[[#This Row],[Platinum cost]]+TblImps[[#This Row],[P1]]-TblProd[[#This Row],[Bank Plat]]</f>
        <v>18952</v>
      </c>
      <c r="AU35" s="97">
        <f ca="1">TblConstr[[#This Row],[Total Lum Cost]]+TblImps[[#This Row],[L1]]-TblProd[[#This Row],[Bank Lumber]] + Military!$CL$25*TblMili[[#This Row],[Sec. rec. Cost]]</f>
        <v>768</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45431.041666666591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31118</v>
      </c>
      <c r="BJ35" s="97">
        <f ca="1">TblProd[[#This Row],[Food]]</f>
        <v>24169</v>
      </c>
      <c r="BK35" s="97">
        <f ca="1">TblProd[[#This Row],[Lumber]]</f>
        <v>8192</v>
      </c>
      <c r="BL35" s="97">
        <f ca="1">TblProd[[#This Row],[Mana]]</f>
        <v>3229</v>
      </c>
      <c r="BM35" s="97">
        <f ca="1">TblProd[[#This Row],[Ore]]</f>
        <v>0</v>
      </c>
    </row>
    <row r="36" spans="1:65" x14ac:dyDescent="0.2">
      <c r="A36" s="140">
        <v>33</v>
      </c>
      <c r="B36" s="155">
        <f ca="1">TblImps[[#This Row],[Time]]</f>
        <v>45431.083333333256</v>
      </c>
      <c r="C36" s="156"/>
      <c r="D36" s="157"/>
      <c r="E36" s="97">
        <f ca="1">TblConstr[[#This Row],[Land]]</f>
        <v>404</v>
      </c>
      <c r="F36" s="97">
        <f ca="1">TblPop[[#This Row],[Peasants]]</f>
        <v>5597</v>
      </c>
      <c r="G36" s="97">
        <f ca="1">TblMili[[#This Row],[Networth (2)]]</f>
        <v>9465</v>
      </c>
      <c r="H36" s="97">
        <f ca="1">OFFSET(TblProd[[#This Row],[Platinum]],-1,0)+OFFSET(TblProd[[#This Row],[Plat/hr]],-1,0) - TblProd[[#This Row],[Expenses Platinum]] + IF(TblProd[[#This Row],[Plat Bonus]],TblPop[[#This Row],[Peasants]]*4) + SUM(TblConstr[[#This Row],[Dest Hom]:[Dest Doc]])*TblConstr[[#This Row],[CPA Platinum -DB]]*tech_3_3_2*TblTech[[#This Row],[3-3]]</f>
        <v>36027</v>
      </c>
      <c r="I36" s="97">
        <f ca="1">OFFSET(TblProd[[#This Row],[Food]],-1,0)+OFFSET(TblProd[[#This Row],[Food/hr]],-1,0)+ROUNDUP((TblConstr[[#This Row],[Farms]]*80+TblConstr[[#This Row],[Docks]]*35)*(1+OFFSET(TblProd[[#This Row],[Bonus Food/hr]],-1,0)),0)</f>
        <v>23298</v>
      </c>
      <c r="J36" s="97">
        <f ca="1">OFFSET(TblProd[[#This Row],[Lumber]],-1,0)+OFFSET(TblProd[[#This Row],[Lumber/hr]],-1,0) - TblProd[[#This Row],[Expenses Lumber]] + SUM(TblConstr[[#This Row],[Dest Hom]:[Dest Doc]])*TblConstr[[#This Row],[CPA Lumber -DB]]*tech_3_3_2*TblTech[[#This Row],[3-3]]</f>
        <v>8365</v>
      </c>
      <c r="K36" s="97">
        <f ca="1">OFFSET(TblProd[[#This Row],[Mana]],-1,0)+OFFSET(TblProd[[#This Row],[Mana/hr]],-1,0)- TblProd[[#This Row],[Expenses Mana]]</f>
        <v>3614</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2.25</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6" s="97">
        <f ca="1">MAX(3750,_xlfn.CEILING.MATH(TblProd[[#This Row],[Land]]*2.5+OFFSET(TblTech[[#This Row],[Sum of tech]],-1,0)*150))</f>
        <v>3750</v>
      </c>
      <c r="R36" s="145"/>
      <c r="S36" s="97">
        <f ca="1">ROUNDDOWN(TblProd[[#This Row],[Raw Plat/hr]]*(1+TblProd[[#This Row],[Bonus Plat/hr]]),0)</f>
        <v>25363</v>
      </c>
      <c r="T36" s="97">
        <f ca="1">ROUND(TblProd[[#This Row],[Raw Food/hr]]*(1+TblProd[[#This Row],[Bonus Food/hr]])-TblProd[[#This Row],[Food decay]]-TblProd[[#This Row],[Food eaten]],0)</f>
        <v>-936</v>
      </c>
      <c r="U36" s="97">
        <f ca="1">ROUND(TblProd[[#This Row],[Raw Lumber/hr]]*(1+TblProd[[#This Row],[Bonus Lumber/hr]])-TblProd[[#This Row],[Lumber rot]],0)</f>
        <v>951</v>
      </c>
      <c r="V36" s="97">
        <f ca="1">ROUND(TblProd[[#This Row],[Raw Mana/hr]]*(1+TblProd[[#This Row],[Bonus Mana/hr]])-TblProd[[#This Row],[Mana drain]],0)</f>
        <v>378</v>
      </c>
      <c r="W36" s="97">
        <f ca="1">ROUNDDOWN(TblProd[[#This Row],[Raw Ore/hr]]*(1+TblProd[[#This Row],[Bonux Ore/hr]]),0)</f>
        <v>0</v>
      </c>
      <c r="X36" s="97">
        <f ca="1">ROUNDDOWN(TblProd[[#This Row],[Raw Gems/hr]]*(1+TblProd[[#This Row],[Bonus Gems/hr]]),0)</f>
        <v>0</v>
      </c>
      <c r="Y36" s="158">
        <f ca="1">OFFSET(TblConstr[[#This Row],[Tot Doc]],1,0)*dock_boats_hr * (1 + tech_4_1*TblTech[[#This Row],[4-1]])</f>
        <v>0.25</v>
      </c>
      <c r="Z36" s="157"/>
      <c r="AA36" s="97">
        <f ca="1">TblPop[[#This Row],[Peasants]]*tax*TblPop[[#This Row],[Employment]] + (Construction!AZ37+Construction!BX37)*(alch_plat+(Magic!AM36&gt;0)*alchemist_flame_bonus)</f>
        <v>23057.9</v>
      </c>
      <c r="AB36" s="97">
        <f ca="1">TblConstr[[#This Row],[Tot Farm]]*farm_food + TblConstr[[#This Row],[Tot Doc]]*dock_food</f>
        <v>680</v>
      </c>
      <c r="AC36" s="97">
        <f ca="1">TblConstr[[#This Row],[Tot Ly]]*ly_lumber + TblConstr[[#This Row],[Tot Hav]]*fh_lumber</f>
        <v>1150</v>
      </c>
      <c r="AD36" s="97">
        <f ca="1">OFFSET(TblConstr[[#This Row],[Tot Tow]],1,0)*(tower_mana + tech_4_5*TblTech[[#This Row],[4-5]]) + OFFSET(TblConstr[[#This Row],[Tot WG]],1,0)*wg_mana_prod</f>
        <v>450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0.1</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6" s="159">
        <f ca="1">race_lumber_bonus+ IF(TblMagic[[#This Row],[Active Gaia''s Blessing]]&gt;0,gaias_blessing_lumber)+ tech_1_3*TblTech[[#This Row],[1-3]] + tech_1_6*TblTech[[#This Row],[1-6]] + tech_3_3*TblTech[[#This Row],[3-3]]</f>
        <v>-0.1</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0.15</v>
      </c>
      <c r="AN36" s="145"/>
      <c r="AO36" s="97">
        <f ca="1">TblProd[[#This Row],[Food]]*food_decay * (1 + tech_2_1*TblTech[[#This Row],[2-1]] + tech_2_8*TblTech[[#This Row],[2-8]])</f>
        <v>232.98000000000002</v>
      </c>
      <c r="AP36" s="97">
        <f ca="1">(1+race_food_consumption)*TblPop[[#This Row],[Total]]*food_per_person*(1+tech_1_10*TblTech[[#This Row],[1-10]]+tech_7_5*TblTech[[#This Row],[7-5]])</f>
        <v>1400</v>
      </c>
      <c r="AQ36" s="97">
        <f ca="1">TblProd[[#This Row],[Lumber]]*lumber_rot * (1 + tech_2_1*TblTech[[#This Row],[2-1]] + tech_2_8*TblTech[[#This Row],[2-8]] + tech_5_2*TblTech[[#This Row],[5-2]])</f>
        <v>83.65</v>
      </c>
      <c r="AR36" s="97">
        <f ca="1">TblProd[[#This Row],[Mana]]*mana_drain * (1 + tech_2_1*TblTech[[#This Row],[2-1]] + tech_2_8*TblTech[[#This Row],[2-8]])</f>
        <v>72.28</v>
      </c>
      <c r="AS36" s="157"/>
      <c r="AT36" s="97">
        <f ca="1">TblExplore[[#This Row],[Platinum (2)]]+TblConstr[[#This Row],[Total Plat Cost]]+TblMili[[#This Row],[Plat Cost]]+TblRezone[[#This Row],[Platinum cost]]+TblImps[[#This Row],[P1]]-TblProd[[#This Row],[Bank Plat]]</f>
        <v>19584</v>
      </c>
      <c r="AU36" s="97">
        <f ca="1">TblConstr[[#This Row],[Total Lum Cost]]+TblImps[[#This Row],[L1]]-TblProd[[#This Row],[Bank Lumber]] + Military!$CL$25*TblMili[[#This Row],[Sec. rec. Cost]]</f>
        <v>780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45431.083333333256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36027</v>
      </c>
      <c r="BJ36" s="97">
        <f ca="1">TblProd[[#This Row],[Food]]</f>
        <v>23298</v>
      </c>
      <c r="BK36" s="97">
        <f ca="1">TblProd[[#This Row],[Lumber]]</f>
        <v>8365</v>
      </c>
      <c r="BL36" s="97">
        <f ca="1">TblProd[[#This Row],[Mana]]</f>
        <v>3614</v>
      </c>
      <c r="BM36" s="97">
        <f ca="1">TblProd[[#This Row],[Ore]]</f>
        <v>0</v>
      </c>
    </row>
    <row r="37" spans="1:65" x14ac:dyDescent="0.2">
      <c r="A37" s="140">
        <v>34</v>
      </c>
      <c r="B37" s="155">
        <f ca="1">TblImps[[#This Row],[Time]]</f>
        <v>45431.12499999992</v>
      </c>
      <c r="C37" s="156"/>
      <c r="D37" s="157"/>
      <c r="E37" s="97">
        <f ca="1">TblConstr[[#This Row],[Land]]</f>
        <v>407</v>
      </c>
      <c r="F37" s="97">
        <f ca="1">TblPop[[#This Row],[Peasants]]</f>
        <v>5906</v>
      </c>
      <c r="G37" s="97">
        <f ca="1">TblMili[[#This Row],[Networth (2)]]</f>
        <v>9530</v>
      </c>
      <c r="H37" s="97">
        <f ca="1">OFFSET(TblProd[[#This Row],[Platinum]],-1,0)+OFFSET(TblProd[[#This Row],[Plat/hr]],-1,0) - TblProd[[#This Row],[Expenses Platinum]] + IF(TblProd[[#This Row],[Plat Bonus]],TblPop[[#This Row],[Peasants]]*4) + SUM(TblConstr[[#This Row],[Dest Hom]:[Dest Doc]])*TblConstr[[#This Row],[CPA Platinum -DB]]*tech_3_3_2*TblTech[[#This Row],[3-3]]</f>
        <v>43944</v>
      </c>
      <c r="I37" s="97">
        <f ca="1">OFFSET(TblProd[[#This Row],[Food]],-1,0)+OFFSET(TblProd[[#This Row],[Food/hr]],-1,0)+ROUNDUP((TblConstr[[#This Row],[Farms]]*80+TblConstr[[#This Row],[Docks]]*35)*(1+OFFSET(TblProd[[#This Row],[Bonus Food/hr]],-1,0)),0)</f>
        <v>22362</v>
      </c>
      <c r="J37" s="97">
        <f ca="1">OFFSET(TblProd[[#This Row],[Lumber]],-1,0)+OFFSET(TblProd[[#This Row],[Lumber/hr]],-1,0) - TblProd[[#This Row],[Expenses Lumber]] + SUM(TblConstr[[#This Row],[Dest Hom]:[Dest Doc]])*TblConstr[[#This Row],[CPA Lumber -DB]]*tech_3_3_2*TblTech[[#This Row],[3-3]]</f>
        <v>9118</v>
      </c>
      <c r="K37" s="97">
        <f ca="1">OFFSET(TblProd[[#This Row],[Mana]],-1,0)+OFFSET(TblProd[[#This Row],[Mana/hr]],-1,0)- TblProd[[#This Row],[Expenses Mana]]</f>
        <v>3992</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2.5</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7" s="97">
        <f ca="1">MAX(3750,_xlfn.CEILING.MATH(TblProd[[#This Row],[Land]]*2.5+OFFSET(TblTech[[#This Row],[Sum of tech]],-1,0)*150))</f>
        <v>3750</v>
      </c>
      <c r="R37" s="145"/>
      <c r="S37" s="97">
        <f ca="1">ROUNDDOWN(TblProd[[#This Row],[Raw Plat/hr]]*(1+TblProd[[#This Row],[Bonus Plat/hr]]),0)</f>
        <v>25951</v>
      </c>
      <c r="T37" s="97">
        <f ca="1">ROUND(TblProd[[#This Row],[Raw Food/hr]]*(1+TblProd[[#This Row],[Bonus Food/hr]])-TblProd[[#This Row],[Food decay]]-TblProd[[#This Row],[Food eaten]],0)</f>
        <v>-1004</v>
      </c>
      <c r="U37" s="97">
        <f ca="1">ROUND(TblProd[[#This Row],[Raw Lumber/hr]]*(1+TblProd[[#This Row],[Bonus Lumber/hr]])-TblProd[[#This Row],[Lumber rot]],0)</f>
        <v>944</v>
      </c>
      <c r="V37" s="97">
        <f ca="1">ROUND(TblProd[[#This Row],[Raw Mana/hr]]*(1+TblProd[[#This Row],[Bonus Mana/hr]])-TblProd[[#This Row],[Mana drain]],0)</f>
        <v>370</v>
      </c>
      <c r="W37" s="97">
        <f ca="1">ROUNDDOWN(TblProd[[#This Row],[Raw Ore/hr]]*(1+TblProd[[#This Row],[Bonux Ore/hr]]),0)</f>
        <v>0</v>
      </c>
      <c r="X37" s="97">
        <f ca="1">ROUNDDOWN(TblProd[[#This Row],[Raw Gems/hr]]*(1+TblProd[[#This Row],[Bonus Gems/hr]]),0)</f>
        <v>0</v>
      </c>
      <c r="Y37" s="158">
        <f ca="1">OFFSET(TblConstr[[#This Row],[Tot Doc]],1,0)*dock_boats_hr * (1 + tech_4_1*TblTech[[#This Row],[4-1]])</f>
        <v>0.25</v>
      </c>
      <c r="Z37" s="157"/>
      <c r="AA37" s="97">
        <f ca="1">TblPop[[#This Row],[Peasants]]*tax*TblPop[[#This Row],[Employment]] + (Construction!AZ38+Construction!BX38)*(alch_plat+(Magic!AM37&gt;0)*alchemist_flame_bonus)</f>
        <v>23592.5</v>
      </c>
      <c r="AB37" s="97">
        <f ca="1">TblConstr[[#This Row],[Tot Farm]]*farm_food + TblConstr[[#This Row],[Tot Doc]]*dock_food</f>
        <v>680</v>
      </c>
      <c r="AC37" s="97">
        <f ca="1">TblConstr[[#This Row],[Tot Ly]]*ly_lumber + TblConstr[[#This Row],[Tot Hav]]*fh_lumber</f>
        <v>1150</v>
      </c>
      <c r="AD37" s="97">
        <f ca="1">OFFSET(TblConstr[[#This Row],[Tot Tow]],1,0)*(tower_mana + tech_4_5*TblTech[[#This Row],[4-5]]) + OFFSET(TblConstr[[#This Row],[Tot WG]],1,0)*wg_mana_prod</f>
        <v>450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0.1</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7" s="159">
        <f ca="1">race_lumber_bonus+ IF(TblMagic[[#This Row],[Active Gaia''s Blessing]]&gt;0,gaias_blessing_lumber)+ tech_1_3*TblTech[[#This Row],[1-3]] + tech_1_6*TblTech[[#This Row],[1-6]] + tech_3_3*TblTech[[#This Row],[3-3]]</f>
        <v>-0.1</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0.15</v>
      </c>
      <c r="AN37" s="145"/>
      <c r="AO37" s="97">
        <f ca="1">TblProd[[#This Row],[Food]]*food_decay * (1 + tech_2_1*TblTech[[#This Row],[2-1]] + tech_2_8*TblTech[[#This Row],[2-8]])</f>
        <v>223.62</v>
      </c>
      <c r="AP37" s="97">
        <f ca="1">(1+race_food_consumption)*TblPop[[#This Row],[Total]]*food_per_person*(1+tech_1_10*TblTech[[#This Row],[1-10]]+tech_7_5*TblTech[[#This Row],[7-5]])</f>
        <v>1477.5</v>
      </c>
      <c r="AQ37" s="97">
        <f ca="1">TblProd[[#This Row],[Lumber]]*lumber_rot * (1 + tech_2_1*TblTech[[#This Row],[2-1]] + tech_2_8*TblTech[[#This Row],[2-8]] + tech_5_2*TblTech[[#This Row],[5-2]])</f>
        <v>91.18</v>
      </c>
      <c r="AR37" s="97">
        <f ca="1">TblProd[[#This Row],[Mana]]*mana_drain * (1 + tech_2_1*TblTech[[#This Row],[2-1]] + tech_2_8*TblTech[[#This Row],[2-8]])</f>
        <v>79.84</v>
      </c>
      <c r="AS37" s="157"/>
      <c r="AT37" s="97">
        <f ca="1">TblExplore[[#This Row],[Platinum (2)]]+TblConstr[[#This Row],[Total Plat Cost]]+TblMili[[#This Row],[Plat Cost]]+TblRezone[[#This Row],[Platinum cost]]+TblImps[[#This Row],[P1]]-TblProd[[#This Row],[Bank Plat]]</f>
        <v>17446</v>
      </c>
      <c r="AU37" s="97">
        <f ca="1">TblConstr[[#This Row],[Total Lum Cost]]+TblImps[[#This Row],[L1]]-TblProd[[#This Row],[Bank Lumber]] + Military!$CL$25*TblMili[[#This Row],[Sec. rec. Cost]]</f>
        <v>198</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45431.12499999992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43944</v>
      </c>
      <c r="BJ37" s="97">
        <f ca="1">TblProd[[#This Row],[Food]]</f>
        <v>22362</v>
      </c>
      <c r="BK37" s="97">
        <f ca="1">TblProd[[#This Row],[Lumber]]</f>
        <v>9118</v>
      </c>
      <c r="BL37" s="97">
        <f ca="1">TblProd[[#This Row],[Mana]]</f>
        <v>3992</v>
      </c>
      <c r="BM37" s="97">
        <f ca="1">TblProd[[#This Row],[Ore]]</f>
        <v>0</v>
      </c>
    </row>
    <row r="38" spans="1:65" x14ac:dyDescent="0.2">
      <c r="A38" s="140">
        <v>35</v>
      </c>
      <c r="B38" s="155">
        <f ca="1">TblImps[[#This Row],[Time]]</f>
        <v>45431.166666666584</v>
      </c>
      <c r="C38" s="156"/>
      <c r="D38" s="157"/>
      <c r="E38" s="97">
        <f ca="1">TblConstr[[#This Row],[Land]]</f>
        <v>409</v>
      </c>
      <c r="F38" s="97">
        <f ca="1">TblPop[[#This Row],[Peasants]]</f>
        <v>6231</v>
      </c>
      <c r="G38" s="97">
        <f ca="1">TblMili[[#This Row],[Networth (2)]]</f>
        <v>9575</v>
      </c>
      <c r="H38" s="97">
        <f ca="1">OFFSET(TblProd[[#This Row],[Platinum]],-1,0)+OFFSET(TblProd[[#This Row],[Plat/hr]],-1,0) - TblProd[[#This Row],[Expenses Platinum]] + IF(TblProd[[#This Row],[Plat Bonus]],TblPop[[#This Row],[Peasants]]*4) + SUM(TblConstr[[#This Row],[Dest Hom]:[Dest Doc]])*TblConstr[[#This Row],[CPA Platinum -DB]]*tech_3_3_2*TblTech[[#This Row],[3-3]]</f>
        <v>51273</v>
      </c>
      <c r="I38" s="97">
        <f ca="1">OFFSET(TblProd[[#This Row],[Food]],-1,0)+OFFSET(TblProd[[#This Row],[Food/hr]],-1,0)+ROUNDUP((TblConstr[[#This Row],[Farms]]*80+TblConstr[[#This Row],[Docks]]*35)*(1+OFFSET(TblProd[[#This Row],[Bonus Food/hr]],-1,0)),0)</f>
        <v>21358</v>
      </c>
      <c r="J38" s="97">
        <f ca="1">OFFSET(TblProd[[#This Row],[Lumber]],-1,0)+OFFSET(TblProd[[#This Row],[Lumber/hr]],-1,0) - TblProd[[#This Row],[Expenses Lumber]] + SUM(TblConstr[[#This Row],[Dest Hom]:[Dest Doc]])*TblConstr[[#This Row],[CPA Lumber -DB]]*tech_3_3_2*TblTech[[#This Row],[3-3]]</f>
        <v>9930</v>
      </c>
      <c r="K38" s="97">
        <f ca="1">OFFSET(TblProd[[#This Row],[Mana]],-1,0)+OFFSET(TblProd[[#This Row],[Mana/hr]],-1,0)- TblProd[[#This Row],[Expenses Mana]]</f>
        <v>4362</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2.75</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8" s="97">
        <f ca="1">MAX(3750,_xlfn.CEILING.MATH(TblProd[[#This Row],[Land]]*2.5+OFFSET(TblTech[[#This Row],[Sum of tech]],-1,0)*150))</f>
        <v>3750</v>
      </c>
      <c r="R38" s="145"/>
      <c r="S38" s="97">
        <f ca="1">ROUNDDOWN(TblProd[[#This Row],[Raw Plat/hr]]*(1+TblProd[[#This Row],[Bonus Plat/hr]]),0)</f>
        <v>27884</v>
      </c>
      <c r="T38" s="97">
        <f ca="1">ROUND(TblProd[[#This Row],[Raw Food/hr]]*(1+TblProd[[#This Row],[Bonus Food/hr]])-TblProd[[#This Row],[Food decay]]-TblProd[[#This Row],[Food eaten]],0)</f>
        <v>-1075</v>
      </c>
      <c r="U38" s="97">
        <f ca="1">ROUND(TblProd[[#This Row],[Raw Lumber/hr]]*(1+TblProd[[#This Row],[Bonus Lumber/hr]])-TblProd[[#This Row],[Lumber rot]],0)</f>
        <v>936</v>
      </c>
      <c r="V38" s="97">
        <f ca="1">ROUND(TblProd[[#This Row],[Raw Mana/hr]]*(1+TblProd[[#This Row],[Bonus Mana/hr]])-TblProd[[#This Row],[Mana drain]],0)</f>
        <v>363</v>
      </c>
      <c r="W38" s="97">
        <f ca="1">ROUNDDOWN(TblProd[[#This Row],[Raw Ore/hr]]*(1+TblProd[[#This Row],[Bonux Ore/hr]]),0)</f>
        <v>0</v>
      </c>
      <c r="X38" s="97">
        <f ca="1">ROUNDDOWN(TblProd[[#This Row],[Raw Gems/hr]]*(1+TblProd[[#This Row],[Bonus Gems/hr]]),0)</f>
        <v>0</v>
      </c>
      <c r="Y38" s="158">
        <f ca="1">OFFSET(TblConstr[[#This Row],[Tot Doc]],1,0)*dock_boats_hr * (1 + tech_4_1*TblTech[[#This Row],[4-1]])</f>
        <v>0.25</v>
      </c>
      <c r="Z38" s="157"/>
      <c r="AA38" s="97">
        <f ca="1">TblPop[[#This Row],[Peasants]]*tax*TblPop[[#This Row],[Employment]] + (Construction!AZ39+Construction!BX39)*(alch_plat+(Magic!AM38&gt;0)*alchemist_flame_bonus)</f>
        <v>25349.7</v>
      </c>
      <c r="AB38" s="97">
        <f ca="1">TblConstr[[#This Row],[Tot Farm]]*farm_food + TblConstr[[#This Row],[Tot Doc]]*dock_food</f>
        <v>680</v>
      </c>
      <c r="AC38" s="97">
        <f ca="1">TblConstr[[#This Row],[Tot Ly]]*ly_lumber + TblConstr[[#This Row],[Tot Hav]]*fh_lumber</f>
        <v>1150</v>
      </c>
      <c r="AD38" s="97">
        <f ca="1">OFFSET(TblConstr[[#This Row],[Tot Tow]],1,0)*(tower_mana + tech_4_5*TblTech[[#This Row],[4-5]]) + OFFSET(TblConstr[[#This Row],[Tot WG]],1,0)*wg_mana_prod</f>
        <v>450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0.1</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8" s="159">
        <f ca="1">race_lumber_bonus+ IF(TblMagic[[#This Row],[Active Gaia''s Blessing]]&gt;0,gaias_blessing_lumber)+ tech_1_3*TblTech[[#This Row],[1-3]] + tech_1_6*TblTech[[#This Row],[1-6]] + tech_3_3*TblTech[[#This Row],[3-3]]</f>
        <v>-0.1</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0.15</v>
      </c>
      <c r="AN38" s="145"/>
      <c r="AO38" s="97">
        <f ca="1">TblProd[[#This Row],[Food]]*food_decay * (1 + tech_2_1*TblTech[[#This Row],[2-1]] + tech_2_8*TblTech[[#This Row],[2-8]])</f>
        <v>213.58</v>
      </c>
      <c r="AP38" s="97">
        <f ca="1">(1+race_food_consumption)*TblPop[[#This Row],[Total]]*food_per_person*(1+tech_1_10*TblTech[[#This Row],[1-10]]+tech_7_5*TblTech[[#This Row],[7-5]])</f>
        <v>1558.5</v>
      </c>
      <c r="AQ38" s="97">
        <f ca="1">TblProd[[#This Row],[Lumber]]*lumber_rot * (1 + tech_2_1*TblTech[[#This Row],[2-1]] + tech_2_8*TblTech[[#This Row],[2-8]] + tech_5_2*TblTech[[#This Row],[5-2]])</f>
        <v>99.3</v>
      </c>
      <c r="AR38" s="97">
        <f ca="1">TblProd[[#This Row],[Mana]]*mana_drain * (1 + tech_2_1*TblTech[[#This Row],[2-1]] + tech_2_8*TblTech[[#This Row],[2-8]])</f>
        <v>87.24</v>
      </c>
      <c r="AS38" s="157"/>
      <c r="AT38" s="97">
        <f ca="1">TblExplore[[#This Row],[Platinum (2)]]+TblConstr[[#This Row],[Total Plat Cost]]+TblMili[[#This Row],[Plat Cost]]+TblRezone[[#This Row],[Platinum cost]]+TblImps[[#This Row],[P1]]-TblProd[[#This Row],[Bank Plat]]</f>
        <v>18622</v>
      </c>
      <c r="AU38" s="97">
        <f ca="1">TblConstr[[#This Row],[Total Lum Cost]]+TblImps[[#This Row],[L1]]-TblProd[[#This Row],[Bank Lumber]] + Military!$CL$25*TblMili[[#This Row],[Sec. rec. Cost]]</f>
        <v>132</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45431.166666666584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51273</v>
      </c>
      <c r="BJ38" s="97">
        <f ca="1">TblProd[[#This Row],[Food]]</f>
        <v>21358</v>
      </c>
      <c r="BK38" s="97">
        <f ca="1">TblProd[[#This Row],[Lumber]]</f>
        <v>9930</v>
      </c>
      <c r="BL38" s="97">
        <f ca="1">TblProd[[#This Row],[Mana]]</f>
        <v>4362</v>
      </c>
      <c r="BM38" s="97">
        <f ca="1">TblProd[[#This Row],[Ore]]</f>
        <v>0</v>
      </c>
    </row>
    <row r="39" spans="1:65" x14ac:dyDescent="0.2">
      <c r="A39" s="140">
        <v>36</v>
      </c>
      <c r="B39" s="155">
        <f ca="1">TblImps[[#This Row],[Time]]</f>
        <v>45431.208333333248</v>
      </c>
      <c r="C39" s="156"/>
      <c r="D39" s="157"/>
      <c r="E39" s="97">
        <f ca="1">TblConstr[[#This Row],[Land]]</f>
        <v>419</v>
      </c>
      <c r="F39" s="97">
        <f ca="1">TblPop[[#This Row],[Peasants]]</f>
        <v>6571</v>
      </c>
      <c r="G39" s="97">
        <f ca="1">TblMili[[#This Row],[Networth (2)]]</f>
        <v>9875</v>
      </c>
      <c r="H39" s="97">
        <f ca="1">OFFSET(TblProd[[#This Row],[Platinum]],-1,0)+OFFSET(TblProd[[#This Row],[Plat/hr]],-1,0) - TblProd[[#This Row],[Expenses Platinum]] + IF(TblProd[[#This Row],[Plat Bonus]],TblPop[[#This Row],[Peasants]]*4) + SUM(TblConstr[[#This Row],[Dest Hom]:[Dest Doc]])*TblConstr[[#This Row],[CPA Platinum -DB]]*tech_3_3_2*TblTech[[#This Row],[3-3]]</f>
        <v>55040</v>
      </c>
      <c r="I39" s="97">
        <f ca="1">OFFSET(TblProd[[#This Row],[Food]],-1,0)+OFFSET(TblProd[[#This Row],[Food/hr]],-1,0)+ROUNDUP((TblConstr[[#This Row],[Farms]]*80+TblConstr[[#This Row],[Docks]]*35)*(1+OFFSET(TblProd[[#This Row],[Bonus Food/hr]],-1,0)),0)</f>
        <v>20447</v>
      </c>
      <c r="J39" s="97">
        <f ca="1">OFFSET(TblProd[[#This Row],[Lumber]],-1,0)+OFFSET(TblProd[[#This Row],[Lumber/hr]],-1,0) - TblProd[[#This Row],[Expenses Lumber]] + SUM(TblConstr[[#This Row],[Dest Hom]:[Dest Doc]])*TblConstr[[#This Row],[CPA Lumber -DB]]*tech_3_3_2*TblTech[[#This Row],[3-3]]</f>
        <v>10186</v>
      </c>
      <c r="K39" s="97">
        <f ca="1">OFFSET(TblProd[[#This Row],[Mana]],-1,0)+OFFSET(TblProd[[#This Row],[Mana/hr]],-1,0)- TblProd[[#This Row],[Expenses Mana]]</f>
        <v>4725</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3</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9" s="97">
        <f ca="1">MAX(3750,_xlfn.CEILING.MATH(TblProd[[#This Row],[Land]]*2.5+OFFSET(TblTech[[#This Row],[Sum of tech]],-1,0)*150))</f>
        <v>3750</v>
      </c>
      <c r="R39" s="145"/>
      <c r="S39" s="97">
        <f ca="1">ROUNDDOWN(TblProd[[#This Row],[Raw Plat/hr]]*(1+TblProd[[#This Row],[Bonus Plat/hr]]),0)</f>
        <v>27896</v>
      </c>
      <c r="T39" s="97">
        <f ca="1">ROUND(TblProd[[#This Row],[Raw Food/hr]]*(1+TblProd[[#This Row],[Bonus Food/hr]])-TblProd[[#This Row],[Food decay]]-TblProd[[#This Row],[Food eaten]],0)</f>
        <v>-986</v>
      </c>
      <c r="U39" s="97">
        <f ca="1">ROUND(TblProd[[#This Row],[Raw Lumber/hr]]*(1+TblProd[[#This Row],[Bonus Lumber/hr]])-TblProd[[#This Row],[Lumber rot]],0)</f>
        <v>933</v>
      </c>
      <c r="V39" s="97">
        <f ca="1">ROUND(TblProd[[#This Row],[Raw Mana/hr]]*(1+TblProd[[#This Row],[Bonus Mana/hr]])-TblProd[[#This Row],[Mana drain]],0)</f>
        <v>356</v>
      </c>
      <c r="W39" s="97">
        <f ca="1">ROUNDDOWN(TblProd[[#This Row],[Raw Ore/hr]]*(1+TblProd[[#This Row],[Bonux Ore/hr]]),0)</f>
        <v>0</v>
      </c>
      <c r="X39" s="97">
        <f ca="1">ROUNDDOWN(TblProd[[#This Row],[Raw Gems/hr]]*(1+TblProd[[#This Row],[Bonus Gems/hr]]),0)</f>
        <v>0</v>
      </c>
      <c r="Y39" s="158">
        <f ca="1">OFFSET(TblConstr[[#This Row],[Tot Doc]],1,0)*dock_boats_hr * (1 + tech_4_1*TblTech[[#This Row],[4-1]])</f>
        <v>0.25</v>
      </c>
      <c r="Z39" s="157"/>
      <c r="AA39" s="97">
        <f ca="1">TblPop[[#This Row],[Peasants]]*tax*TblPop[[#This Row],[Employment]] + (Construction!AZ40+Construction!BX40)*(alch_plat+(Magic!AM39&gt;0)*alchemist_flame_bonus)</f>
        <v>25360.5</v>
      </c>
      <c r="AB39" s="97">
        <f ca="1">TblConstr[[#This Row],[Tot Farm]]*farm_food + TblConstr[[#This Row],[Tot Doc]]*dock_food</f>
        <v>840</v>
      </c>
      <c r="AC39" s="97">
        <f ca="1">TblConstr[[#This Row],[Tot Ly]]*ly_lumber + TblConstr[[#This Row],[Tot Hav]]*fh_lumber</f>
        <v>1150</v>
      </c>
      <c r="AD39" s="97">
        <f ca="1">OFFSET(TblConstr[[#This Row],[Tot Tow]],1,0)*(tower_mana + tech_4_5*TblTech[[#This Row],[4-5]]) + OFFSET(TblConstr[[#This Row],[Tot WG]],1,0)*wg_mana_prod</f>
        <v>450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0.1</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39" s="159">
        <f ca="1">race_lumber_bonus+ IF(TblMagic[[#This Row],[Active Gaia''s Blessing]]&gt;0,gaias_blessing_lumber)+ tech_1_3*TblTech[[#This Row],[1-3]] + tech_1_6*TblTech[[#This Row],[1-6]] + tech_3_3*TblTech[[#This Row],[3-3]]</f>
        <v>-0.1</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0.15</v>
      </c>
      <c r="AN39" s="145"/>
      <c r="AO39" s="97">
        <f ca="1">TblProd[[#This Row],[Food]]*food_decay * (1 + tech_2_1*TblTech[[#This Row],[2-1]] + tech_2_8*TblTech[[#This Row],[2-8]])</f>
        <v>204.47</v>
      </c>
      <c r="AP39" s="97">
        <f ca="1">(1+race_food_consumption)*TblPop[[#This Row],[Total]]*food_per_person*(1+tech_1_10*TblTech[[#This Row],[1-10]]+tech_7_5*TblTech[[#This Row],[7-5]])</f>
        <v>1642.75</v>
      </c>
      <c r="AQ39" s="97">
        <f ca="1">TblProd[[#This Row],[Lumber]]*lumber_rot * (1 + tech_2_1*TblTech[[#This Row],[2-1]] + tech_2_8*TblTech[[#This Row],[2-8]] + tech_5_2*TblTech[[#This Row],[5-2]])</f>
        <v>101.86</v>
      </c>
      <c r="AR39" s="97">
        <f ca="1">TblProd[[#This Row],[Mana]]*mana_drain * (1 + tech_2_1*TblTech[[#This Row],[2-1]] + tech_2_8*TblTech[[#This Row],[2-8]])</f>
        <v>94.5</v>
      </c>
      <c r="AS39" s="157"/>
      <c r="AT39" s="97">
        <f ca="1">TblExplore[[#This Row],[Platinum (2)]]+TblConstr[[#This Row],[Total Plat Cost]]+TblMili[[#This Row],[Plat Cost]]+TblRezone[[#This Row],[Platinum cost]]+TblImps[[#This Row],[P1]]-TblProd[[#This Row],[Bank Plat]]</f>
        <v>24117</v>
      </c>
      <c r="AU39" s="97">
        <f ca="1">TblConstr[[#This Row],[Total Lum Cost]]+TblImps[[#This Row],[L1]]-TblProd[[#This Row],[Bank Lumber]] + Military!$CL$25*TblMili[[#This Row],[Sec. rec. Cost]]</f>
        <v>680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45431.208333333248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55040</v>
      </c>
      <c r="BJ39" s="97">
        <f ca="1">TblProd[[#This Row],[Food]]</f>
        <v>20447</v>
      </c>
      <c r="BK39" s="97">
        <f ca="1">TblProd[[#This Row],[Lumber]]</f>
        <v>10186</v>
      </c>
      <c r="BL39" s="97">
        <f ca="1">TblProd[[#This Row],[Mana]]</f>
        <v>4725</v>
      </c>
      <c r="BM39" s="97">
        <f ca="1">TblProd[[#This Row],[Ore]]</f>
        <v>0</v>
      </c>
    </row>
    <row r="40" spans="1:65" x14ac:dyDescent="0.2">
      <c r="A40" s="140">
        <v>37</v>
      </c>
      <c r="B40" s="155">
        <f ca="1">TblImps[[#This Row],[Time]]</f>
        <v>45431.249999999913</v>
      </c>
      <c r="C40" s="156"/>
      <c r="D40" s="157"/>
      <c r="E40" s="97">
        <f ca="1">TblConstr[[#This Row],[Land]]</f>
        <v>419</v>
      </c>
      <c r="F40" s="97">
        <f ca="1">TblPop[[#This Row],[Peasants]]</f>
        <v>6698</v>
      </c>
      <c r="G40" s="97">
        <f ca="1">TblMili[[#This Row],[Networth (2)]]</f>
        <v>9875</v>
      </c>
      <c r="H40" s="97">
        <f ca="1">OFFSET(TblProd[[#This Row],[Platinum]],-1,0)+OFFSET(TblProd[[#This Row],[Plat/hr]],-1,0) - TblProd[[#This Row],[Expenses Platinum]] + IF(TblProd[[#This Row],[Plat Bonus]],TblPop[[#This Row],[Peasants]]*4) + SUM(TblConstr[[#This Row],[Dest Hom]:[Dest Doc]])*TblConstr[[#This Row],[CPA Platinum -DB]]*tech_3_3_2*TblTech[[#This Row],[3-3]]</f>
        <v>63059</v>
      </c>
      <c r="I40" s="97">
        <f ca="1">OFFSET(TblProd[[#This Row],[Food]],-1,0)+OFFSET(TblProd[[#This Row],[Food/hr]],-1,0)+ROUNDUP((TblConstr[[#This Row],[Farms]]*80+TblConstr[[#This Row],[Docks]]*35)*(1+OFFSET(TblProd[[#This Row],[Bonus Food/hr]],-1,0)),0)</f>
        <v>19461</v>
      </c>
      <c r="J40" s="97">
        <f ca="1">OFFSET(TblProd[[#This Row],[Lumber]],-1,0)+OFFSET(TblProd[[#This Row],[Lumber/hr]],-1,0) - TblProd[[#This Row],[Expenses Lumber]] + SUM(TblConstr[[#This Row],[Dest Hom]:[Dest Doc]])*TblConstr[[#This Row],[CPA Lumber -DB]]*tech_3_3_2*TblTech[[#This Row],[3-3]]</f>
        <v>11119</v>
      </c>
      <c r="K40" s="97">
        <f ca="1">OFFSET(TblProd[[#This Row],[Mana]],-1,0)+OFFSET(TblProd[[#This Row],[Mana/hr]],-1,0)- TblProd[[#This Row],[Expenses Mana]]</f>
        <v>5081</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3.25</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0" s="97">
        <f ca="1">MAX(3750,_xlfn.CEILING.MATH(TblProd[[#This Row],[Land]]*2.5+OFFSET(TblTech[[#This Row],[Sum of tech]],-1,0)*150))</f>
        <v>3750</v>
      </c>
      <c r="R40" s="145"/>
      <c r="S40" s="97">
        <f ca="1">ROUNDDOWN(TblProd[[#This Row],[Raw Plat/hr]]*(1+TblProd[[#This Row],[Bonus Plat/hr]]),0)</f>
        <v>27896</v>
      </c>
      <c r="T40" s="97">
        <f ca="1">ROUND(TblProd[[#This Row],[Raw Food/hr]]*(1+TblProd[[#This Row],[Bonus Food/hr]])-TblProd[[#This Row],[Food decay]]-TblProd[[#This Row],[Food eaten]],0)</f>
        <v>-1008</v>
      </c>
      <c r="U40" s="97">
        <f ca="1">ROUND(TblProd[[#This Row],[Raw Lumber/hr]]*(1+TblProd[[#This Row],[Bonus Lumber/hr]])-TblProd[[#This Row],[Lumber rot]],0)</f>
        <v>924</v>
      </c>
      <c r="V40" s="97">
        <f ca="1">ROUND(TblProd[[#This Row],[Raw Mana/hr]]*(1+TblProd[[#This Row],[Bonus Mana/hr]])-TblProd[[#This Row],[Mana drain]],0)</f>
        <v>348</v>
      </c>
      <c r="W40" s="97">
        <f ca="1">ROUNDDOWN(TblProd[[#This Row],[Raw Ore/hr]]*(1+TblProd[[#This Row],[Bonux Ore/hr]]),0)</f>
        <v>0</v>
      </c>
      <c r="X40" s="97">
        <f ca="1">ROUNDDOWN(TblProd[[#This Row],[Raw Gems/hr]]*(1+TblProd[[#This Row],[Bonus Gems/hr]]),0)</f>
        <v>0</v>
      </c>
      <c r="Y40" s="158">
        <f ca="1">OFFSET(TblConstr[[#This Row],[Tot Doc]],1,0)*dock_boats_hr * (1 + tech_4_1*TblTech[[#This Row],[4-1]])</f>
        <v>0.25</v>
      </c>
      <c r="Z40" s="157"/>
      <c r="AA40" s="97">
        <f ca="1">TblPop[[#This Row],[Peasants]]*tax*TblPop[[#This Row],[Employment]] + (Construction!AZ41+Construction!BX41)*(alch_plat+(Magic!AM40&gt;0)*alchemist_flame_bonus)</f>
        <v>25360.500000000004</v>
      </c>
      <c r="AB40" s="97">
        <f ca="1">TblConstr[[#This Row],[Tot Farm]]*farm_food + TblConstr[[#This Row],[Tot Doc]]*dock_food</f>
        <v>840</v>
      </c>
      <c r="AC40" s="97">
        <f ca="1">TblConstr[[#This Row],[Tot Ly]]*ly_lumber + TblConstr[[#This Row],[Tot Hav]]*fh_lumber</f>
        <v>1150</v>
      </c>
      <c r="AD40" s="97">
        <f ca="1">OFFSET(TblConstr[[#This Row],[Tot Tow]],1,0)*(tower_mana + tech_4_5*TblTech[[#This Row],[4-5]]) + OFFSET(TblConstr[[#This Row],[Tot WG]],1,0)*wg_mana_prod</f>
        <v>450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0.1</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0" s="159">
        <f ca="1">race_lumber_bonus+ IF(TblMagic[[#This Row],[Active Gaia''s Blessing]]&gt;0,gaias_blessing_lumber)+ tech_1_3*TblTech[[#This Row],[1-3]] + tech_1_6*TblTech[[#This Row],[1-6]] + tech_3_3*TblTech[[#This Row],[3-3]]</f>
        <v>-0.1</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0.15</v>
      </c>
      <c r="AN40" s="145"/>
      <c r="AO40" s="97">
        <f ca="1">TblProd[[#This Row],[Food]]*food_decay * (1 + tech_2_1*TblTech[[#This Row],[2-1]] + tech_2_8*TblTech[[#This Row],[2-8]])</f>
        <v>194.61</v>
      </c>
      <c r="AP40" s="97">
        <f ca="1">(1+race_food_consumption)*TblPop[[#This Row],[Total]]*food_per_person*(1+tech_1_10*TblTech[[#This Row],[1-10]]+tech_7_5*TblTech[[#This Row],[7-5]])</f>
        <v>1674.75</v>
      </c>
      <c r="AQ40" s="97">
        <f ca="1">TblProd[[#This Row],[Lumber]]*lumber_rot * (1 + tech_2_1*TblTech[[#This Row],[2-1]] + tech_2_8*TblTech[[#This Row],[2-8]] + tech_5_2*TblTech[[#This Row],[5-2]])</f>
        <v>111.19</v>
      </c>
      <c r="AR40" s="97">
        <f ca="1">TblProd[[#This Row],[Mana]]*mana_drain * (1 + tech_2_1*TblTech[[#This Row],[2-1]] + tech_2_8*TblTech[[#This Row],[2-8]])</f>
        <v>101.62</v>
      </c>
      <c r="AS40" s="157"/>
      <c r="AT40" s="97">
        <f ca="1">TblExplore[[#This Row],[Platinum (2)]]+TblConstr[[#This Row],[Total Plat Cost]]+TblMili[[#This Row],[Plat Cost]]+TblRezone[[#This Row],[Platinum cost]]+TblImps[[#This Row],[P1]]-TblProd[[#This Row],[Bank Plat]]</f>
        <v>19877</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45431.249999999913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63059</v>
      </c>
      <c r="BJ40" s="97">
        <f ca="1">TblProd[[#This Row],[Food]]</f>
        <v>19461</v>
      </c>
      <c r="BK40" s="97">
        <f ca="1">TblProd[[#This Row],[Lumber]]</f>
        <v>11119</v>
      </c>
      <c r="BL40" s="97">
        <f ca="1">TblProd[[#This Row],[Mana]]</f>
        <v>5081</v>
      </c>
      <c r="BM40" s="97">
        <f ca="1">TblProd[[#This Row],[Ore]]</f>
        <v>0</v>
      </c>
    </row>
    <row r="41" spans="1:65" x14ac:dyDescent="0.2">
      <c r="A41" s="140">
        <v>38</v>
      </c>
      <c r="B41" s="155">
        <f ca="1">TblImps[[#This Row],[Time]]</f>
        <v>45431.291666666577</v>
      </c>
      <c r="C41" s="156"/>
      <c r="D41" s="157"/>
      <c r="E41" s="97">
        <f ca="1">TblConstr[[#This Row],[Land]]</f>
        <v>419</v>
      </c>
      <c r="F41" s="97">
        <f ca="1">TblPop[[#This Row],[Peasants]]</f>
        <v>6696</v>
      </c>
      <c r="G41" s="97">
        <f ca="1">TblMili[[#This Row],[Networth (2)]]</f>
        <v>9875</v>
      </c>
      <c r="H41" s="97">
        <f ca="1">OFFSET(TblProd[[#This Row],[Platinum]],-1,0)+OFFSET(TblProd[[#This Row],[Plat/hr]],-1,0) - TblProd[[#This Row],[Expenses Platinum]] + IF(TblProd[[#This Row],[Plat Bonus]],TblPop[[#This Row],[Peasants]]*4) + SUM(TblConstr[[#This Row],[Dest Hom]:[Dest Doc]])*TblConstr[[#This Row],[CPA Platinum -DB]]*tech_3_3_2*TblTech[[#This Row],[3-3]]</f>
        <v>71078</v>
      </c>
      <c r="I41" s="97">
        <f ca="1">OFFSET(TblProd[[#This Row],[Food]],-1,0)+OFFSET(TblProd[[#This Row],[Food/hr]],-1,0)+ROUNDUP((TblConstr[[#This Row],[Farms]]*80+TblConstr[[#This Row],[Docks]]*35)*(1+OFFSET(TblProd[[#This Row],[Bonus Food/hr]],-1,0)),0)</f>
        <v>18453</v>
      </c>
      <c r="J41" s="97">
        <f ca="1">OFFSET(TblProd[[#This Row],[Lumber]],-1,0)+OFFSET(TblProd[[#This Row],[Lumber/hr]],-1,0) - TblProd[[#This Row],[Expenses Lumber]] + SUM(TblConstr[[#This Row],[Dest Hom]:[Dest Doc]])*TblConstr[[#This Row],[CPA Lumber -DB]]*tech_3_3_2*TblTech[[#This Row],[3-3]]</f>
        <v>12043</v>
      </c>
      <c r="K41" s="97">
        <f ca="1">OFFSET(TblProd[[#This Row],[Mana]],-1,0)+OFFSET(TblProd[[#This Row],[Mana/hr]],-1,0)- TblProd[[#This Row],[Expenses Mana]]</f>
        <v>2286.5</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3.5</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1" s="97">
        <f ca="1">MAX(3750,_xlfn.CEILING.MATH(TblProd[[#This Row],[Land]]*2.5+OFFSET(TblTech[[#This Row],[Sum of tech]],-1,0)*150))</f>
        <v>3750</v>
      </c>
      <c r="R41" s="145"/>
      <c r="S41" s="97">
        <f ca="1">ROUNDDOWN(TblProd[[#This Row],[Raw Plat/hr]]*(1+TblProd[[#This Row],[Bonus Plat/hr]]),0)</f>
        <v>27896</v>
      </c>
      <c r="T41" s="97">
        <f ca="1">ROUND(TblProd[[#This Row],[Raw Food/hr]]*(1+TblProd[[#This Row],[Bonus Food/hr]])-TblProd[[#This Row],[Food decay]]-TblProd[[#This Row],[Food eaten]],0)</f>
        <v>-998</v>
      </c>
      <c r="U41" s="97">
        <f ca="1">ROUND(TblProd[[#This Row],[Raw Lumber/hr]]*(1+TblProd[[#This Row],[Bonus Lumber/hr]])-TblProd[[#This Row],[Lumber rot]],0)</f>
        <v>915</v>
      </c>
      <c r="V41" s="97">
        <f ca="1">ROUND(TblProd[[#This Row],[Raw Mana/hr]]*(1+TblProd[[#This Row],[Bonus Mana/hr]])-TblProd[[#This Row],[Mana drain]],0)</f>
        <v>404</v>
      </c>
      <c r="W41" s="97">
        <f ca="1">ROUNDDOWN(TblProd[[#This Row],[Raw Ore/hr]]*(1+TblProd[[#This Row],[Bonux Ore/hr]]),0)</f>
        <v>0</v>
      </c>
      <c r="X41" s="97">
        <f ca="1">ROUNDDOWN(TblProd[[#This Row],[Raw Gems/hr]]*(1+TblProd[[#This Row],[Bonus Gems/hr]]),0)</f>
        <v>0</v>
      </c>
      <c r="Y41" s="158">
        <f ca="1">OFFSET(TblConstr[[#This Row],[Tot Doc]],1,0)*dock_boats_hr * (1 + tech_4_1*TblTech[[#This Row],[4-1]])</f>
        <v>0.25</v>
      </c>
      <c r="Z41" s="157"/>
      <c r="AA41" s="97">
        <f ca="1">TblPop[[#This Row],[Peasants]]*tax*TblPop[[#This Row],[Employment]] + (Construction!AZ42+Construction!BX42)*(alch_plat+(Magic!AM41&gt;0)*alchemist_flame_bonus)</f>
        <v>25360.5</v>
      </c>
      <c r="AB41" s="97">
        <f ca="1">TblConstr[[#This Row],[Tot Farm]]*farm_food + TblConstr[[#This Row],[Tot Doc]]*dock_food</f>
        <v>840</v>
      </c>
      <c r="AC41" s="97">
        <f ca="1">TblConstr[[#This Row],[Tot Ly]]*ly_lumber + TblConstr[[#This Row],[Tot Hav]]*fh_lumber</f>
        <v>1150</v>
      </c>
      <c r="AD41" s="97">
        <f ca="1">OFFSET(TblConstr[[#This Row],[Tot Tow]],1,0)*(tower_mana + tech_4_5*TblTech[[#This Row],[4-5]]) + OFFSET(TblConstr[[#This Row],[Tot WG]],1,0)*wg_mana_prod</f>
        <v>450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0.1</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1" s="159">
        <f ca="1">race_lumber_bonus+ IF(TblMagic[[#This Row],[Active Gaia''s Blessing]]&gt;0,gaias_blessing_lumber)+ tech_1_3*TblTech[[#This Row],[1-3]] + tech_1_6*TblTech[[#This Row],[1-6]] + tech_3_3*TblTech[[#This Row],[3-3]]</f>
        <v>-0.1</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0.15</v>
      </c>
      <c r="AN41" s="145"/>
      <c r="AO41" s="97">
        <f ca="1">TblProd[[#This Row],[Food]]*food_decay * (1 + tech_2_1*TblTech[[#This Row],[2-1]] + tech_2_8*TblTech[[#This Row],[2-8]])</f>
        <v>184.53</v>
      </c>
      <c r="AP41" s="97">
        <f ca="1">(1+race_food_consumption)*TblPop[[#This Row],[Total]]*food_per_person*(1+tech_1_10*TblTech[[#This Row],[1-10]]+tech_7_5*TblTech[[#This Row],[7-5]])</f>
        <v>1674.75</v>
      </c>
      <c r="AQ41" s="97">
        <f ca="1">TblProd[[#This Row],[Lumber]]*lumber_rot * (1 + tech_2_1*TblTech[[#This Row],[2-1]] + tech_2_8*TblTech[[#This Row],[2-8]] + tech_5_2*TblTech[[#This Row],[5-2]])</f>
        <v>120.43</v>
      </c>
      <c r="AR41" s="97">
        <f ca="1">TblProd[[#This Row],[Mana]]*mana_drain * (1 + tech_2_1*TblTech[[#This Row],[2-1]] + tech_2_8*TblTech[[#This Row],[2-8]])</f>
        <v>45.730000000000004</v>
      </c>
      <c r="AS41" s="157"/>
      <c r="AT41" s="97">
        <f ca="1">TblExplore[[#This Row],[Platinum (2)]]+TblConstr[[#This Row],[Total Plat Cost]]+TblMili[[#This Row],[Plat Cost]]+TblRezone[[#This Row],[Platinum cost]]+TblImps[[#This Row],[P1]]-TblProd[[#This Row],[Bank Plat]]</f>
        <v>19877</v>
      </c>
      <c r="AU41" s="97">
        <f ca="1">TblConstr[[#This Row],[Total Lum Cost]]+TblImps[[#This Row],[L1]]-TblProd[[#This Row],[Bank Lumber]] + Military!$CL$25*TblMili[[#This Row],[Sec. rec. Cost]]</f>
        <v>0</v>
      </c>
      <c r="AV41" s="97">
        <f ca="1">TblMagic[[#This Row],[Mana cost]] + Military!$CL$26*TblMili[[#This Row],[Sec. rec. Cost]]</f>
        <v>3142.5</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45431.291666666577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71078</v>
      </c>
      <c r="BJ41" s="97">
        <f ca="1">TblProd[[#This Row],[Food]]</f>
        <v>18453</v>
      </c>
      <c r="BK41" s="97">
        <f ca="1">TblProd[[#This Row],[Lumber]]</f>
        <v>12043</v>
      </c>
      <c r="BL41" s="97">
        <f ca="1">TblProd[[#This Row],[Mana]]</f>
        <v>2286.5</v>
      </c>
      <c r="BM41" s="97">
        <f ca="1">TblProd[[#This Row],[Ore]]</f>
        <v>0</v>
      </c>
    </row>
    <row r="42" spans="1:65" x14ac:dyDescent="0.2">
      <c r="A42" s="140">
        <v>39</v>
      </c>
      <c r="B42" s="155">
        <f ca="1">TblImps[[#This Row],[Time]]</f>
        <v>45431.333333333241</v>
      </c>
      <c r="C42" s="156"/>
      <c r="D42" s="157"/>
      <c r="E42" s="97">
        <f ca="1">TblConstr[[#This Row],[Land]]</f>
        <v>419</v>
      </c>
      <c r="F42" s="97">
        <f ca="1">TblPop[[#This Row],[Peasants]]</f>
        <v>6694</v>
      </c>
      <c r="G42" s="97">
        <f ca="1">TblMili[[#This Row],[Networth (2)]]</f>
        <v>9875</v>
      </c>
      <c r="H42" s="97">
        <f ca="1">OFFSET(TblProd[[#This Row],[Platinum]],-1,0)+OFFSET(TblProd[[#This Row],[Plat/hr]],-1,0) - TblProd[[#This Row],[Expenses Platinum]] + IF(TblProd[[#This Row],[Plat Bonus]],TblPop[[#This Row],[Peasants]]*4) + SUM(TblConstr[[#This Row],[Dest Hom]:[Dest Doc]])*TblConstr[[#This Row],[CPA Platinum -DB]]*tech_3_3_2*TblTech[[#This Row],[3-3]]</f>
        <v>77568</v>
      </c>
      <c r="I42" s="97">
        <f ca="1">OFFSET(TblProd[[#This Row],[Food]],-1,0)+OFFSET(TblProd[[#This Row],[Food/hr]],-1,0)+ROUNDUP((TblConstr[[#This Row],[Farms]]*80+TblConstr[[#This Row],[Docks]]*35)*(1+OFFSET(TblProd[[#This Row],[Bonus Food/hr]],-1,0)),0)</f>
        <v>17455</v>
      </c>
      <c r="J42" s="97">
        <f ca="1">OFFSET(TblProd[[#This Row],[Lumber]],-1,0)+OFFSET(TblProd[[#This Row],[Lumber/hr]],-1,0) - TblProd[[#This Row],[Expenses Lumber]] + SUM(TblConstr[[#This Row],[Dest Hom]:[Dest Doc]])*TblConstr[[#This Row],[CPA Lumber -DB]]*tech_3_3_2*TblTech[[#This Row],[3-3]]</f>
        <v>12958</v>
      </c>
      <c r="K42" s="97">
        <f ca="1">OFFSET(TblProd[[#This Row],[Mana]],-1,0)+OFFSET(TblProd[[#This Row],[Mana/hr]],-1,0)- TblProd[[#This Row],[Expenses Mana]]</f>
        <v>2690.5</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3.75</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2" s="97">
        <f ca="1">MAX(3750,_xlfn.CEILING.MATH(TblProd[[#This Row],[Land]]*2.5+OFFSET(TblTech[[#This Row],[Sum of tech]],-1,0)*150))</f>
        <v>3750</v>
      </c>
      <c r="R42" s="145"/>
      <c r="S42" s="97">
        <f ca="1">ROUNDDOWN(TblProd[[#This Row],[Raw Plat/hr]]*(1+TblProd[[#This Row],[Bonus Plat/hr]]),0)</f>
        <v>27896</v>
      </c>
      <c r="T42" s="97">
        <f ca="1">ROUND(TblProd[[#This Row],[Raw Food/hr]]*(1+TblProd[[#This Row],[Bonus Food/hr]])-TblProd[[#This Row],[Food decay]]-TblProd[[#This Row],[Food eaten]],0)</f>
        <v>-987</v>
      </c>
      <c r="U42" s="97">
        <f ca="1">ROUND(TblProd[[#This Row],[Raw Lumber/hr]]*(1+TblProd[[#This Row],[Bonus Lumber/hr]])-TblProd[[#This Row],[Lumber rot]],0)</f>
        <v>905</v>
      </c>
      <c r="V42" s="97">
        <f ca="1">ROUND(TblProd[[#This Row],[Raw Mana/hr]]*(1+TblProd[[#This Row],[Bonus Mana/hr]])-TblProd[[#This Row],[Mana drain]],0)</f>
        <v>396</v>
      </c>
      <c r="W42" s="97">
        <f ca="1">ROUNDDOWN(TblProd[[#This Row],[Raw Ore/hr]]*(1+TblProd[[#This Row],[Bonux Ore/hr]]),0)</f>
        <v>0</v>
      </c>
      <c r="X42" s="97">
        <f ca="1">ROUNDDOWN(TblProd[[#This Row],[Raw Gems/hr]]*(1+TblProd[[#This Row],[Bonus Gems/hr]]),0)</f>
        <v>0</v>
      </c>
      <c r="Y42" s="158">
        <f ca="1">OFFSET(TblConstr[[#This Row],[Tot Doc]],1,0)*dock_boats_hr * (1 + tech_4_1*TblTech[[#This Row],[4-1]])</f>
        <v>0.25</v>
      </c>
      <c r="Z42" s="157"/>
      <c r="AA42" s="97">
        <f ca="1">TblPop[[#This Row],[Peasants]]*tax*TblPop[[#This Row],[Employment]] + (Construction!AZ43+Construction!BX43)*(alch_plat+(Magic!AM42&gt;0)*alchemist_flame_bonus)</f>
        <v>25360.500000000004</v>
      </c>
      <c r="AB42" s="97">
        <f ca="1">TblConstr[[#This Row],[Tot Farm]]*farm_food + TblConstr[[#This Row],[Tot Doc]]*dock_food</f>
        <v>840</v>
      </c>
      <c r="AC42" s="97">
        <f ca="1">TblConstr[[#This Row],[Tot Ly]]*ly_lumber + TblConstr[[#This Row],[Tot Hav]]*fh_lumber</f>
        <v>1150</v>
      </c>
      <c r="AD42" s="97">
        <f ca="1">OFFSET(TblConstr[[#This Row],[Tot Tow]],1,0)*(tower_mana + tech_4_5*TblTech[[#This Row],[4-5]]) + OFFSET(TblConstr[[#This Row],[Tot WG]],1,0)*wg_mana_prod</f>
        <v>450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0.1</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2" s="159">
        <f ca="1">race_lumber_bonus+ IF(TblMagic[[#This Row],[Active Gaia''s Blessing]]&gt;0,gaias_blessing_lumber)+ tech_1_3*TblTech[[#This Row],[1-3]] + tech_1_6*TblTech[[#This Row],[1-6]] + tech_3_3*TblTech[[#This Row],[3-3]]</f>
        <v>-0.1</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0.15</v>
      </c>
      <c r="AN42" s="145"/>
      <c r="AO42" s="97">
        <f ca="1">TblProd[[#This Row],[Food]]*food_decay * (1 + tech_2_1*TblTech[[#This Row],[2-1]] + tech_2_8*TblTech[[#This Row],[2-8]])</f>
        <v>174.55</v>
      </c>
      <c r="AP42" s="97">
        <f ca="1">(1+race_food_consumption)*TblPop[[#This Row],[Total]]*food_per_person*(1+tech_1_10*TblTech[[#This Row],[1-10]]+tech_7_5*TblTech[[#This Row],[7-5]])</f>
        <v>1673.5</v>
      </c>
      <c r="AQ42" s="97">
        <f ca="1">TblProd[[#This Row],[Lumber]]*lumber_rot * (1 + tech_2_1*TblTech[[#This Row],[2-1]] + tech_2_8*TblTech[[#This Row],[2-8]] + tech_5_2*TblTech[[#This Row],[5-2]])</f>
        <v>129.58000000000001</v>
      </c>
      <c r="AR42" s="97">
        <f ca="1">TblProd[[#This Row],[Mana]]*mana_drain * (1 + tech_2_1*TblTech[[#This Row],[2-1]] + tech_2_8*TblTech[[#This Row],[2-8]])</f>
        <v>53.81</v>
      </c>
      <c r="AS42" s="157"/>
      <c r="AT42" s="97">
        <f ca="1">TblExplore[[#This Row],[Platinum (2)]]+TblConstr[[#This Row],[Total Plat Cost]]+TblMili[[#This Row],[Plat Cost]]+TblRezone[[#This Row],[Platinum cost]]+TblImps[[#This Row],[P1]]-TblProd[[#This Row],[Bank Plat]]</f>
        <v>21406</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45431.333333333241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77568</v>
      </c>
      <c r="BJ42" s="97">
        <f ca="1">TblProd[[#This Row],[Food]]</f>
        <v>17455</v>
      </c>
      <c r="BK42" s="97">
        <f ca="1">TblProd[[#This Row],[Lumber]]</f>
        <v>12958</v>
      </c>
      <c r="BL42" s="97">
        <f ca="1">TblProd[[#This Row],[Mana]]</f>
        <v>2690.5</v>
      </c>
      <c r="BM42" s="97">
        <f ca="1">TblProd[[#This Row],[Ore]]</f>
        <v>0</v>
      </c>
    </row>
    <row r="43" spans="1:65" x14ac:dyDescent="0.2">
      <c r="A43" s="140">
        <v>40</v>
      </c>
      <c r="B43" s="155">
        <f ca="1">TblImps[[#This Row],[Time]]</f>
        <v>45431.374999999905</v>
      </c>
      <c r="C43" s="156"/>
      <c r="D43" s="157"/>
      <c r="E43" s="97">
        <f ca="1">TblConstr[[#This Row],[Land]]</f>
        <v>419</v>
      </c>
      <c r="F43" s="97">
        <f ca="1">TblPop[[#This Row],[Peasants]]</f>
        <v>6697</v>
      </c>
      <c r="G43" s="97">
        <f ca="1">TblMili[[#This Row],[Networth (2)]]</f>
        <v>9875</v>
      </c>
      <c r="H43" s="97">
        <f ca="1">OFFSET(TblProd[[#This Row],[Platinum]],-1,0)+OFFSET(TblProd[[#This Row],[Plat/hr]],-1,0) - TblProd[[#This Row],[Expenses Platinum]] + IF(TblProd[[#This Row],[Plat Bonus]],TblPop[[#This Row],[Peasants]]*4) + SUM(TblConstr[[#This Row],[Dest Hom]:[Dest Doc]])*TblConstr[[#This Row],[CPA Platinum -DB]]*tech_3_3_2*TblTech[[#This Row],[3-3]]</f>
        <v>85587</v>
      </c>
      <c r="I43" s="97">
        <f ca="1">OFFSET(TblProd[[#This Row],[Food]],-1,0)+OFFSET(TblProd[[#This Row],[Food/hr]],-1,0)+ROUNDUP((TblConstr[[#This Row],[Farms]]*80+TblConstr[[#This Row],[Docks]]*35)*(1+OFFSET(TblProd[[#This Row],[Bonus Food/hr]],-1,0)),0)</f>
        <v>16468</v>
      </c>
      <c r="J43" s="97">
        <f ca="1">OFFSET(TblProd[[#This Row],[Lumber]],-1,0)+OFFSET(TblProd[[#This Row],[Lumber/hr]],-1,0) - TblProd[[#This Row],[Expenses Lumber]] + SUM(TblConstr[[#This Row],[Dest Hom]:[Dest Doc]])*TblConstr[[#This Row],[CPA Lumber -DB]]*tech_3_3_2*TblTech[[#This Row],[3-3]]</f>
        <v>13863</v>
      </c>
      <c r="K43" s="97">
        <f ca="1">OFFSET(TblProd[[#This Row],[Mana]],-1,0)+OFFSET(TblProd[[#This Row],[Mana/hr]],-1,0)- TblProd[[#This Row],[Expenses Mana]]</f>
        <v>2039</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4</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3" s="97">
        <f ca="1">MAX(3750,_xlfn.CEILING.MATH(TblProd[[#This Row],[Land]]*2.5+OFFSET(TblTech[[#This Row],[Sum of tech]],-1,0)*150))</f>
        <v>3750</v>
      </c>
      <c r="R43" s="145"/>
      <c r="S43" s="97">
        <f ca="1">ROUNDDOWN(TblProd[[#This Row],[Raw Plat/hr]]*(1+TblProd[[#This Row],[Bonus Plat/hr]]),0)</f>
        <v>27896</v>
      </c>
      <c r="T43" s="97">
        <f ca="1">ROUND(TblProd[[#This Row],[Raw Food/hr]]*(1+TblProd[[#This Row],[Bonus Food/hr]])-TblProd[[#This Row],[Food decay]]-TblProd[[#This Row],[Food eaten]],0)</f>
        <v>-978</v>
      </c>
      <c r="U43" s="97">
        <f ca="1">ROUND(TblProd[[#This Row],[Raw Lumber/hr]]*(1+TblProd[[#This Row],[Bonus Lumber/hr]])-TblProd[[#This Row],[Lumber rot]],0)</f>
        <v>896</v>
      </c>
      <c r="V43" s="97">
        <f ca="1">ROUND(TblProd[[#This Row],[Raw Mana/hr]]*(1+TblProd[[#This Row],[Bonus Mana/hr]])-TblProd[[#This Row],[Mana drain]],0)</f>
        <v>409</v>
      </c>
      <c r="W43" s="97">
        <f ca="1">ROUNDDOWN(TblProd[[#This Row],[Raw Ore/hr]]*(1+TblProd[[#This Row],[Bonux Ore/hr]]),0)</f>
        <v>0</v>
      </c>
      <c r="X43" s="97">
        <f ca="1">ROUNDDOWN(TblProd[[#This Row],[Raw Gems/hr]]*(1+TblProd[[#This Row],[Bonus Gems/hr]]),0)</f>
        <v>0</v>
      </c>
      <c r="Y43" s="158">
        <f ca="1">OFFSET(TblConstr[[#This Row],[Tot Doc]],1,0)*dock_boats_hr * (1 + tech_4_1*TblTech[[#This Row],[4-1]])</f>
        <v>0.25</v>
      </c>
      <c r="Z43" s="157"/>
      <c r="AA43" s="97">
        <f ca="1">TblPop[[#This Row],[Peasants]]*tax*TblPop[[#This Row],[Employment]] + (Construction!AZ44+Construction!BX44)*(alch_plat+(Magic!AM43&gt;0)*alchemist_flame_bonus)</f>
        <v>25360.5</v>
      </c>
      <c r="AB43" s="97">
        <f ca="1">TblConstr[[#This Row],[Tot Farm]]*farm_food + TblConstr[[#This Row],[Tot Doc]]*dock_food</f>
        <v>840</v>
      </c>
      <c r="AC43" s="97">
        <f ca="1">TblConstr[[#This Row],[Tot Ly]]*ly_lumber + TblConstr[[#This Row],[Tot Hav]]*fh_lumber</f>
        <v>1150</v>
      </c>
      <c r="AD43" s="97">
        <f ca="1">OFFSET(TblConstr[[#This Row],[Tot Tow]],1,0)*(tower_mana + tech_4_5*TblTech[[#This Row],[4-5]]) + OFFSET(TblConstr[[#This Row],[Tot WG]],1,0)*wg_mana_prod</f>
        <v>450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0.1</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3" s="159">
        <f ca="1">race_lumber_bonus+ IF(TblMagic[[#This Row],[Active Gaia''s Blessing]]&gt;0,gaias_blessing_lumber)+ tech_1_3*TblTech[[#This Row],[1-3]] + tech_1_6*TblTech[[#This Row],[1-6]] + tech_3_3*TblTech[[#This Row],[3-3]]</f>
        <v>-0.1</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0.15</v>
      </c>
      <c r="AN43" s="145"/>
      <c r="AO43" s="97">
        <f ca="1">TblProd[[#This Row],[Food]]*food_decay * (1 + tech_2_1*TblTech[[#This Row],[2-1]] + tech_2_8*TblTech[[#This Row],[2-8]])</f>
        <v>164.68</v>
      </c>
      <c r="AP43" s="97">
        <f ca="1">(1+race_food_consumption)*TblPop[[#This Row],[Total]]*food_per_person*(1+tech_1_10*TblTech[[#This Row],[1-10]]+tech_7_5*TblTech[[#This Row],[7-5]])</f>
        <v>1674.75</v>
      </c>
      <c r="AQ43" s="97">
        <f ca="1">TblProd[[#This Row],[Lumber]]*lumber_rot * (1 + tech_2_1*TblTech[[#This Row],[2-1]] + tech_2_8*TblTech[[#This Row],[2-8]] + tech_5_2*TblTech[[#This Row],[5-2]])</f>
        <v>138.63</v>
      </c>
      <c r="AR43" s="97">
        <f ca="1">TblProd[[#This Row],[Mana]]*mana_drain * (1 + tech_2_1*TblTech[[#This Row],[2-1]] + tech_2_8*TblTech[[#This Row],[2-8]])</f>
        <v>40.78</v>
      </c>
      <c r="AS43" s="157"/>
      <c r="AT43" s="97">
        <f ca="1">TblExplore[[#This Row],[Platinum (2)]]+TblConstr[[#This Row],[Total Plat Cost]]+TblMili[[#This Row],[Plat Cost]]+TblRezone[[#This Row],[Platinum cost]]+TblImps[[#This Row],[P1]]-TblProd[[#This Row],[Bank Plat]]</f>
        <v>19877</v>
      </c>
      <c r="AU43" s="97">
        <f ca="1">TblConstr[[#This Row],[Total Lum Cost]]+TblImps[[#This Row],[L1]]-TblProd[[#This Row],[Bank Lumber]] + Military!$CL$25*TblMili[[#This Row],[Sec. rec. Cost]]</f>
        <v>0</v>
      </c>
      <c r="AV43" s="97">
        <f ca="1">TblMagic[[#This Row],[Mana cost]] + Military!$CL$26*TblMili[[#This Row],[Sec. rec. Cost]]</f>
        <v>1047.5</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45431.374999999905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85587</v>
      </c>
      <c r="BJ43" s="97">
        <f ca="1">TblProd[[#This Row],[Food]]</f>
        <v>16468</v>
      </c>
      <c r="BK43" s="97">
        <f ca="1">TblProd[[#This Row],[Lumber]]</f>
        <v>13863</v>
      </c>
      <c r="BL43" s="97">
        <f ca="1">TblProd[[#This Row],[Mana]]</f>
        <v>2039</v>
      </c>
      <c r="BM43" s="97">
        <f ca="1">TblProd[[#This Row],[Ore]]</f>
        <v>0</v>
      </c>
    </row>
    <row r="44" spans="1:65" x14ac:dyDescent="0.2">
      <c r="A44" s="140">
        <v>41</v>
      </c>
      <c r="B44" s="155">
        <f ca="1">TblImps[[#This Row],[Time]]</f>
        <v>45431.41666666657</v>
      </c>
      <c r="C44" s="156"/>
      <c r="D44" s="157"/>
      <c r="E44" s="97">
        <f ca="1">TblConstr[[#This Row],[Land]]</f>
        <v>501</v>
      </c>
      <c r="F44" s="97">
        <f ca="1">TblPop[[#This Row],[Peasants]]</f>
        <v>7040</v>
      </c>
      <c r="G44" s="97">
        <f ca="1">TblMili[[#This Row],[Networth (2)]]</f>
        <v>11515</v>
      </c>
      <c r="H44" s="97">
        <f ca="1">OFFSET(TblProd[[#This Row],[Platinum]],-1,0)+OFFSET(TblProd[[#This Row],[Plat/hr]],-1,0) - TblProd[[#This Row],[Expenses Platinum]] + IF(TblProd[[#This Row],[Plat Bonus]],TblPop[[#This Row],[Peasants]]*4) + SUM(TblConstr[[#This Row],[Dest Hom]:[Dest Doc]])*TblConstr[[#This Row],[CPA Platinum -DB]]*tech_3_3_2*TblTech[[#This Row],[3-3]]</f>
        <v>54134</v>
      </c>
      <c r="I44" s="97">
        <f ca="1">OFFSET(TblProd[[#This Row],[Food]],-1,0)+OFFSET(TblProd[[#This Row],[Food/hr]],-1,0)+ROUNDUP((TblConstr[[#This Row],[Farms]]*80+TblConstr[[#This Row],[Docks]]*35)*(1+OFFSET(TblProd[[#This Row],[Bonus Food/hr]],-1,0)),0)</f>
        <v>15490</v>
      </c>
      <c r="J44" s="97">
        <f ca="1">OFFSET(TblProd[[#This Row],[Lumber]],-1,0)+OFFSET(TblProd[[#This Row],[Lumber/hr]],-1,0) - TblProd[[#This Row],[Expenses Lumber]] + SUM(TblConstr[[#This Row],[Dest Hom]:[Dest Doc]])*TblConstr[[#This Row],[CPA Lumber -DB]]*tech_3_3_2*TblTech[[#This Row],[3-3]]</f>
        <v>8281</v>
      </c>
      <c r="K44" s="97">
        <f ca="1">OFFSET(TblProd[[#This Row],[Mana]],-1,0)+OFFSET(TblProd[[#This Row],[Mana/hr]],-1,0)- TblProd[[#This Row],[Expenses Mana]]</f>
        <v>2448</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4.25</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4" s="97">
        <f ca="1">MAX(3750,_xlfn.CEILING.MATH(TblProd[[#This Row],[Land]]*2.5+OFFSET(TblTech[[#This Row],[Sum of tech]],-1,0)*150))</f>
        <v>3750</v>
      </c>
      <c r="R44" s="145"/>
      <c r="S44" s="97">
        <f ca="1">ROUNDDOWN(TblProd[[#This Row],[Raw Plat/hr]]*(1+TblProd[[#This Row],[Bonus Plat/hr]]),0)</f>
        <v>34051</v>
      </c>
      <c r="T44" s="97">
        <f ca="1">ROUND(TblProd[[#This Row],[Raw Food/hr]]*(1+TblProd[[#This Row],[Bonus Food/hr]])-TblProd[[#This Row],[Food decay]]-TblProd[[#This Row],[Food eaten]],0)</f>
        <v>-1055</v>
      </c>
      <c r="U44" s="97">
        <f ca="1">ROUND(TblProd[[#This Row],[Raw Lumber/hr]]*(1+TblProd[[#This Row],[Bonus Lumber/hr]])-TblProd[[#This Row],[Lumber rot]],0)</f>
        <v>952</v>
      </c>
      <c r="V44" s="97">
        <f ca="1">ROUND(TblProd[[#This Row],[Raw Mana/hr]]*(1+TblProd[[#This Row],[Bonus Mana/hr]])-TblProd[[#This Row],[Mana drain]],0)</f>
        <v>401</v>
      </c>
      <c r="W44" s="97">
        <f ca="1">ROUNDDOWN(TblProd[[#This Row],[Raw Ore/hr]]*(1+TblProd[[#This Row],[Bonux Ore/hr]]),0)</f>
        <v>0</v>
      </c>
      <c r="X44" s="97">
        <f ca="1">ROUNDDOWN(TblProd[[#This Row],[Raw Gems/hr]]*(1+TblProd[[#This Row],[Bonus Gems/hr]]),0)</f>
        <v>0</v>
      </c>
      <c r="Y44" s="158">
        <f ca="1">OFFSET(TblConstr[[#This Row],[Tot Doc]],1,0)*dock_boats_hr * (1 + tech_4_1*TblTech[[#This Row],[4-1]])</f>
        <v>0.5</v>
      </c>
      <c r="Z44" s="157"/>
      <c r="AA44" s="97">
        <f ca="1">TblPop[[#This Row],[Peasants]]*tax*TblPop[[#This Row],[Employment]] + (Construction!AZ45+Construction!BX45)*(alch_plat+(Magic!AM44&gt;0)*alchemist_flame_bonus)</f>
        <v>30956</v>
      </c>
      <c r="AB44" s="97">
        <f ca="1">TblConstr[[#This Row],[Tot Farm]]*farm_food + TblConstr[[#This Row],[Tot Doc]]*dock_food</f>
        <v>840</v>
      </c>
      <c r="AC44" s="97">
        <f ca="1">TblConstr[[#This Row],[Tot Ly]]*ly_lumber + TblConstr[[#This Row],[Tot Hav]]*fh_lumber</f>
        <v>1150</v>
      </c>
      <c r="AD44" s="97">
        <f ca="1">OFFSET(TblConstr[[#This Row],[Tot Tow]],1,0)*(tower_mana + tech_4_5*TblTech[[#This Row],[4-5]]) + OFFSET(TblConstr[[#This Row],[Tot WG]],1,0)*wg_mana_prod</f>
        <v>450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0.1</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4" s="159">
        <f ca="1">race_lumber_bonus+ IF(TblMagic[[#This Row],[Active Gaia''s Blessing]]&gt;0,gaias_blessing_lumber)+ tech_1_3*TblTech[[#This Row],[1-3]] + tech_1_6*TblTech[[#This Row],[1-6]] + tech_3_3*TblTech[[#This Row],[3-3]]</f>
        <v>-0.1</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0.15</v>
      </c>
      <c r="AN44" s="145"/>
      <c r="AO44" s="97">
        <f ca="1">TblProd[[#This Row],[Food]]*food_decay * (1 + tech_2_1*TblTech[[#This Row],[2-1]] + tech_2_8*TblTech[[#This Row],[2-8]])</f>
        <v>154.9</v>
      </c>
      <c r="AP44" s="97">
        <f ca="1">(1+race_food_consumption)*TblPop[[#This Row],[Total]]*food_per_person*(1+tech_1_10*TblTech[[#This Row],[1-10]]+tech_7_5*TblTech[[#This Row],[7-5]])</f>
        <v>1760.75</v>
      </c>
      <c r="AQ44" s="97">
        <f ca="1">TblProd[[#This Row],[Lumber]]*lumber_rot * (1 + tech_2_1*TblTech[[#This Row],[2-1]] + tech_2_8*TblTech[[#This Row],[2-8]] + tech_5_2*TblTech[[#This Row],[5-2]])</f>
        <v>82.81</v>
      </c>
      <c r="AR44" s="97">
        <f ca="1">TblProd[[#This Row],[Mana]]*mana_drain * (1 + tech_2_1*TblTech[[#This Row],[2-1]] + tech_2_8*TblTech[[#This Row],[2-8]])</f>
        <v>48.96</v>
      </c>
      <c r="AS44" s="157"/>
      <c r="AT44" s="97">
        <f ca="1">TblExplore[[#This Row],[Platinum (2)]]+TblConstr[[#This Row],[Total Plat Cost]]+TblMili[[#This Row],[Plat Cost]]+TblRezone[[#This Row],[Platinum cost]]+TblImps[[#This Row],[P1]]-TblProd[[#This Row],[Bank Plat]]</f>
        <v>59349</v>
      </c>
      <c r="AU44" s="97">
        <f ca="1">TblConstr[[#This Row],[Total Lum Cost]]+TblImps[[#This Row],[L1]]-TblProd[[#This Row],[Bank Lumber]] + Military!$CL$25*TblMili[[#This Row],[Sec. rec. Cost]]</f>
        <v>6478</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45431.41666666657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54134</v>
      </c>
      <c r="BJ44" s="97">
        <f ca="1">TblProd[[#This Row],[Food]]</f>
        <v>15490</v>
      </c>
      <c r="BK44" s="97">
        <f ca="1">TblProd[[#This Row],[Lumber]]</f>
        <v>8281</v>
      </c>
      <c r="BL44" s="97">
        <f ca="1">TblProd[[#This Row],[Mana]]</f>
        <v>2448</v>
      </c>
      <c r="BM44" s="97">
        <f ca="1">TblProd[[#This Row],[Ore]]</f>
        <v>0</v>
      </c>
    </row>
    <row r="45" spans="1:65" x14ac:dyDescent="0.2">
      <c r="A45" s="140">
        <v>42</v>
      </c>
      <c r="B45" s="155">
        <f ca="1">TblImps[[#This Row],[Time]]</f>
        <v>45431.458333333234</v>
      </c>
      <c r="C45" s="156"/>
      <c r="D45" s="157"/>
      <c r="E45" s="97">
        <f ca="1">TblConstr[[#This Row],[Land]]</f>
        <v>510</v>
      </c>
      <c r="F45" s="97">
        <f ca="1">TblPop[[#This Row],[Peasants]]</f>
        <v>7399</v>
      </c>
      <c r="G45" s="97">
        <f ca="1">TblMili[[#This Row],[Networth (2)]]</f>
        <v>12045</v>
      </c>
      <c r="H45" s="97">
        <f ca="1">OFFSET(TblProd[[#This Row],[Platinum]],-1,0)+OFFSET(TblProd[[#This Row],[Plat/hr]],-1,0) - TblProd[[#This Row],[Expenses Platinum]] + IF(TblProd[[#This Row],[Plat Bonus]],TblPop[[#This Row],[Peasants]]*4) + SUM(TblConstr[[#This Row],[Dest Hom]:[Dest Doc]])*TblConstr[[#This Row],[CPA Platinum -DB]]*tech_3_3_2*TblTech[[#This Row],[3-3]]</f>
        <v>60267</v>
      </c>
      <c r="I45" s="97">
        <f ca="1">OFFSET(TblProd[[#This Row],[Food]],-1,0)+OFFSET(TblProd[[#This Row],[Food/hr]],-1,0)+ROUNDUP((TblConstr[[#This Row],[Farms]]*80+TblConstr[[#This Row],[Docks]]*35)*(1+OFFSET(TblProd[[#This Row],[Bonus Food/hr]],-1,0)),0)</f>
        <v>14861</v>
      </c>
      <c r="J45" s="97">
        <f ca="1">OFFSET(TblProd[[#This Row],[Lumber]],-1,0)+OFFSET(TblProd[[#This Row],[Lumber/hr]],-1,0) - TblProd[[#This Row],[Expenses Lumber]] + SUM(TblConstr[[#This Row],[Dest Hom]:[Dest Doc]])*TblConstr[[#This Row],[CPA Lumber -DB]]*tech_3_3_2*TblTech[[#This Row],[3-3]]</f>
        <v>8504</v>
      </c>
      <c r="K45" s="97">
        <f ca="1">OFFSET(TblProd[[#This Row],[Mana]],-1,0)+OFFSET(TblProd[[#This Row],[Mana/hr]],-1,0)- TblProd[[#This Row],[Expenses Mana]]</f>
        <v>2849</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4.75</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5" s="97">
        <f ca="1">MAX(3750,_xlfn.CEILING.MATH(TblProd[[#This Row],[Land]]*2.5+OFFSET(TblTech[[#This Row],[Sum of tech]],-1,0)*150))</f>
        <v>3750</v>
      </c>
      <c r="R45" s="145"/>
      <c r="S45" s="97">
        <f ca="1">ROUNDDOWN(TblProd[[#This Row],[Raw Plat/hr]]*(1+TblProd[[#This Row],[Bonus Plat/hr]]),0)</f>
        <v>35755</v>
      </c>
      <c r="T45" s="97">
        <f ca="1">ROUND(TblProd[[#This Row],[Raw Food/hr]]*(1+TblProd[[#This Row],[Bonus Food/hr]])-TblProd[[#This Row],[Food decay]]-TblProd[[#This Row],[Food eaten]],0)</f>
        <v>-687</v>
      </c>
      <c r="U45" s="97">
        <f ca="1">ROUND(TblProd[[#This Row],[Raw Lumber/hr]]*(1+TblProd[[#This Row],[Bonus Lumber/hr]])-TblProd[[#This Row],[Lumber rot]],0)</f>
        <v>1040</v>
      </c>
      <c r="V45" s="97">
        <f ca="1">ROUND(TblProd[[#This Row],[Raw Mana/hr]]*(1+TblProd[[#This Row],[Bonus Mana/hr]])-TblProd[[#This Row],[Mana drain]],0)</f>
        <v>393</v>
      </c>
      <c r="W45" s="97">
        <f ca="1">ROUNDDOWN(TblProd[[#This Row],[Raw Ore/hr]]*(1+TblProd[[#This Row],[Bonux Ore/hr]]),0)</f>
        <v>0</v>
      </c>
      <c r="X45" s="97">
        <f ca="1">ROUNDDOWN(TblProd[[#This Row],[Raw Gems/hr]]*(1+TblProd[[#This Row],[Bonus Gems/hr]]),0)</f>
        <v>0</v>
      </c>
      <c r="Y45" s="158">
        <f ca="1">OFFSET(TblConstr[[#This Row],[Tot Doc]],1,0)*dock_boats_hr * (1 + tech_4_1*TblTech[[#This Row],[4-1]])</f>
        <v>0.5</v>
      </c>
      <c r="Z45" s="157"/>
      <c r="AA45" s="97">
        <f ca="1">TblPop[[#This Row],[Peasants]]*tax*TblPop[[#This Row],[Employment]] + (Construction!AZ46+Construction!BX46)*(alch_plat+(Magic!AM45&gt;0)*alchemist_flame_bonus)</f>
        <v>32505.300000000003</v>
      </c>
      <c r="AB45" s="97">
        <f ca="1">TblConstr[[#This Row],[Tot Farm]]*farm_food + TblConstr[[#This Row],[Tot Doc]]*dock_food</f>
        <v>1280</v>
      </c>
      <c r="AC45" s="97">
        <f ca="1">TblConstr[[#This Row],[Tot Ly]]*ly_lumber + TblConstr[[#This Row],[Tot Hav]]*fh_lumber</f>
        <v>1250</v>
      </c>
      <c r="AD45" s="97">
        <f ca="1">OFFSET(TblConstr[[#This Row],[Tot Tow]],1,0)*(tower_mana + tech_4_5*TblTech[[#This Row],[4-5]]) + OFFSET(TblConstr[[#This Row],[Tot WG]],1,0)*wg_mana_prod</f>
        <v>450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0.1</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5" s="159">
        <f ca="1">race_lumber_bonus+ IF(TblMagic[[#This Row],[Active Gaia''s Blessing]]&gt;0,gaias_blessing_lumber)+ tech_1_3*TblTech[[#This Row],[1-3]] + tech_1_6*TblTech[[#This Row],[1-6]] + tech_3_3*TblTech[[#This Row],[3-3]]</f>
        <v>-0.1</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0.15</v>
      </c>
      <c r="AN45" s="145"/>
      <c r="AO45" s="97">
        <f ca="1">TblProd[[#This Row],[Food]]*food_decay * (1 + tech_2_1*TblTech[[#This Row],[2-1]] + tech_2_8*TblTech[[#This Row],[2-8]])</f>
        <v>148.61000000000001</v>
      </c>
      <c r="AP45" s="97">
        <f ca="1">(1+race_food_consumption)*TblPop[[#This Row],[Total]]*food_per_person*(1+tech_1_10*TblTech[[#This Row],[1-10]]+tech_7_5*TblTech[[#This Row],[7-5]])</f>
        <v>1850</v>
      </c>
      <c r="AQ45" s="97">
        <f ca="1">TblProd[[#This Row],[Lumber]]*lumber_rot * (1 + tech_2_1*TblTech[[#This Row],[2-1]] + tech_2_8*TblTech[[#This Row],[2-8]] + tech_5_2*TblTech[[#This Row],[5-2]])</f>
        <v>85.04</v>
      </c>
      <c r="AR45" s="97">
        <f ca="1">TblProd[[#This Row],[Mana]]*mana_drain * (1 + tech_2_1*TblTech[[#This Row],[2-1]] + tech_2_8*TblTech[[#This Row],[2-8]])</f>
        <v>56.980000000000004</v>
      </c>
      <c r="AS45" s="157"/>
      <c r="AT45" s="97">
        <f ca="1">TblExplore[[#This Row],[Platinum (2)]]+TblConstr[[#This Row],[Total Plat Cost]]+TblMili[[#This Row],[Plat Cost]]+TblRezone[[#This Row],[Platinum cost]]+TblImps[[#This Row],[P1]]-TblProd[[#This Row],[Bank Plat]]</f>
        <v>27918</v>
      </c>
      <c r="AU45" s="97">
        <f ca="1">TblConstr[[#This Row],[Total Lum Cost]]+TblImps[[#This Row],[L1]]-TblProd[[#This Row],[Bank Lumber]] + Military!$CL$25*TblMili[[#This Row],[Sec. rec. Cost]]</f>
        <v>729</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45431.458333333234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60267</v>
      </c>
      <c r="BJ45" s="97">
        <f ca="1">TblProd[[#This Row],[Food]]</f>
        <v>14861</v>
      </c>
      <c r="BK45" s="97">
        <f ca="1">TblProd[[#This Row],[Lumber]]</f>
        <v>8504</v>
      </c>
      <c r="BL45" s="97">
        <f ca="1">TblProd[[#This Row],[Mana]]</f>
        <v>2849</v>
      </c>
      <c r="BM45" s="97">
        <f ca="1">TblProd[[#This Row],[Ore]]</f>
        <v>0</v>
      </c>
    </row>
    <row r="46" spans="1:65" x14ac:dyDescent="0.2">
      <c r="A46" s="140">
        <v>43</v>
      </c>
      <c r="B46" s="155">
        <f ca="1">TblImps[[#This Row],[Time]]</f>
        <v>45431.499999999898</v>
      </c>
      <c r="C46" s="156"/>
      <c r="D46" s="157"/>
      <c r="E46" s="97">
        <f ca="1">TblConstr[[#This Row],[Land]]</f>
        <v>520</v>
      </c>
      <c r="F46" s="97">
        <f ca="1">TblPop[[#This Row],[Peasants]]</f>
        <v>7774</v>
      </c>
      <c r="G46" s="97">
        <f ca="1">TblMili[[#This Row],[Networth (2)]]</f>
        <v>12300</v>
      </c>
      <c r="H46" s="97">
        <f ca="1">OFFSET(TblProd[[#This Row],[Platinum]],-1,0)+OFFSET(TblProd[[#This Row],[Plat/hr]],-1,0) - TblProd[[#This Row],[Expenses Platinum]] + IF(TblProd[[#This Row],[Plat Bonus]],TblPop[[#This Row],[Peasants]]*4) + SUM(TblConstr[[#This Row],[Dest Hom]:[Dest Doc]])*TblConstr[[#This Row],[CPA Platinum -DB]]*tech_3_3_2*TblTech[[#This Row],[3-3]]</f>
        <v>75080</v>
      </c>
      <c r="I46" s="97">
        <f ca="1">OFFSET(TblProd[[#This Row],[Food]],-1,0)+OFFSET(TblProd[[#This Row],[Food/hr]],-1,0)+ROUNDUP((TblConstr[[#This Row],[Farms]]*80+TblConstr[[#This Row],[Docks]]*35)*(1+OFFSET(TblProd[[#This Row],[Bonus Food/hr]],-1,0)),0)</f>
        <v>14174</v>
      </c>
      <c r="J46" s="97">
        <f ca="1">OFFSET(TblProd[[#This Row],[Lumber]],-1,0)+OFFSET(TblProd[[#This Row],[Lumber/hr]],-1,0) - TblProd[[#This Row],[Expenses Lumber]] + SUM(TblConstr[[#This Row],[Dest Hom]:[Dest Doc]])*TblConstr[[#This Row],[CPA Lumber -DB]]*tech_3_3_2*TblTech[[#This Row],[3-3]]</f>
        <v>8724</v>
      </c>
      <c r="K46" s="97">
        <f ca="1">OFFSET(TblProd[[#This Row],[Mana]],-1,0)+OFFSET(TblProd[[#This Row],[Mana/hr]],-1,0)- TblProd[[#This Row],[Expenses Mana]]</f>
        <v>3242</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5.25</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6" s="97">
        <f ca="1">MAX(3750,_xlfn.CEILING.MATH(TblProd[[#This Row],[Land]]*2.5+OFFSET(TblTech[[#This Row],[Sum of tech]],-1,0)*150))</f>
        <v>3750</v>
      </c>
      <c r="R46" s="145"/>
      <c r="S46" s="97">
        <f ca="1">ROUNDDOWN(TblProd[[#This Row],[Raw Plat/hr]]*(1+TblProd[[#This Row],[Bonus Plat/hr]]),0)</f>
        <v>37507</v>
      </c>
      <c r="T46" s="97">
        <f ca="1">ROUND(TblProd[[#This Row],[Raw Food/hr]]*(1+TblProd[[#This Row],[Bonus Food/hr]])-TblProd[[#This Row],[Food decay]]-TblProd[[#This Row],[Food eaten]],0)</f>
        <v>-780</v>
      </c>
      <c r="U46" s="97">
        <f ca="1">ROUND(TblProd[[#This Row],[Raw Lumber/hr]]*(1+TblProd[[#This Row],[Bonus Lumber/hr]])-TblProd[[#This Row],[Lumber rot]],0)</f>
        <v>1038</v>
      </c>
      <c r="V46" s="97">
        <f ca="1">ROUND(TblProd[[#This Row],[Raw Mana/hr]]*(1+TblProd[[#This Row],[Bonus Mana/hr]])-TblProd[[#This Row],[Mana drain]],0)</f>
        <v>410</v>
      </c>
      <c r="W46" s="97">
        <f ca="1">ROUNDDOWN(TblProd[[#This Row],[Raw Ore/hr]]*(1+TblProd[[#This Row],[Bonux Ore/hr]]),0)</f>
        <v>0</v>
      </c>
      <c r="X46" s="97">
        <f ca="1">ROUNDDOWN(TblProd[[#This Row],[Raw Gems/hr]]*(1+TblProd[[#This Row],[Bonus Gems/hr]]),0)</f>
        <v>0</v>
      </c>
      <c r="Y46" s="158">
        <f ca="1">OFFSET(TblConstr[[#This Row],[Tot Doc]],1,0)*dock_boats_hr * (1 + tech_4_1*TblTech[[#This Row],[4-1]])</f>
        <v>0.5</v>
      </c>
      <c r="Z46" s="157"/>
      <c r="AA46" s="97">
        <f ca="1">TblPop[[#This Row],[Peasants]]*tax*TblPop[[#This Row],[Employment]] + (Construction!AZ47+Construction!BX47)*(alch_plat+(Magic!AM46&gt;0)*alchemist_flame_bonus)</f>
        <v>34097.800000000003</v>
      </c>
      <c r="AB46" s="97">
        <f ca="1">TblConstr[[#This Row],[Tot Farm]]*farm_food + TblConstr[[#This Row],[Tot Doc]]*dock_food</f>
        <v>1280</v>
      </c>
      <c r="AC46" s="97">
        <f ca="1">TblConstr[[#This Row],[Tot Ly]]*ly_lumber + TblConstr[[#This Row],[Tot Hav]]*fh_lumber</f>
        <v>1250</v>
      </c>
      <c r="AD46" s="97">
        <f ca="1">OFFSET(TblConstr[[#This Row],[Tot Tow]],1,0)*(tower_mana + tech_4_5*TblTech[[#This Row],[4-5]]) + OFFSET(TblConstr[[#This Row],[Tot WG]],1,0)*wg_mana_prod</f>
        <v>475</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0.1</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6" s="159">
        <f ca="1">race_lumber_bonus+ IF(TblMagic[[#This Row],[Active Gaia''s Blessing]]&gt;0,gaias_blessing_lumber)+ tech_1_3*TblTech[[#This Row],[1-3]] + tech_1_6*TblTech[[#This Row],[1-6]] + tech_3_3*TblTech[[#This Row],[3-3]]</f>
        <v>-0.1</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0.15</v>
      </c>
      <c r="AN46" s="145"/>
      <c r="AO46" s="97">
        <f ca="1">TblProd[[#This Row],[Food]]*food_decay * (1 + tech_2_1*TblTech[[#This Row],[2-1]] + tech_2_8*TblTech[[#This Row],[2-8]])</f>
        <v>141.74</v>
      </c>
      <c r="AP46" s="97">
        <f ca="1">(1+race_food_consumption)*TblPop[[#This Row],[Total]]*food_per_person*(1+tech_1_10*TblTech[[#This Row],[1-10]]+tech_7_5*TblTech[[#This Row],[7-5]])</f>
        <v>1950.25</v>
      </c>
      <c r="AQ46" s="97">
        <f ca="1">TblProd[[#This Row],[Lumber]]*lumber_rot * (1 + tech_2_1*TblTech[[#This Row],[2-1]] + tech_2_8*TblTech[[#This Row],[2-8]] + tech_5_2*TblTech[[#This Row],[5-2]])</f>
        <v>87.24</v>
      </c>
      <c r="AR46" s="97">
        <f ca="1">TblProd[[#This Row],[Mana]]*mana_drain * (1 + tech_2_1*TblTech[[#This Row],[2-1]] + tech_2_8*TblTech[[#This Row],[2-8]])</f>
        <v>64.84</v>
      </c>
      <c r="AS46" s="157"/>
      <c r="AT46" s="97">
        <f ca="1">TblExplore[[#This Row],[Platinum (2)]]+TblConstr[[#This Row],[Total Plat Cost]]+TblMili[[#This Row],[Plat Cost]]+TblRezone[[#This Row],[Platinum cost]]+TblImps[[#This Row],[P1]]-TblProd[[#This Row],[Bank Plat]]</f>
        <v>20942</v>
      </c>
      <c r="AU46" s="97">
        <f ca="1">TblConstr[[#This Row],[Total Lum Cost]]+TblImps[[#This Row],[L1]]-TblProd[[#This Row],[Bank Lumber]] + Military!$CL$25*TblMili[[#This Row],[Sec. rec. Cost]]</f>
        <v>820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45431.499999999898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75080</v>
      </c>
      <c r="BJ46" s="97">
        <f ca="1">TblProd[[#This Row],[Food]]</f>
        <v>14174</v>
      </c>
      <c r="BK46" s="97">
        <f ca="1">TblProd[[#This Row],[Lumber]]</f>
        <v>8724</v>
      </c>
      <c r="BL46" s="97">
        <f ca="1">TblProd[[#This Row],[Mana]]</f>
        <v>3242</v>
      </c>
      <c r="BM46" s="97">
        <f ca="1">TblProd[[#This Row],[Ore]]</f>
        <v>0</v>
      </c>
    </row>
    <row r="47" spans="1:65" x14ac:dyDescent="0.2">
      <c r="A47" s="140">
        <v>44</v>
      </c>
      <c r="B47" s="155">
        <f ca="1">TblImps[[#This Row],[Time]]</f>
        <v>45431.541666666562</v>
      </c>
      <c r="C47" s="156"/>
      <c r="D47" s="157"/>
      <c r="E47" s="97">
        <f ca="1">TblConstr[[#This Row],[Land]]</f>
        <v>530</v>
      </c>
      <c r="F47" s="97">
        <f ca="1">TblPop[[#This Row],[Peasants]]</f>
        <v>8165</v>
      </c>
      <c r="G47" s="97">
        <f ca="1">TblMili[[#This Row],[Networth (2)]]</f>
        <v>12560</v>
      </c>
      <c r="H47" s="97">
        <f ca="1">OFFSET(TblProd[[#This Row],[Platinum]],-1,0)+OFFSET(TblProd[[#This Row],[Plat/hr]],-1,0) - TblProd[[#This Row],[Expenses Platinum]] + IF(TblProd[[#This Row],[Plat Bonus]],TblPop[[#This Row],[Peasants]]*4) + SUM(TblConstr[[#This Row],[Dest Hom]:[Dest Doc]])*TblConstr[[#This Row],[CPA Platinum -DB]]*tech_3_3_2*TblTech[[#This Row],[3-3]]</f>
        <v>107787</v>
      </c>
      <c r="I47" s="97">
        <f ca="1">OFFSET(TblProd[[#This Row],[Food]],-1,0)+OFFSET(TblProd[[#This Row],[Food/hr]],-1,0)+ROUNDUP((TblConstr[[#This Row],[Farms]]*80+TblConstr[[#This Row],[Docks]]*35)*(1+OFFSET(TblProd[[#This Row],[Bonus Food/hr]],-1,0)),0)</f>
        <v>13394</v>
      </c>
      <c r="J47" s="97">
        <f ca="1">OFFSET(TblProd[[#This Row],[Lumber]],-1,0)+OFFSET(TblProd[[#This Row],[Lumber/hr]],-1,0) - TblProd[[#This Row],[Expenses Lumber]] + SUM(TblConstr[[#This Row],[Dest Hom]:[Dest Doc]])*TblConstr[[#This Row],[CPA Lumber -DB]]*tech_3_3_2*TblTech[[#This Row],[3-3]]</f>
        <v>8932</v>
      </c>
      <c r="K47" s="97">
        <f ca="1">OFFSET(TblProd[[#This Row],[Mana]],-1,0)+OFFSET(TblProd[[#This Row],[Mana/hr]],-1,0)- TblProd[[#This Row],[Expenses Mana]]</f>
        <v>3652</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5.75</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7" s="97">
        <f ca="1">MAX(3750,_xlfn.CEILING.MATH(TblProd[[#This Row],[Land]]*2.5+OFFSET(TblTech[[#This Row],[Sum of tech]],-1,0)*150))</f>
        <v>3750</v>
      </c>
      <c r="R47" s="145"/>
      <c r="S47" s="97">
        <f ca="1">ROUNDDOWN(TblProd[[#This Row],[Raw Plat/hr]]*(1+TblProd[[#This Row],[Bonus Plat/hr]]),0)</f>
        <v>38668</v>
      </c>
      <c r="T47" s="97">
        <f ca="1">ROUND(TblProd[[#This Row],[Raw Food/hr]]*(1+TblProd[[#This Row],[Bonus Food/hr]])-TblProd[[#This Row],[Food decay]]-TblProd[[#This Row],[Food eaten]],0)</f>
        <v>-889</v>
      </c>
      <c r="U47" s="97">
        <f ca="1">ROUND(TblProd[[#This Row],[Raw Lumber/hr]]*(1+TblProd[[#This Row],[Bonus Lumber/hr]])-TblProd[[#This Row],[Lumber rot]],0)</f>
        <v>1036</v>
      </c>
      <c r="V47" s="97">
        <f ca="1">ROUND(TblProd[[#This Row],[Raw Mana/hr]]*(1+TblProd[[#This Row],[Bonus Mana/hr]])-TblProd[[#This Row],[Mana drain]],0)</f>
        <v>552</v>
      </c>
      <c r="W47" s="97">
        <f ca="1">ROUNDDOWN(TblProd[[#This Row],[Raw Ore/hr]]*(1+TblProd[[#This Row],[Bonux Ore/hr]]),0)</f>
        <v>0</v>
      </c>
      <c r="X47" s="97">
        <f ca="1">ROUNDDOWN(TblProd[[#This Row],[Raw Gems/hr]]*(1+TblProd[[#This Row],[Bonus Gems/hr]]),0)</f>
        <v>0</v>
      </c>
      <c r="Y47" s="158">
        <f ca="1">OFFSET(TblConstr[[#This Row],[Tot Doc]],1,0)*dock_boats_hr * (1 + tech_4_1*TblTech[[#This Row],[4-1]])</f>
        <v>0.5</v>
      </c>
      <c r="Z47" s="157"/>
      <c r="AA47" s="97">
        <f ca="1">TblPop[[#This Row],[Peasants]]*tax*TblPop[[#This Row],[Employment]] + (Construction!AZ48+Construction!BX48)*(alch_plat+(Magic!AM47&gt;0)*alchemist_flame_bonus)</f>
        <v>35153.5</v>
      </c>
      <c r="AB47" s="97">
        <f ca="1">TblConstr[[#This Row],[Tot Farm]]*farm_food + TblConstr[[#This Row],[Tot Doc]]*dock_food</f>
        <v>1280</v>
      </c>
      <c r="AC47" s="97">
        <f ca="1">TblConstr[[#This Row],[Tot Ly]]*ly_lumber + TblConstr[[#This Row],[Tot Hav]]*fh_lumber</f>
        <v>1250</v>
      </c>
      <c r="AD47" s="97">
        <f ca="1">OFFSET(TblConstr[[#This Row],[Tot Tow]],1,0)*(tower_mana + tech_4_5*TblTech[[#This Row],[4-5]]) + OFFSET(TblConstr[[#This Row],[Tot WG]],1,0)*wg_mana_prod</f>
        <v>625</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0.1</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7" s="159">
        <f ca="1">race_lumber_bonus+ IF(TblMagic[[#This Row],[Active Gaia''s Blessing]]&gt;0,gaias_blessing_lumber)+ tech_1_3*TblTech[[#This Row],[1-3]] + tech_1_6*TblTech[[#This Row],[1-6]] + tech_3_3*TblTech[[#This Row],[3-3]]</f>
        <v>-0.1</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0.15</v>
      </c>
      <c r="AN47" s="145"/>
      <c r="AO47" s="97">
        <f ca="1">TblProd[[#This Row],[Food]]*food_decay * (1 + tech_2_1*TblTech[[#This Row],[2-1]] + tech_2_8*TblTech[[#This Row],[2-8]])</f>
        <v>133.94</v>
      </c>
      <c r="AP47" s="97">
        <f ca="1">(1+race_food_consumption)*TblPop[[#This Row],[Total]]*food_per_person*(1+tech_1_10*TblTech[[#This Row],[1-10]]+tech_7_5*TblTech[[#This Row],[7-5]])</f>
        <v>2067.5</v>
      </c>
      <c r="AQ47" s="97">
        <f ca="1">TblProd[[#This Row],[Lumber]]*lumber_rot * (1 + tech_2_1*TblTech[[#This Row],[2-1]] + tech_2_8*TblTech[[#This Row],[2-8]] + tech_5_2*TblTech[[#This Row],[5-2]])</f>
        <v>89.320000000000007</v>
      </c>
      <c r="AR47" s="97">
        <f ca="1">TblProd[[#This Row],[Mana]]*mana_drain * (1 + tech_2_1*TblTech[[#This Row],[2-1]] + tech_2_8*TblTech[[#This Row],[2-8]])</f>
        <v>73.040000000000006</v>
      </c>
      <c r="AS47" s="157"/>
      <c r="AT47" s="97">
        <f ca="1">TblExplore[[#This Row],[Platinum (2)]]+TblConstr[[#This Row],[Total Plat Cost]]+TblMili[[#This Row],[Plat Cost]]+TblRezone[[#This Row],[Platinum cost]]+TblImps[[#This Row],[P1]]-TblProd[[#This Row],[Bank Plat]]</f>
        <v>4800</v>
      </c>
      <c r="AU47" s="97">
        <f ca="1">TblConstr[[#This Row],[Total Lum Cost]]+TblImps[[#This Row],[L1]]-TblProd[[#This Row],[Bank Lumber]] + Military!$CL$25*TblMili[[#This Row],[Sec. rec. Cost]]</f>
        <v>830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45431.541666666562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107787</v>
      </c>
      <c r="BJ47" s="97">
        <f ca="1">TblProd[[#This Row],[Food]]</f>
        <v>13394</v>
      </c>
      <c r="BK47" s="97">
        <f ca="1">TblProd[[#This Row],[Lumber]]</f>
        <v>8932</v>
      </c>
      <c r="BL47" s="97">
        <f ca="1">TblProd[[#This Row],[Mana]]</f>
        <v>3652</v>
      </c>
      <c r="BM47" s="97">
        <f ca="1">TblProd[[#This Row],[Ore]]</f>
        <v>0</v>
      </c>
    </row>
    <row r="48" spans="1:65" x14ac:dyDescent="0.2">
      <c r="A48" s="140">
        <v>45</v>
      </c>
      <c r="B48" s="155">
        <f ca="1">TblImps[[#This Row],[Time]]</f>
        <v>45431.583333333227</v>
      </c>
      <c r="C48" s="156"/>
      <c r="D48" s="157"/>
      <c r="E48" s="97">
        <f ca="1">TblConstr[[#This Row],[Land]]</f>
        <v>540</v>
      </c>
      <c r="F48" s="97">
        <f ca="1">TblPop[[#This Row],[Peasants]]</f>
        <v>8423</v>
      </c>
      <c r="G48" s="97">
        <f ca="1">TblMili[[#This Row],[Networth (2)]]</f>
        <v>12820</v>
      </c>
      <c r="H48" s="97">
        <f ca="1">OFFSET(TblProd[[#This Row],[Platinum]],-1,0)+OFFSET(TblProd[[#This Row],[Plat/hr]],-1,0) - TblProd[[#This Row],[Expenses Platinum]] + IF(TblProd[[#This Row],[Plat Bonus]],TblPop[[#This Row],[Peasants]]*4) + SUM(TblConstr[[#This Row],[Dest Hom]:[Dest Doc]])*TblConstr[[#This Row],[CPA Platinum -DB]]*tech_3_3_2*TblTech[[#This Row],[3-3]]</f>
        <v>141605</v>
      </c>
      <c r="I48" s="97">
        <f ca="1">OFFSET(TblProd[[#This Row],[Food]],-1,0)+OFFSET(TblProd[[#This Row],[Food/hr]],-1,0)+ROUNDUP((TblConstr[[#This Row],[Farms]]*80+TblConstr[[#This Row],[Docks]]*35)*(1+OFFSET(TblProd[[#This Row],[Bonus Food/hr]],-1,0)),0)</f>
        <v>12915</v>
      </c>
      <c r="J48" s="97">
        <f ca="1">OFFSET(TblProd[[#This Row],[Lumber]],-1,0)+OFFSET(TblProd[[#This Row],[Lumber/hr]],-1,0) - TblProd[[#This Row],[Expenses Lumber]] + SUM(TblConstr[[#This Row],[Dest Hom]:[Dest Doc]])*TblConstr[[#This Row],[CPA Lumber -DB]]*tech_3_3_2*TblTech[[#This Row],[3-3]]</f>
        <v>9118</v>
      </c>
      <c r="K48" s="97">
        <f ca="1">OFFSET(TblProd[[#This Row],[Mana]],-1,0)+OFFSET(TblProd[[#This Row],[Mana/hr]],-1,0)- TblProd[[#This Row],[Expenses Mana]]</f>
        <v>4204</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6.25</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8" s="97">
        <f ca="1">MAX(3750,_xlfn.CEILING.MATH(TblProd[[#This Row],[Land]]*2.5+OFFSET(TblTech[[#This Row],[Sum of tech]],-1,0)*150))</f>
        <v>3750</v>
      </c>
      <c r="R48" s="145"/>
      <c r="S48" s="97">
        <f ca="1">ROUNDDOWN(TblProd[[#This Row],[Raw Plat/hr]]*(1+TblProd[[#This Row],[Bonus Plat/hr]]),0)</f>
        <v>39426</v>
      </c>
      <c r="T48" s="97">
        <f ca="1">ROUND(TblProd[[#This Row],[Raw Food/hr]]*(1+TblProd[[#This Row],[Bonus Food/hr]])-TblProd[[#This Row],[Food decay]]-TblProd[[#This Row],[Food eaten]],0)</f>
        <v>-560</v>
      </c>
      <c r="U48" s="97">
        <f ca="1">ROUND(TblProd[[#This Row],[Raw Lumber/hr]]*(1+TblProd[[#This Row],[Bonus Lumber/hr]])-TblProd[[#This Row],[Lumber rot]],0)</f>
        <v>1034</v>
      </c>
      <c r="V48" s="97">
        <f ca="1">ROUND(TblProd[[#This Row],[Raw Mana/hr]]*(1+TblProd[[#This Row],[Bonus Mana/hr]])-TblProd[[#This Row],[Mana drain]],0)</f>
        <v>541</v>
      </c>
      <c r="W48" s="97">
        <f ca="1">ROUNDDOWN(TblProd[[#This Row],[Raw Ore/hr]]*(1+TblProd[[#This Row],[Bonux Ore/hr]]),0)</f>
        <v>0</v>
      </c>
      <c r="X48" s="97">
        <f ca="1">ROUNDDOWN(TblProd[[#This Row],[Raw Gems/hr]]*(1+TblProd[[#This Row],[Bonus Gems/hr]]),0)</f>
        <v>0</v>
      </c>
      <c r="Y48" s="158">
        <f ca="1">OFFSET(TblConstr[[#This Row],[Tot Doc]],1,0)*dock_boats_hr * (1 + tech_4_1*TblTech[[#This Row],[4-1]])</f>
        <v>0.5</v>
      </c>
      <c r="Z48" s="157"/>
      <c r="AA48" s="97">
        <f ca="1">TblPop[[#This Row],[Peasants]]*tax*TblPop[[#This Row],[Employment]] + (Construction!AZ49+Construction!BX49)*(alch_plat+(Magic!AM48&gt;0)*alchemist_flame_bonus)</f>
        <v>35842</v>
      </c>
      <c r="AB48" s="97">
        <f ca="1">TblConstr[[#This Row],[Tot Farm]]*farm_food + TblConstr[[#This Row],[Tot Doc]]*dock_food</f>
        <v>1680</v>
      </c>
      <c r="AC48" s="97">
        <f ca="1">TblConstr[[#This Row],[Tot Ly]]*ly_lumber + TblConstr[[#This Row],[Tot Hav]]*fh_lumber</f>
        <v>1250</v>
      </c>
      <c r="AD48" s="97">
        <f ca="1">OFFSET(TblConstr[[#This Row],[Tot Tow]],1,0)*(tower_mana + tech_4_5*TblTech[[#This Row],[4-5]]) + OFFSET(TblConstr[[#This Row],[Tot WG]],1,0)*wg_mana_prod</f>
        <v>625</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0.1</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8" s="159">
        <f ca="1">race_lumber_bonus+ IF(TblMagic[[#This Row],[Active Gaia''s Blessing]]&gt;0,gaias_blessing_lumber)+ tech_1_3*TblTech[[#This Row],[1-3]] + tech_1_6*TblTech[[#This Row],[1-6]] + tech_3_3*TblTech[[#This Row],[3-3]]</f>
        <v>-0.1</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0.15</v>
      </c>
      <c r="AN48" s="145"/>
      <c r="AO48" s="97">
        <f ca="1">TblProd[[#This Row],[Food]]*food_decay * (1 + tech_2_1*TblTech[[#This Row],[2-1]] + tech_2_8*TblTech[[#This Row],[2-8]])</f>
        <v>129.15</v>
      </c>
      <c r="AP48" s="97">
        <f ca="1">(1+race_food_consumption)*TblPop[[#This Row],[Total]]*food_per_person*(1+tech_1_10*TblTech[[#This Row],[1-10]]+tech_7_5*TblTech[[#This Row],[7-5]])</f>
        <v>2152.5</v>
      </c>
      <c r="AQ48" s="97">
        <f ca="1">TblProd[[#This Row],[Lumber]]*lumber_rot * (1 + tech_2_1*TblTech[[#This Row],[2-1]] + tech_2_8*TblTech[[#This Row],[2-8]] + tech_5_2*TblTech[[#This Row],[5-2]])</f>
        <v>91.18</v>
      </c>
      <c r="AR48" s="97">
        <f ca="1">TblProd[[#This Row],[Mana]]*mana_drain * (1 + tech_2_1*TblTech[[#This Row],[2-1]] + tech_2_8*TblTech[[#This Row],[2-8]])</f>
        <v>84.08</v>
      </c>
      <c r="AS48" s="157"/>
      <c r="AT48" s="97">
        <f ca="1">TblExplore[[#This Row],[Platinum (2)]]+TblConstr[[#This Row],[Total Plat Cost]]+TblMili[[#This Row],[Plat Cost]]+TblRezone[[#This Row],[Platinum cost]]+TblImps[[#This Row],[P1]]-TblProd[[#This Row],[Bank Plat]]</f>
        <v>4850</v>
      </c>
      <c r="AU48" s="97">
        <f ca="1">TblConstr[[#This Row],[Total Lum Cost]]+TblImps[[#This Row],[L1]]-TblProd[[#This Row],[Bank Lumber]] + Military!$CL$25*TblMili[[#This Row],[Sec. rec. Cost]]</f>
        <v>850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45431.583333333227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141605</v>
      </c>
      <c r="BJ48" s="97">
        <f ca="1">TblProd[[#This Row],[Food]]</f>
        <v>12915</v>
      </c>
      <c r="BK48" s="97">
        <f ca="1">TblProd[[#This Row],[Lumber]]</f>
        <v>9118</v>
      </c>
      <c r="BL48" s="97">
        <f ca="1">TblProd[[#This Row],[Mana]]</f>
        <v>4204</v>
      </c>
      <c r="BM48" s="97">
        <f ca="1">TblProd[[#This Row],[Ore]]</f>
        <v>0</v>
      </c>
    </row>
    <row r="49" spans="1:65" x14ac:dyDescent="0.2">
      <c r="A49" s="140">
        <v>46</v>
      </c>
      <c r="B49" s="155">
        <f ca="1">TblImps[[#This Row],[Time]]</f>
        <v>45431.624999999891</v>
      </c>
      <c r="C49" s="156"/>
      <c r="D49" s="157"/>
      <c r="E49" s="97">
        <f ca="1">TblConstr[[#This Row],[Land]]</f>
        <v>551</v>
      </c>
      <c r="F49" s="97">
        <f ca="1">TblPop[[#This Row],[Peasants]]</f>
        <v>8506</v>
      </c>
      <c r="G49" s="97">
        <f ca="1">TblMili[[#This Row],[Networth (2)]]</f>
        <v>13055</v>
      </c>
      <c r="H49" s="97">
        <f ca="1">OFFSET(TblProd[[#This Row],[Platinum]],-1,0)+OFFSET(TblProd[[#This Row],[Plat/hr]],-1,0) - TblProd[[#This Row],[Expenses Platinum]] + IF(TblProd[[#This Row],[Plat Bonus]],TblPop[[#This Row],[Peasants]]*4) + SUM(TblConstr[[#This Row],[Dest Hom]:[Dest Doc]])*TblConstr[[#This Row],[CPA Platinum -DB]]*tech_3_3_2*TblTech[[#This Row],[3-3]]</f>
        <v>175641</v>
      </c>
      <c r="I49" s="97">
        <f ca="1">OFFSET(TblProd[[#This Row],[Food]],-1,0)+OFFSET(TblProd[[#This Row],[Food/hr]],-1,0)+ROUNDUP((TblConstr[[#This Row],[Farms]]*80+TblConstr[[#This Row],[Docks]]*35)*(1+OFFSET(TblProd[[#This Row],[Bonus Food/hr]],-1,0)),0)</f>
        <v>12519</v>
      </c>
      <c r="J49" s="97">
        <f ca="1">OFFSET(TblProd[[#This Row],[Lumber]],-1,0)+OFFSET(TblProd[[#This Row],[Lumber/hr]],-1,0) - TblProd[[#This Row],[Expenses Lumber]] + SUM(TblConstr[[#This Row],[Dest Hom]:[Dest Doc]])*TblConstr[[#This Row],[CPA Lumber -DB]]*tech_3_3_2*TblTech[[#This Row],[3-3]]</f>
        <v>9206</v>
      </c>
      <c r="K49" s="97">
        <f ca="1">OFFSET(TblProd[[#This Row],[Mana]],-1,0)+OFFSET(TblProd[[#This Row],[Mana/hr]],-1,0)- TblProd[[#This Row],[Expenses Mana]]</f>
        <v>4745</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6.75</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9" s="97">
        <f ca="1">MAX(3750,_xlfn.CEILING.MATH(TblProd[[#This Row],[Land]]*2.5+OFFSET(TblTech[[#This Row],[Sum of tech]],-1,0)*150))</f>
        <v>3750</v>
      </c>
      <c r="R49" s="145"/>
      <c r="S49" s="97">
        <f ca="1">ROUNDDOWN(TblProd[[#This Row],[Raw Plat/hr]]*(1+TblProd[[#This Row],[Bonus Plat/hr]]),0)</f>
        <v>39559</v>
      </c>
      <c r="T49" s="97">
        <f ca="1">ROUND(TblProd[[#This Row],[Raw Food/hr]]*(1+TblProd[[#This Row],[Bonus Food/hr]])-TblProd[[#This Row],[Food decay]]-TblProd[[#This Row],[Food eaten]],0)</f>
        <v>-433</v>
      </c>
      <c r="U49" s="97">
        <f ca="1">ROUND(TblProd[[#This Row],[Raw Lumber/hr]]*(1+TblProd[[#This Row],[Bonus Lumber/hr]])-TblProd[[#This Row],[Lumber rot]],0)</f>
        <v>1033</v>
      </c>
      <c r="V49" s="97">
        <f ca="1">ROUND(TblProd[[#This Row],[Raw Mana/hr]]*(1+TblProd[[#This Row],[Bonus Mana/hr]])-TblProd[[#This Row],[Mana drain]],0)</f>
        <v>530</v>
      </c>
      <c r="W49" s="97">
        <f ca="1">ROUNDDOWN(TblProd[[#This Row],[Raw Ore/hr]]*(1+TblProd[[#This Row],[Bonux Ore/hr]]),0)</f>
        <v>0</v>
      </c>
      <c r="X49" s="97">
        <f ca="1">ROUNDDOWN(TblProd[[#This Row],[Raw Gems/hr]]*(1+TblProd[[#This Row],[Bonus Gems/hr]]),0)</f>
        <v>0</v>
      </c>
      <c r="Y49" s="158">
        <f ca="1">OFFSET(TblConstr[[#This Row],[Tot Doc]],1,0)*dock_boats_hr * (1 + tech_4_1*TblTech[[#This Row],[4-1]])</f>
        <v>0.5</v>
      </c>
      <c r="Z49" s="157"/>
      <c r="AA49" s="97">
        <f ca="1">TblPop[[#This Row],[Peasants]]*tax*TblPop[[#This Row],[Employment]] + (Construction!AZ50+Construction!BX50)*(alch_plat+(Magic!AM49&gt;0)*alchemist_flame_bonus)</f>
        <v>35963.5</v>
      </c>
      <c r="AB49" s="97">
        <f ca="1">TblConstr[[#This Row],[Tot Farm]]*farm_food + TblConstr[[#This Row],[Tot Doc]]*dock_food</f>
        <v>1840</v>
      </c>
      <c r="AC49" s="97">
        <f ca="1">TblConstr[[#This Row],[Tot Ly]]*ly_lumber + TblConstr[[#This Row],[Tot Hav]]*fh_lumber</f>
        <v>1250</v>
      </c>
      <c r="AD49" s="97">
        <f ca="1">OFFSET(TblConstr[[#This Row],[Tot Tow]],1,0)*(tower_mana + tech_4_5*TblTech[[#This Row],[4-5]]) + OFFSET(TblConstr[[#This Row],[Tot WG]],1,0)*wg_mana_prod</f>
        <v>625</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0.1</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49" s="159">
        <f ca="1">race_lumber_bonus+ IF(TblMagic[[#This Row],[Active Gaia''s Blessing]]&gt;0,gaias_blessing_lumber)+ tech_1_3*TblTech[[#This Row],[1-3]] + tech_1_6*TblTech[[#This Row],[1-6]] + tech_3_3*TblTech[[#This Row],[3-3]]</f>
        <v>-0.1</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0.15</v>
      </c>
      <c r="AN49" s="145"/>
      <c r="AO49" s="97">
        <f ca="1">TblProd[[#This Row],[Food]]*food_decay * (1 + tech_2_1*TblTech[[#This Row],[2-1]] + tech_2_8*TblTech[[#This Row],[2-8]])</f>
        <v>125.19</v>
      </c>
      <c r="AP49" s="97">
        <f ca="1">(1+race_food_consumption)*TblPop[[#This Row],[Total]]*food_per_person*(1+tech_1_10*TblTech[[#This Row],[1-10]]+tech_7_5*TblTech[[#This Row],[7-5]])</f>
        <v>2194.25</v>
      </c>
      <c r="AQ49" s="97">
        <f ca="1">TblProd[[#This Row],[Lumber]]*lumber_rot * (1 + tech_2_1*TblTech[[#This Row],[2-1]] + tech_2_8*TblTech[[#This Row],[2-8]] + tech_5_2*TblTech[[#This Row],[5-2]])</f>
        <v>92.06</v>
      </c>
      <c r="AR49" s="97">
        <f ca="1">TblProd[[#This Row],[Mana]]*mana_drain * (1 + tech_2_1*TblTech[[#This Row],[2-1]] + tech_2_8*TblTech[[#This Row],[2-8]])</f>
        <v>94.9</v>
      </c>
      <c r="AS49" s="157"/>
      <c r="AT49" s="97">
        <f ca="1">TblExplore[[#This Row],[Platinum (2)]]+TblConstr[[#This Row],[Total Plat Cost]]+TblMili[[#This Row],[Plat Cost]]+TblRezone[[#This Row],[Platinum cost]]+TblImps[[#This Row],[P1]]-TblProd[[#This Row],[Bank Plat]]</f>
        <v>5390</v>
      </c>
      <c r="AU49" s="97">
        <f ca="1">TblConstr[[#This Row],[Total Lum Cost]]+TblImps[[#This Row],[L1]]-TblProd[[#This Row],[Bank Lumber]] + Military!$CL$25*TblMili[[#This Row],[Sec. rec. Cost]]</f>
        <v>946</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45431.624999999891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175641</v>
      </c>
      <c r="BJ49" s="97">
        <f ca="1">TblProd[[#This Row],[Food]]</f>
        <v>12519</v>
      </c>
      <c r="BK49" s="97">
        <f ca="1">TblProd[[#This Row],[Lumber]]</f>
        <v>9206</v>
      </c>
      <c r="BL49" s="97">
        <f ca="1">TblProd[[#This Row],[Mana]]</f>
        <v>4745</v>
      </c>
      <c r="BM49" s="97">
        <f ca="1">TblProd[[#This Row],[Ore]]</f>
        <v>0</v>
      </c>
    </row>
    <row r="50" spans="1:65" x14ac:dyDescent="0.2">
      <c r="A50" s="140">
        <v>47</v>
      </c>
      <c r="B50" s="155">
        <f ca="1">TblImps[[#This Row],[Time]]</f>
        <v>45431.666666666555</v>
      </c>
      <c r="C50" s="156"/>
      <c r="D50" s="157"/>
      <c r="E50" s="97">
        <f ca="1">TblConstr[[#This Row],[Land]]</f>
        <v>563</v>
      </c>
      <c r="F50" s="97">
        <f ca="1">TblPop[[#This Row],[Peasants]]</f>
        <v>8604</v>
      </c>
      <c r="G50" s="97">
        <f ca="1">TblMili[[#This Row],[Networth (2)]]</f>
        <v>13305</v>
      </c>
      <c r="H50" s="97">
        <f ca="1">OFFSET(TblProd[[#This Row],[Platinum]],-1,0)+OFFSET(TblProd[[#This Row],[Plat/hr]],-1,0) - TblProd[[#This Row],[Expenses Platinum]] + IF(TblProd[[#This Row],[Plat Bonus]],TblPop[[#This Row],[Peasants]]*4) + SUM(TblConstr[[#This Row],[Dest Hom]:[Dest Doc]])*TblConstr[[#This Row],[CPA Platinum -DB]]*tech_3_3_2*TblTech[[#This Row],[3-3]]</f>
        <v>209248</v>
      </c>
      <c r="I50" s="97">
        <f ca="1">OFFSET(TblProd[[#This Row],[Food]],-1,0)+OFFSET(TblProd[[#This Row],[Food/hr]],-1,0)+ROUNDUP((TblConstr[[#This Row],[Farms]]*80+TblConstr[[#This Row],[Docks]]*35)*(1+OFFSET(TblProd[[#This Row],[Bonus Food/hr]],-1,0)),0)</f>
        <v>12168</v>
      </c>
      <c r="J50" s="97">
        <f ca="1">OFFSET(TblProd[[#This Row],[Lumber]],-1,0)+OFFSET(TblProd[[#This Row],[Lumber/hr]],-1,0) - TblProd[[#This Row],[Expenses Lumber]] + SUM(TblConstr[[#This Row],[Dest Hom]:[Dest Doc]])*TblConstr[[#This Row],[CPA Lumber -DB]]*tech_3_3_2*TblTech[[#This Row],[3-3]]</f>
        <v>9183</v>
      </c>
      <c r="K50" s="97">
        <f ca="1">OFFSET(TblProd[[#This Row],[Mana]],-1,0)+OFFSET(TblProd[[#This Row],[Mana/hr]],-1,0)- TblProd[[#This Row],[Expenses Mana]]</f>
        <v>5275</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7.25</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50" s="97">
        <f ca="1">MAX(3750,_xlfn.CEILING.MATH(TblProd[[#This Row],[Land]]*2.5+OFFSET(TblTech[[#This Row],[Sum of tech]],-1,0)*150))</f>
        <v>3750</v>
      </c>
      <c r="R50" s="145"/>
      <c r="S50" s="97">
        <f ca="1">ROUNDDOWN(TblProd[[#This Row],[Raw Plat/hr]]*(1+TblProd[[#This Row],[Bonus Plat/hr]]),0)</f>
        <v>39972</v>
      </c>
      <c r="T50" s="97">
        <f ca="1">ROUND(TblProd[[#This Row],[Raw Food/hr]]*(1+TblProd[[#This Row],[Bonus Food/hr]])-TblProd[[#This Row],[Food decay]]-TblProd[[#This Row],[Food eaten]],0)</f>
        <v>-394</v>
      </c>
      <c r="U50" s="97">
        <f ca="1">ROUND(TblProd[[#This Row],[Raw Lumber/hr]]*(1+TblProd[[#This Row],[Bonus Lumber/hr]])-TblProd[[#This Row],[Lumber rot]],0)</f>
        <v>1033</v>
      </c>
      <c r="V50" s="97">
        <f ca="1">ROUND(TblProd[[#This Row],[Raw Mana/hr]]*(1+TblProd[[#This Row],[Bonus Mana/hr]])-TblProd[[#This Row],[Mana drain]],0)</f>
        <v>520</v>
      </c>
      <c r="W50" s="97">
        <f ca="1">ROUNDDOWN(TblProd[[#This Row],[Raw Ore/hr]]*(1+TblProd[[#This Row],[Bonux Ore/hr]]),0)</f>
        <v>0</v>
      </c>
      <c r="X50" s="97">
        <f ca="1">ROUNDDOWN(TblProd[[#This Row],[Raw Gems/hr]]*(1+TblProd[[#This Row],[Bonus Gems/hr]]),0)</f>
        <v>0</v>
      </c>
      <c r="Y50" s="158">
        <f ca="1">OFFSET(TblConstr[[#This Row],[Tot Doc]],1,0)*dock_boats_hr * (1 + tech_4_1*TblTech[[#This Row],[4-1]])</f>
        <v>0.5</v>
      </c>
      <c r="Z50" s="157"/>
      <c r="AA50" s="97">
        <f ca="1">TblPop[[#This Row],[Peasants]]*tax*TblPop[[#This Row],[Employment]] + (Construction!AZ51+Construction!BX51)*(alch_plat+(Magic!AM50&gt;0)*alchemist_flame_bonus)</f>
        <v>36338.800000000003</v>
      </c>
      <c r="AB50" s="97">
        <f ca="1">TblConstr[[#This Row],[Tot Farm]]*farm_food + TblConstr[[#This Row],[Tot Doc]]*dock_food</f>
        <v>1920</v>
      </c>
      <c r="AC50" s="97">
        <f ca="1">TblConstr[[#This Row],[Tot Ly]]*ly_lumber + TblConstr[[#This Row],[Tot Hav]]*fh_lumber</f>
        <v>1250</v>
      </c>
      <c r="AD50" s="97">
        <f ca="1">OFFSET(TblConstr[[#This Row],[Tot Tow]],1,0)*(tower_mana + tech_4_5*TblTech[[#This Row],[4-5]]) + OFFSET(TblConstr[[#This Row],[Tot WG]],1,0)*wg_mana_prod</f>
        <v>625</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0.1</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0" s="159">
        <f ca="1">race_lumber_bonus+ IF(TblMagic[[#This Row],[Active Gaia''s Blessing]]&gt;0,gaias_blessing_lumber)+ tech_1_3*TblTech[[#This Row],[1-3]] + tech_1_6*TblTech[[#This Row],[1-6]] + tech_3_3*TblTech[[#This Row],[3-3]]</f>
        <v>-0.1</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0.15</v>
      </c>
      <c r="AN50" s="145"/>
      <c r="AO50" s="97">
        <f ca="1">TblProd[[#This Row],[Food]]*food_decay * (1 + tech_2_1*TblTech[[#This Row],[2-1]] + tech_2_8*TblTech[[#This Row],[2-8]])</f>
        <v>121.68</v>
      </c>
      <c r="AP50" s="97">
        <f ca="1">(1+race_food_consumption)*TblPop[[#This Row],[Total]]*food_per_person*(1+tech_1_10*TblTech[[#This Row],[1-10]]+tech_7_5*TblTech[[#This Row],[7-5]])</f>
        <v>2240</v>
      </c>
      <c r="AQ50" s="97">
        <f ca="1">TblProd[[#This Row],[Lumber]]*lumber_rot * (1 + tech_2_1*TblTech[[#This Row],[2-1]] + tech_2_8*TblTech[[#This Row],[2-8]] + tech_5_2*TblTech[[#This Row],[5-2]])</f>
        <v>91.83</v>
      </c>
      <c r="AR50" s="97">
        <f ca="1">TblProd[[#This Row],[Mana]]*mana_drain * (1 + tech_2_1*TblTech[[#This Row],[2-1]] + tech_2_8*TblTech[[#This Row],[2-8]])</f>
        <v>105.5</v>
      </c>
      <c r="AS50" s="157"/>
      <c r="AT50" s="97">
        <f ca="1">TblExplore[[#This Row],[Platinum (2)]]+TblConstr[[#This Row],[Total Plat Cost]]+TblMili[[#This Row],[Plat Cost]]+TblRezone[[#This Row],[Platinum cost]]+TblImps[[#This Row],[P1]]-TblProd[[#This Row],[Bank Plat]]</f>
        <v>5952</v>
      </c>
      <c r="AU50" s="97">
        <f ca="1">TblConstr[[#This Row],[Total Lum Cost]]+TblImps[[#This Row],[L1]]-TblProd[[#This Row],[Bank Lumber]] + Military!$CL$25*TblMili[[#This Row],[Sec. rec. Cost]]</f>
        <v>1056</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45431.666666666555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209248</v>
      </c>
      <c r="BJ50" s="97">
        <f ca="1">TblProd[[#This Row],[Food]]</f>
        <v>12168</v>
      </c>
      <c r="BK50" s="97">
        <f ca="1">TblProd[[#This Row],[Lumber]]</f>
        <v>9183</v>
      </c>
      <c r="BL50" s="97">
        <f ca="1">TblProd[[#This Row],[Mana]]</f>
        <v>5275</v>
      </c>
      <c r="BM50" s="97">
        <f ca="1">TblProd[[#This Row],[Ore]]</f>
        <v>0</v>
      </c>
    </row>
    <row r="51" spans="1:65" x14ac:dyDescent="0.2">
      <c r="A51" s="140">
        <v>48</v>
      </c>
      <c r="B51" s="155">
        <f ca="1">TblImps[[#This Row],[Time]]</f>
        <v>45431.708333333219</v>
      </c>
      <c r="C51" s="156">
        <v>1</v>
      </c>
      <c r="D51" s="157"/>
      <c r="E51" s="97">
        <f ca="1">TblConstr[[#This Row],[Land]]</f>
        <v>596</v>
      </c>
      <c r="F51" s="97">
        <f ca="1">TblPop[[#This Row],[Peasants]]</f>
        <v>8717</v>
      </c>
      <c r="G51" s="97">
        <f ca="1">TblMili[[#This Row],[Networth (2)]]</f>
        <v>14015</v>
      </c>
      <c r="H51" s="97">
        <f ca="1">OFFSET(TblProd[[#This Row],[Platinum]],-1,0)+OFFSET(TblProd[[#This Row],[Plat/hr]],-1,0) - TblProd[[#This Row],[Expenses Platinum]] + IF(TblProd[[#This Row],[Plat Bonus]],TblPop[[#This Row],[Peasants]]*4) + SUM(TblConstr[[#This Row],[Dest Hom]:[Dest Doc]])*TblConstr[[#This Row],[CPA Platinum -DB]]*tech_3_3_2*TblTech[[#This Row],[3-3]]</f>
        <v>267289</v>
      </c>
      <c r="I51" s="97">
        <f ca="1">OFFSET(TblProd[[#This Row],[Food]],-1,0)+OFFSET(TblProd[[#This Row],[Food/hr]],-1,0)+ROUNDUP((TblConstr[[#This Row],[Farms]]*80+TblConstr[[#This Row],[Docks]]*35)*(1+OFFSET(TblProd[[#This Row],[Bonus Food/hr]],-1,0)),0)</f>
        <v>11774</v>
      </c>
      <c r="J51" s="97">
        <f ca="1">OFFSET(TblProd[[#This Row],[Lumber]],-1,0)+OFFSET(TblProd[[#This Row],[Lumber/hr]],-1,0) - TblProd[[#This Row],[Expenses Lumber]] + SUM(TblConstr[[#This Row],[Dest Hom]:[Dest Doc]])*TblConstr[[#This Row],[CPA Lumber -DB]]*tech_3_3_2*TblTech[[#This Row],[3-3]]</f>
        <v>7186</v>
      </c>
      <c r="K51" s="97">
        <f ca="1">OFFSET(TblProd[[#This Row],[Mana]],-1,0)+OFFSET(TblProd[[#This Row],[Mana/hr]],-1,0)- TblProd[[#This Row],[Expenses Mana]]</f>
        <v>5795</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7.75</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1" s="97">
        <f ca="1">MAX(3750,_xlfn.CEILING.MATH(TblProd[[#This Row],[Land]]*2.5+OFFSET(TblTech[[#This Row],[Sum of tech]],-1,0)*150))</f>
        <v>3750</v>
      </c>
      <c r="R51" s="145"/>
      <c r="S51" s="97">
        <f ca="1">ROUNDDOWN(TblProd[[#This Row],[Raw Plat/hr]]*(1+TblProd[[#This Row],[Bonus Plat/hr]]),0)</f>
        <v>40302</v>
      </c>
      <c r="T51" s="97">
        <f ca="1">ROUND(TblProd[[#This Row],[Raw Food/hr]]*(1+TblProd[[#This Row],[Bonus Food/hr]])-TblProd[[#This Row],[Food decay]]-TblProd[[#This Row],[Food eaten]],0)</f>
        <v>-439</v>
      </c>
      <c r="U51" s="97">
        <f ca="1">ROUND(TblProd[[#This Row],[Raw Lumber/hr]]*(1+TblProd[[#This Row],[Bonus Lumber/hr]])-TblProd[[#This Row],[Lumber rot]],0)</f>
        <v>1053</v>
      </c>
      <c r="V51" s="97">
        <f ca="1">ROUND(TblProd[[#This Row],[Raw Mana/hr]]*(1+TblProd[[#This Row],[Bonus Mana/hr]])-TblProd[[#This Row],[Mana drain]],0)</f>
        <v>509</v>
      </c>
      <c r="W51" s="97">
        <f ca="1">ROUNDDOWN(TblProd[[#This Row],[Raw Ore/hr]]*(1+TblProd[[#This Row],[Bonux Ore/hr]]),0)</f>
        <v>0</v>
      </c>
      <c r="X51" s="97">
        <f ca="1">ROUNDDOWN(TblProd[[#This Row],[Raw Gems/hr]]*(1+TblProd[[#This Row],[Bonus Gems/hr]]),0)</f>
        <v>0</v>
      </c>
      <c r="Y51" s="158">
        <f ca="1">OFFSET(TblConstr[[#This Row],[Tot Doc]],1,0)*dock_boats_hr * (1 + tech_4_1*TblTech[[#This Row],[4-1]])</f>
        <v>0.5</v>
      </c>
      <c r="Z51" s="157"/>
      <c r="AA51" s="97">
        <f ca="1">TblPop[[#This Row],[Peasants]]*tax*TblPop[[#This Row],[Employment]] + (Construction!AZ52+Construction!BX52)*(alch_plat+(Magic!AM51&gt;0)*alchemist_flame_bonus)</f>
        <v>36638.5</v>
      </c>
      <c r="AB51" s="97">
        <f ca="1">TblConstr[[#This Row],[Tot Farm]]*farm_food + TblConstr[[#This Row],[Tot Doc]]*dock_food</f>
        <v>1920</v>
      </c>
      <c r="AC51" s="97">
        <f ca="1">TblConstr[[#This Row],[Tot Ly]]*ly_lumber + TblConstr[[#This Row],[Tot Hav]]*fh_lumber</f>
        <v>1250</v>
      </c>
      <c r="AD51" s="97">
        <f ca="1">OFFSET(TblConstr[[#This Row],[Tot Tow]],1,0)*(tower_mana + tech_4_5*TblTech[[#This Row],[4-5]]) + OFFSET(TblConstr[[#This Row],[Tot WG]],1,0)*wg_mana_prod</f>
        <v>625</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0.1</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1" s="159">
        <f ca="1">race_lumber_bonus+ IF(TblMagic[[#This Row],[Active Gaia''s Blessing]]&gt;0,gaias_blessing_lumber)+ tech_1_3*TblTech[[#This Row],[1-3]] + tech_1_6*TblTech[[#This Row],[1-6]] + tech_3_3*TblTech[[#This Row],[3-3]]</f>
        <v>-0.1</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0.15</v>
      </c>
      <c r="AN51" s="145"/>
      <c r="AO51" s="97">
        <f ca="1">TblProd[[#This Row],[Food]]*food_decay * (1 + tech_2_1*TblTech[[#This Row],[2-1]] + tech_2_8*TblTech[[#This Row],[2-8]])</f>
        <v>117.74000000000001</v>
      </c>
      <c r="AP51" s="97">
        <f ca="1">(1+race_food_consumption)*TblPop[[#This Row],[Total]]*food_per_person*(1+tech_1_10*TblTech[[#This Row],[1-10]]+tech_7_5*TblTech[[#This Row],[7-5]])</f>
        <v>2289.75</v>
      </c>
      <c r="AQ51" s="97">
        <f ca="1">TblProd[[#This Row],[Lumber]]*lumber_rot * (1 + tech_2_1*TblTech[[#This Row],[2-1]] + tech_2_8*TblTech[[#This Row],[2-8]] + tech_5_2*TblTech[[#This Row],[5-2]])</f>
        <v>71.86</v>
      </c>
      <c r="AR51" s="97">
        <f ca="1">TblProd[[#This Row],[Mana]]*mana_drain * (1 + tech_2_1*TblTech[[#This Row],[2-1]] + tech_2_8*TblTech[[#This Row],[2-8]])</f>
        <v>115.9</v>
      </c>
      <c r="AS51" s="157"/>
      <c r="AT51" s="97">
        <f ca="1">TblExplore[[#This Row],[Platinum (2)]]+TblConstr[[#This Row],[Total Plat Cost]]+TblMili[[#This Row],[Plat Cost]]+TblRezone[[#This Row],[Platinum cost]]+TblImps[[#This Row],[P1]]-TblProd[[#This Row],[Bank Plat]]</f>
        <v>16799</v>
      </c>
      <c r="AU51" s="97">
        <f ca="1">TblConstr[[#This Row],[Total Lum Cost]]+TblImps[[#This Row],[L1]]-TblProd[[#This Row],[Bank Lumber]] + Military!$CL$25*TblMili[[#This Row],[Sec. rec. Cost]]</f>
        <v>3030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45431.708333333219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267289</v>
      </c>
      <c r="BJ51" s="97">
        <f ca="1">TblProd[[#This Row],[Food]]</f>
        <v>11774</v>
      </c>
      <c r="BK51" s="97">
        <f ca="1">TblProd[[#This Row],[Lumber]]</f>
        <v>7186</v>
      </c>
      <c r="BL51" s="97">
        <f ca="1">TblProd[[#This Row],[Mana]]</f>
        <v>5795</v>
      </c>
      <c r="BM51" s="97">
        <f ca="1">TblProd[[#This Row],[Ore]]</f>
        <v>0</v>
      </c>
    </row>
    <row r="52" spans="1:65" x14ac:dyDescent="0.2">
      <c r="A52" s="140">
        <v>49</v>
      </c>
      <c r="B52" s="155">
        <f ca="1">TblImps[[#This Row],[Time]]</f>
        <v>45431.749999999884</v>
      </c>
      <c r="C52" s="156"/>
      <c r="D52" s="157"/>
      <c r="E52" s="97">
        <f ca="1">TblConstr[[#This Row],[Land]]</f>
        <v>629</v>
      </c>
      <c r="F52" s="97">
        <f ca="1">TblPop[[#This Row],[Peasants]]</f>
        <v>9138</v>
      </c>
      <c r="G52" s="97">
        <f ca="1">TblMili[[#This Row],[Networth (2)]]</f>
        <v>14675</v>
      </c>
      <c r="H52" s="97">
        <f ca="1">OFFSET(TblProd[[#This Row],[Platinum]],-1,0)+OFFSET(TblProd[[#This Row],[Plat/hr]],-1,0) - TblProd[[#This Row],[Expenses Platinum]] + IF(TblProd[[#This Row],[Plat Bonus]],TblPop[[#This Row],[Peasants]]*4) + SUM(TblConstr[[#This Row],[Dest Hom]:[Dest Doc]])*TblConstr[[#This Row],[CPA Platinum -DB]]*tech_3_3_2*TblTech[[#This Row],[3-3]]</f>
        <v>290264</v>
      </c>
      <c r="I52" s="97">
        <f ca="1">OFFSET(TblProd[[#This Row],[Food]],-1,0)+OFFSET(TblProd[[#This Row],[Food/hr]],-1,0)+ROUNDUP((TblConstr[[#This Row],[Farms]]*80+TblConstr[[#This Row],[Docks]]*35)*(1+OFFSET(TblProd[[#This Row],[Bonus Food/hr]],-1,0)),0)</f>
        <v>11335</v>
      </c>
      <c r="J52" s="97">
        <f ca="1">OFFSET(TblProd[[#This Row],[Lumber]],-1,0)+OFFSET(TblProd[[#This Row],[Lumber/hr]],-1,0) - TblProd[[#This Row],[Expenses Lumber]] + SUM(TblConstr[[#This Row],[Dest Hom]:[Dest Doc]])*TblConstr[[#This Row],[CPA Lumber -DB]]*tech_3_3_2*TblTech[[#This Row],[3-3]]</f>
        <v>5044</v>
      </c>
      <c r="K52" s="97">
        <f ca="1">OFFSET(TblProd[[#This Row],[Mana]],-1,0)+OFFSET(TblProd[[#This Row],[Mana/hr]],-1,0)- TblProd[[#This Row],[Expenses Mana]]</f>
        <v>6304</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8.25</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2" s="97">
        <f ca="1">MAX(3750,_xlfn.CEILING.MATH(TblProd[[#This Row],[Land]]*2.5+OFFSET(TblTech[[#This Row],[Sum of tech]],-1,0)*150))</f>
        <v>3750</v>
      </c>
      <c r="R52" s="145"/>
      <c r="S52" s="97">
        <f ca="1">ROUNDDOWN(TblProd[[#This Row],[Raw Plat/hr]]*(1+TblProd[[#This Row],[Bonus Plat/hr]]),0)</f>
        <v>40302</v>
      </c>
      <c r="T52" s="97">
        <f ca="1">ROUND(TblProd[[#This Row],[Raw Food/hr]]*(1+TblProd[[#This Row],[Bonus Food/hr]])-TblProd[[#This Row],[Food decay]]-TblProd[[#This Row],[Food eaten]],0)</f>
        <v>-562</v>
      </c>
      <c r="U52" s="97">
        <f ca="1">ROUND(TblProd[[#This Row],[Raw Lumber/hr]]*(1+TblProd[[#This Row],[Bonus Lumber/hr]])-TblProd[[#This Row],[Lumber rot]],0)</f>
        <v>1075</v>
      </c>
      <c r="V52" s="97">
        <f ca="1">ROUND(TblProd[[#This Row],[Raw Mana/hr]]*(1+TblProd[[#This Row],[Bonus Mana/hr]])-TblProd[[#This Row],[Mana drain]],0)</f>
        <v>499</v>
      </c>
      <c r="W52" s="97">
        <f ca="1">ROUNDDOWN(TblProd[[#This Row],[Raw Ore/hr]]*(1+TblProd[[#This Row],[Bonux Ore/hr]]),0)</f>
        <v>0</v>
      </c>
      <c r="X52" s="97">
        <f ca="1">ROUNDDOWN(TblProd[[#This Row],[Raw Gems/hr]]*(1+TblProd[[#This Row],[Bonus Gems/hr]]),0)</f>
        <v>0</v>
      </c>
      <c r="Y52" s="158">
        <f ca="1">OFFSET(TblConstr[[#This Row],[Tot Doc]],1,0)*dock_boats_hr * (1 + tech_4_1*TblTech[[#This Row],[4-1]])</f>
        <v>0.5</v>
      </c>
      <c r="Z52" s="157"/>
      <c r="AA52" s="97">
        <f ca="1">TblPop[[#This Row],[Peasants]]*tax*TblPop[[#This Row],[Employment]] + (Construction!AZ53+Construction!BX53)*(alch_plat+(Magic!AM52&gt;0)*alchemist_flame_bonus)</f>
        <v>36638.5</v>
      </c>
      <c r="AB52" s="97">
        <f ca="1">TblConstr[[#This Row],[Tot Farm]]*farm_food + TblConstr[[#This Row],[Tot Doc]]*dock_food</f>
        <v>1920</v>
      </c>
      <c r="AC52" s="97">
        <f ca="1">TblConstr[[#This Row],[Tot Ly]]*ly_lumber + TblConstr[[#This Row],[Tot Hav]]*fh_lumber</f>
        <v>1250</v>
      </c>
      <c r="AD52" s="97">
        <f ca="1">OFFSET(TblConstr[[#This Row],[Tot Tow]],1,0)*(tower_mana + tech_4_5*TblTech[[#This Row],[4-5]]) + OFFSET(TblConstr[[#This Row],[Tot WG]],1,0)*wg_mana_prod</f>
        <v>625</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0.1</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2" s="159">
        <f ca="1">race_lumber_bonus+ IF(TblMagic[[#This Row],[Active Gaia''s Blessing]]&gt;0,gaias_blessing_lumber)+ tech_1_3*TblTech[[#This Row],[1-3]] + tech_1_6*TblTech[[#This Row],[1-6]] + tech_3_3*TblTech[[#This Row],[3-3]]</f>
        <v>-0.1</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0.15</v>
      </c>
      <c r="AN52" s="145"/>
      <c r="AO52" s="97">
        <f ca="1">TblProd[[#This Row],[Food]]*food_decay * (1 + tech_2_1*TblTech[[#This Row],[2-1]] + tech_2_8*TblTech[[#This Row],[2-8]])</f>
        <v>113.35000000000001</v>
      </c>
      <c r="AP52" s="97">
        <f ca="1">(1+race_food_consumption)*TblPop[[#This Row],[Total]]*food_per_person*(1+tech_1_10*TblTech[[#This Row],[1-10]]+tech_7_5*TblTech[[#This Row],[7-5]])</f>
        <v>2416.75</v>
      </c>
      <c r="AQ52" s="97">
        <f ca="1">TblProd[[#This Row],[Lumber]]*lumber_rot * (1 + tech_2_1*TblTech[[#This Row],[2-1]] + tech_2_8*TblTech[[#This Row],[2-8]] + tech_5_2*TblTech[[#This Row],[5-2]])</f>
        <v>50.44</v>
      </c>
      <c r="AR52" s="97">
        <f ca="1">TblProd[[#This Row],[Mana]]*mana_drain * (1 + tech_2_1*TblTech[[#This Row],[2-1]] + tech_2_8*TblTech[[#This Row],[2-8]])</f>
        <v>126.08</v>
      </c>
      <c r="AS52" s="157"/>
      <c r="AT52" s="97">
        <f ca="1">TblExplore[[#This Row],[Platinum (2)]]+TblConstr[[#This Row],[Total Plat Cost]]+TblMili[[#This Row],[Plat Cost]]+TblRezone[[#This Row],[Platinum cost]]+TblImps[[#This Row],[P1]]-TblProd[[#This Row],[Bank Plat]]</f>
        <v>17327</v>
      </c>
      <c r="AU52" s="97">
        <f ca="1">TblConstr[[#This Row],[Total Lum Cost]]+TblImps[[#This Row],[L1]]-TblProd[[#This Row],[Bank Lumber]] + Military!$CL$25*TblMili[[#This Row],[Sec. rec. Cost]]</f>
        <v>3195</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45431.749999999884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290264</v>
      </c>
      <c r="BJ52" s="97">
        <f ca="1">TblProd[[#This Row],[Food]]</f>
        <v>11335</v>
      </c>
      <c r="BK52" s="97">
        <f ca="1">TblProd[[#This Row],[Lumber]]</f>
        <v>5044</v>
      </c>
      <c r="BL52" s="97">
        <f ca="1">TblProd[[#This Row],[Mana]]</f>
        <v>6304</v>
      </c>
      <c r="BM52" s="97">
        <f ca="1">TblProd[[#This Row],[Ore]]</f>
        <v>0</v>
      </c>
    </row>
    <row r="53" spans="1:65" x14ac:dyDescent="0.2">
      <c r="A53" s="140">
        <v>50</v>
      </c>
      <c r="B53" s="155">
        <f ca="1">TblImps[[#This Row],[Time]]</f>
        <v>45431.791666666548</v>
      </c>
      <c r="C53" s="156"/>
      <c r="D53" s="157"/>
      <c r="E53" s="97">
        <f ca="1">TblConstr[[#This Row],[Land]]</f>
        <v>642</v>
      </c>
      <c r="F53" s="97">
        <f ca="1">TblPop[[#This Row],[Peasants]]</f>
        <v>9573</v>
      </c>
      <c r="G53" s="97">
        <f ca="1">TblMili[[#This Row],[Networth (2)]]</f>
        <v>14935</v>
      </c>
      <c r="H53" s="97">
        <f ca="1">OFFSET(TblProd[[#This Row],[Platinum]],-1,0)+OFFSET(TblProd[[#This Row],[Plat/hr]],-1,0) - TblProd[[#This Row],[Expenses Platinum]] + IF(TblProd[[#This Row],[Plat Bonus]],TblPop[[#This Row],[Peasants]]*4) + SUM(TblConstr[[#This Row],[Dest Hom]:[Dest Doc]])*TblConstr[[#This Row],[CPA Platinum -DB]]*tech_3_3_2*TblTech[[#This Row],[3-3]]</f>
        <v>323598</v>
      </c>
      <c r="I53" s="97">
        <f ca="1">OFFSET(TblProd[[#This Row],[Food]],-1,0)+OFFSET(TblProd[[#This Row],[Food/hr]],-1,0)+ROUNDUP((TblConstr[[#This Row],[Farms]]*80+TblConstr[[#This Row],[Docks]]*35)*(1+OFFSET(TblProd[[#This Row],[Bonus Food/hr]],-1,0)),0)</f>
        <v>10773</v>
      </c>
      <c r="J53" s="97">
        <f ca="1">OFFSET(TblProd[[#This Row],[Lumber]],-1,0)+OFFSET(TblProd[[#This Row],[Lumber/hr]],-1,0) - TblProd[[#This Row],[Expenses Lumber]] + SUM(TblConstr[[#This Row],[Dest Hom]:[Dest Doc]])*TblConstr[[#This Row],[CPA Lumber -DB]]*tech_3_3_2*TblTech[[#This Row],[3-3]]</f>
        <v>4832</v>
      </c>
      <c r="K53" s="97">
        <f ca="1">OFFSET(TblProd[[#This Row],[Mana]],-1,0)+OFFSET(TblProd[[#This Row],[Mana/hr]],-1,0)- TblProd[[#This Row],[Expenses Mana]]</f>
        <v>3593</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8.75</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3" s="97">
        <f ca="1">MAX(3750,_xlfn.CEILING.MATH(TblProd[[#This Row],[Land]]*2.5+OFFSET(TblTech[[#This Row],[Sum of tech]],-1,0)*150))</f>
        <v>3750</v>
      </c>
      <c r="R53" s="145"/>
      <c r="S53" s="97">
        <f ca="1">ROUNDDOWN(TblProd[[#This Row],[Raw Plat/hr]]*(1+TblProd[[#This Row],[Bonus Plat/hr]]),0)</f>
        <v>40302</v>
      </c>
      <c r="T53" s="97">
        <f ca="1">ROUND(TblProd[[#This Row],[Raw Food/hr]]*(1+TblProd[[#This Row],[Bonus Food/hr]])-TblProd[[#This Row],[Food decay]]-TblProd[[#This Row],[Food eaten]],0)</f>
        <v>-688</v>
      </c>
      <c r="U53" s="97">
        <f ca="1">ROUND(TblProd[[#This Row],[Raw Lumber/hr]]*(1+TblProd[[#This Row],[Bonus Lumber/hr]])-TblProd[[#This Row],[Lumber rot]],0)</f>
        <v>1077</v>
      </c>
      <c r="V53" s="97">
        <f ca="1">ROUND(TblProd[[#This Row],[Raw Mana/hr]]*(1+TblProd[[#This Row],[Bonus Mana/hr]])-TblProd[[#This Row],[Mana drain]],0)</f>
        <v>553</v>
      </c>
      <c r="W53" s="97">
        <f ca="1">ROUNDDOWN(TblProd[[#This Row],[Raw Ore/hr]]*(1+TblProd[[#This Row],[Bonux Ore/hr]]),0)</f>
        <v>0</v>
      </c>
      <c r="X53" s="97">
        <f ca="1">ROUNDDOWN(TblProd[[#This Row],[Raw Gems/hr]]*(1+TblProd[[#This Row],[Bonus Gems/hr]]),0)</f>
        <v>0</v>
      </c>
      <c r="Y53" s="158">
        <f ca="1">OFFSET(TblConstr[[#This Row],[Tot Doc]],1,0)*dock_boats_hr * (1 + tech_4_1*TblTech[[#This Row],[4-1]])</f>
        <v>0.5</v>
      </c>
      <c r="Z53" s="157"/>
      <c r="AA53" s="97">
        <f ca="1">TblPop[[#This Row],[Peasants]]*tax*TblPop[[#This Row],[Employment]] + (Construction!AZ54+Construction!BX54)*(alch_plat+(Magic!AM53&gt;0)*alchemist_flame_bonus)</f>
        <v>36638.5</v>
      </c>
      <c r="AB53" s="97">
        <f ca="1">TblConstr[[#This Row],[Tot Farm]]*farm_food + TblConstr[[#This Row],[Tot Doc]]*dock_food</f>
        <v>1920</v>
      </c>
      <c r="AC53" s="97">
        <f ca="1">TblConstr[[#This Row],[Tot Ly]]*ly_lumber + TblConstr[[#This Row],[Tot Hav]]*fh_lumber</f>
        <v>1250</v>
      </c>
      <c r="AD53" s="97">
        <f ca="1">OFFSET(TblConstr[[#This Row],[Tot Tow]],1,0)*(tower_mana + tech_4_5*TblTech[[#This Row],[4-5]]) + OFFSET(TblConstr[[#This Row],[Tot WG]],1,0)*wg_mana_prod</f>
        <v>625</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0.1</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3" s="159">
        <f ca="1">race_lumber_bonus+ IF(TblMagic[[#This Row],[Active Gaia''s Blessing]]&gt;0,gaias_blessing_lumber)+ tech_1_3*TblTech[[#This Row],[1-3]] + tech_1_6*TblTech[[#This Row],[1-6]] + tech_3_3*TblTech[[#This Row],[3-3]]</f>
        <v>-0.1</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0.15</v>
      </c>
      <c r="AN53" s="145"/>
      <c r="AO53" s="97">
        <f ca="1">TblProd[[#This Row],[Food]]*food_decay * (1 + tech_2_1*TblTech[[#This Row],[2-1]] + tech_2_8*TblTech[[#This Row],[2-8]])</f>
        <v>107.73</v>
      </c>
      <c r="AP53" s="97">
        <f ca="1">(1+race_food_consumption)*TblPop[[#This Row],[Total]]*food_per_person*(1+tech_1_10*TblTech[[#This Row],[1-10]]+tech_7_5*TblTech[[#This Row],[7-5]])</f>
        <v>2548.25</v>
      </c>
      <c r="AQ53" s="97">
        <f ca="1">TblProd[[#This Row],[Lumber]]*lumber_rot * (1 + tech_2_1*TblTech[[#This Row],[2-1]] + tech_2_8*TblTech[[#This Row],[2-8]] + tech_5_2*TblTech[[#This Row],[5-2]])</f>
        <v>48.32</v>
      </c>
      <c r="AR53" s="97">
        <f ca="1">TblProd[[#This Row],[Mana]]*mana_drain * (1 + tech_2_1*TblTech[[#This Row],[2-1]] + tech_2_8*TblTech[[#This Row],[2-8]])</f>
        <v>71.86</v>
      </c>
      <c r="AS53" s="157"/>
      <c r="AT53" s="97">
        <f ca="1">TblExplore[[#This Row],[Platinum (2)]]+TblConstr[[#This Row],[Total Plat Cost]]+TblMili[[#This Row],[Plat Cost]]+TblRezone[[#This Row],[Platinum cost]]+TblImps[[#This Row],[P1]]-TblProd[[#This Row],[Bank Plat]]</f>
        <v>6968</v>
      </c>
      <c r="AU53" s="97">
        <f ca="1">TblConstr[[#This Row],[Total Lum Cost]]+TblImps[[#This Row],[L1]]-TblProd[[#This Row],[Bank Lumber]] + Military!$CL$25*TblMili[[#This Row],[Sec. rec. Cost]]</f>
        <v>1287</v>
      </c>
      <c r="AV53" s="97">
        <f ca="1">TblMagic[[#This Row],[Mana cost]] + Military!$CL$26*TblMili[[#This Row],[Sec. rec. Cost]]</f>
        <v>3210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45431.791666666548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323598</v>
      </c>
      <c r="BJ53" s="97">
        <f ca="1">TblProd[[#This Row],[Food]]</f>
        <v>10773</v>
      </c>
      <c r="BK53" s="97">
        <f ca="1">TblProd[[#This Row],[Lumber]]</f>
        <v>4832</v>
      </c>
      <c r="BL53" s="97">
        <f ca="1">TblProd[[#This Row],[Mana]]</f>
        <v>3593</v>
      </c>
      <c r="BM53" s="97">
        <f ca="1">TblProd[[#This Row],[Ore]]</f>
        <v>0</v>
      </c>
    </row>
    <row r="54" spans="1:65" x14ac:dyDescent="0.2">
      <c r="A54" s="140">
        <v>51</v>
      </c>
      <c r="B54" s="155">
        <f ca="1">TblImps[[#This Row],[Time]]</f>
        <v>45431.833333333212</v>
      </c>
      <c r="C54" s="156"/>
      <c r="D54" s="157"/>
      <c r="E54" s="97">
        <f ca="1">TblConstr[[#This Row],[Land]]</f>
        <v>656</v>
      </c>
      <c r="F54" s="97">
        <f ca="1">TblPop[[#This Row],[Peasants]]</f>
        <v>9724</v>
      </c>
      <c r="G54" s="97">
        <f ca="1">TblMili[[#This Row],[Networth (2)]]</f>
        <v>15215</v>
      </c>
      <c r="H54" s="97">
        <f ca="1">OFFSET(TblProd[[#This Row],[Platinum]],-1,0)+OFFSET(TblProd[[#This Row],[Plat/hr]],-1,0) - TblProd[[#This Row],[Expenses Platinum]] + IF(TblProd[[#This Row],[Plat Bonus]],TblPop[[#This Row],[Peasants]]*4) + SUM(TblConstr[[#This Row],[Dest Hom]:[Dest Doc]])*TblConstr[[#This Row],[CPA Platinum -DB]]*tech_3_3_2*TblTech[[#This Row],[3-3]]</f>
        <v>356298</v>
      </c>
      <c r="I54" s="97">
        <f ca="1">OFFSET(TblProd[[#This Row],[Food]],-1,0)+OFFSET(TblProd[[#This Row],[Food/hr]],-1,0)+ROUNDUP((TblConstr[[#This Row],[Farms]]*80+TblConstr[[#This Row],[Docks]]*35)*(1+OFFSET(TblProd[[#This Row],[Bonus Food/hr]],-1,0)),0)</f>
        <v>10085</v>
      </c>
      <c r="J54" s="97">
        <f ca="1">OFFSET(TblProd[[#This Row],[Lumber]],-1,0)+OFFSET(TblProd[[#This Row],[Lumber/hr]],-1,0) - TblProd[[#This Row],[Expenses Lumber]] + SUM(TblConstr[[#This Row],[Dest Hom]:[Dest Doc]])*TblConstr[[#This Row],[CPA Lumber -DB]]*tech_3_3_2*TblTech[[#This Row],[3-3]]</f>
        <v>4495</v>
      </c>
      <c r="K54" s="97">
        <f ca="1">OFFSET(TblProd[[#This Row],[Mana]],-1,0)+OFFSET(TblProd[[#This Row],[Mana/hr]],-1,0)- TblProd[[#This Row],[Expenses Mana]]</f>
        <v>4146</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9.25</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4" s="97">
        <f ca="1">MAX(3750,_xlfn.CEILING.MATH(TblProd[[#This Row],[Land]]*2.5+OFFSET(TblTech[[#This Row],[Sum of tech]],-1,0)*150))</f>
        <v>3750</v>
      </c>
      <c r="R54" s="145"/>
      <c r="S54" s="97">
        <f ca="1">ROUNDDOWN(TblProd[[#This Row],[Raw Plat/hr]]*(1+TblProd[[#This Row],[Bonus Plat/hr]]),0)</f>
        <v>40302</v>
      </c>
      <c r="T54" s="97">
        <f ca="1">ROUND(TblProd[[#This Row],[Raw Food/hr]]*(1+TblProd[[#This Row],[Bonus Food/hr]])-TblProd[[#This Row],[Food decay]]-TblProd[[#This Row],[Food eaten]],0)</f>
        <v>-743</v>
      </c>
      <c r="U54" s="97">
        <f ca="1">ROUND(TblProd[[#This Row],[Raw Lumber/hr]]*(1+TblProd[[#This Row],[Bonus Lumber/hr]])-TblProd[[#This Row],[Lumber rot]],0)</f>
        <v>1080</v>
      </c>
      <c r="V54" s="97">
        <f ca="1">ROUND(TblProd[[#This Row],[Raw Mana/hr]]*(1+TblProd[[#This Row],[Bonus Mana/hr]])-TblProd[[#This Row],[Mana drain]],0)</f>
        <v>542</v>
      </c>
      <c r="W54" s="97">
        <f ca="1">ROUNDDOWN(TblProd[[#This Row],[Raw Ore/hr]]*(1+TblProd[[#This Row],[Bonux Ore/hr]]),0)</f>
        <v>0</v>
      </c>
      <c r="X54" s="97">
        <f ca="1">ROUNDDOWN(TblProd[[#This Row],[Raw Gems/hr]]*(1+TblProd[[#This Row],[Bonus Gems/hr]]),0)</f>
        <v>0</v>
      </c>
      <c r="Y54" s="158">
        <f ca="1">OFFSET(TblConstr[[#This Row],[Tot Doc]],1,0)*dock_boats_hr * (1 + tech_4_1*TblTech[[#This Row],[4-1]])</f>
        <v>0.5</v>
      </c>
      <c r="Z54" s="157"/>
      <c r="AA54" s="97">
        <f ca="1">TblPop[[#This Row],[Peasants]]*tax*TblPop[[#This Row],[Employment]] + (Construction!AZ55+Construction!BX55)*(alch_plat+(Magic!AM54&gt;0)*alchemist_flame_bonus)</f>
        <v>36638.5</v>
      </c>
      <c r="AB54" s="97">
        <f ca="1">TblConstr[[#This Row],[Tot Farm]]*farm_food + TblConstr[[#This Row],[Tot Doc]]*dock_food</f>
        <v>1920</v>
      </c>
      <c r="AC54" s="97">
        <f ca="1">TblConstr[[#This Row],[Tot Ly]]*ly_lumber + TblConstr[[#This Row],[Tot Hav]]*fh_lumber</f>
        <v>1250</v>
      </c>
      <c r="AD54" s="97">
        <f ca="1">OFFSET(TblConstr[[#This Row],[Tot Tow]],1,0)*(tower_mana + tech_4_5*TblTech[[#This Row],[4-5]]) + OFFSET(TblConstr[[#This Row],[Tot WG]],1,0)*wg_mana_prod</f>
        <v>625</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0.1</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4" s="159">
        <f ca="1">race_lumber_bonus+ IF(TblMagic[[#This Row],[Active Gaia''s Blessing]]&gt;0,gaias_blessing_lumber)+ tech_1_3*TblTech[[#This Row],[1-3]] + tech_1_6*TblTech[[#This Row],[1-6]] + tech_3_3*TblTech[[#This Row],[3-3]]</f>
        <v>-0.1</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0.15</v>
      </c>
      <c r="AN54" s="145"/>
      <c r="AO54" s="97">
        <f ca="1">TblProd[[#This Row],[Food]]*food_decay * (1 + tech_2_1*TblTech[[#This Row],[2-1]] + tech_2_8*TblTech[[#This Row],[2-8]])</f>
        <v>100.85000000000001</v>
      </c>
      <c r="AP54" s="97">
        <f ca="1">(1+race_food_consumption)*TblPop[[#This Row],[Total]]*food_per_person*(1+tech_1_10*TblTech[[#This Row],[1-10]]+tech_7_5*TblTech[[#This Row],[7-5]])</f>
        <v>2610</v>
      </c>
      <c r="AQ54" s="97">
        <f ca="1">TblProd[[#This Row],[Lumber]]*lumber_rot * (1 + tech_2_1*TblTech[[#This Row],[2-1]] + tech_2_8*TblTech[[#This Row],[2-8]] + tech_5_2*TblTech[[#This Row],[5-2]])</f>
        <v>44.95</v>
      </c>
      <c r="AR54" s="97">
        <f ca="1">TblProd[[#This Row],[Mana]]*mana_drain * (1 + tech_2_1*TblTech[[#This Row],[2-1]] + tech_2_8*TblTech[[#This Row],[2-8]])</f>
        <v>82.92</v>
      </c>
      <c r="AS54" s="157"/>
      <c r="AT54" s="97">
        <f ca="1">TblExplore[[#This Row],[Platinum (2)]]+TblConstr[[#This Row],[Total Plat Cost]]+TblMili[[#This Row],[Plat Cost]]+TblRezone[[#This Row],[Platinum cost]]+TblImps[[#This Row],[P1]]-TblProd[[#This Row],[Bank Plat]]</f>
        <v>7602</v>
      </c>
      <c r="AU54" s="97">
        <f ca="1">TblConstr[[#This Row],[Total Lum Cost]]+TblImps[[#This Row],[L1]]-TblProd[[#This Row],[Bank Lumber]] + Military!$CL$25*TblMili[[#This Row],[Sec. rec. Cost]]</f>
        <v>1414</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45431.833333333212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356298</v>
      </c>
      <c r="BJ54" s="97">
        <f ca="1">TblProd[[#This Row],[Food]]</f>
        <v>10085</v>
      </c>
      <c r="BK54" s="97">
        <f ca="1">TblProd[[#This Row],[Lumber]]</f>
        <v>4495</v>
      </c>
      <c r="BL54" s="97">
        <f ca="1">TblProd[[#This Row],[Mana]]</f>
        <v>4146</v>
      </c>
      <c r="BM54" s="97">
        <f ca="1">TblProd[[#This Row],[Ore]]</f>
        <v>0</v>
      </c>
    </row>
    <row r="55" spans="1:65" x14ac:dyDescent="0.2">
      <c r="A55" s="140">
        <v>52</v>
      </c>
      <c r="B55" s="155">
        <f ca="1">TblImps[[#This Row],[Time]]</f>
        <v>45431.874999999876</v>
      </c>
      <c r="C55" s="156"/>
      <c r="D55" s="157"/>
      <c r="E55" s="97">
        <f ca="1">TblConstr[[#This Row],[Land]]</f>
        <v>669</v>
      </c>
      <c r="F55" s="97">
        <f ca="1">TblPop[[#This Row],[Peasants]]</f>
        <v>9847</v>
      </c>
      <c r="G55" s="97">
        <f ca="1">TblMili[[#This Row],[Networth (2)]]</f>
        <v>15475</v>
      </c>
      <c r="H55" s="97">
        <f ca="1">OFFSET(TblProd[[#This Row],[Platinum]],-1,0)+OFFSET(TblProd[[#This Row],[Plat/hr]],-1,0) - TblProd[[#This Row],[Expenses Platinum]] + IF(TblProd[[#This Row],[Plat Bonus]],TblPop[[#This Row],[Peasants]]*4) + SUM(TblConstr[[#This Row],[Dest Hom]:[Dest Doc]])*TblConstr[[#This Row],[CPA Platinum -DB]]*tech_3_3_2*TblTech[[#This Row],[3-3]]</f>
        <v>389463</v>
      </c>
      <c r="I55" s="97">
        <f ca="1">OFFSET(TblProd[[#This Row],[Food]],-1,0)+OFFSET(TblProd[[#This Row],[Food/hr]],-1,0)+ROUNDUP((TblConstr[[#This Row],[Farms]]*80+TblConstr[[#This Row],[Docks]]*35)*(1+OFFSET(TblProd[[#This Row],[Bonus Food/hr]],-1,0)),0)</f>
        <v>9342</v>
      </c>
      <c r="J55" s="97">
        <f ca="1">OFFSET(TblProd[[#This Row],[Lumber]],-1,0)+OFFSET(TblProd[[#This Row],[Lumber/hr]],-1,0) - TblProd[[#This Row],[Expenses Lumber]] + SUM(TblConstr[[#This Row],[Dest Hom]:[Dest Doc]])*TblConstr[[#This Row],[CPA Lumber -DB]]*tech_3_3_2*TblTech[[#This Row],[3-3]]</f>
        <v>4236</v>
      </c>
      <c r="K55" s="97">
        <f ca="1">OFFSET(TblProd[[#This Row],[Mana]],-1,0)+OFFSET(TblProd[[#This Row],[Mana/hr]],-1,0)- TblProd[[#This Row],[Expenses Mana]]</f>
        <v>3015.5</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9.75</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5" s="97">
        <f ca="1">MAX(3750,_xlfn.CEILING.MATH(TblProd[[#This Row],[Land]]*2.5+OFFSET(TblTech[[#This Row],[Sum of tech]],-1,0)*150))</f>
        <v>3750</v>
      </c>
      <c r="R55" s="145"/>
      <c r="S55" s="97">
        <f ca="1">ROUNDDOWN(TblProd[[#This Row],[Raw Plat/hr]]*(1+TblProd[[#This Row],[Bonus Plat/hr]]),0)</f>
        <v>45897</v>
      </c>
      <c r="T55" s="97">
        <f ca="1">ROUND(TblProd[[#This Row],[Raw Food/hr]]*(1+TblProd[[#This Row],[Bonus Food/hr]])-TblProd[[#This Row],[Food decay]]-TblProd[[#This Row],[Food eaten]],0)</f>
        <v>-790</v>
      </c>
      <c r="U55" s="97">
        <f ca="1">ROUND(TblProd[[#This Row],[Raw Lumber/hr]]*(1+TblProd[[#This Row],[Bonus Lumber/hr]])-TblProd[[#This Row],[Lumber rot]],0)</f>
        <v>1083</v>
      </c>
      <c r="V55" s="97">
        <f ca="1">ROUND(TblProd[[#This Row],[Raw Mana/hr]]*(1+TblProd[[#This Row],[Bonus Mana/hr]])-TblProd[[#This Row],[Mana drain]],0)</f>
        <v>565</v>
      </c>
      <c r="W55" s="97">
        <f ca="1">ROUNDDOWN(TblProd[[#This Row],[Raw Ore/hr]]*(1+TblProd[[#This Row],[Bonux Ore/hr]]),0)</f>
        <v>0</v>
      </c>
      <c r="X55" s="97">
        <f ca="1">ROUNDDOWN(TblProd[[#This Row],[Raw Gems/hr]]*(1+TblProd[[#This Row],[Bonus Gems/hr]]),0)</f>
        <v>0</v>
      </c>
      <c r="Y55" s="158">
        <f ca="1">OFFSET(TblConstr[[#This Row],[Tot Doc]],1,0)*dock_boats_hr * (1 + tech_4_1*TblTech[[#This Row],[4-1]])</f>
        <v>0.5</v>
      </c>
      <c r="Z55" s="157"/>
      <c r="AA55" s="97">
        <f ca="1">TblPop[[#This Row],[Peasants]]*tax*TblPop[[#This Row],[Employment]] + (Construction!AZ56+Construction!BX56)*(alch_plat+(Magic!AM55&gt;0)*alchemist_flame_bonus)</f>
        <v>41724.9</v>
      </c>
      <c r="AB55" s="97">
        <f ca="1">TblConstr[[#This Row],[Tot Farm]]*farm_food + TblConstr[[#This Row],[Tot Doc]]*dock_food</f>
        <v>1920</v>
      </c>
      <c r="AC55" s="97">
        <f ca="1">TblConstr[[#This Row],[Tot Ly]]*ly_lumber + TblConstr[[#This Row],[Tot Hav]]*fh_lumber</f>
        <v>1250</v>
      </c>
      <c r="AD55" s="97">
        <f ca="1">OFFSET(TblConstr[[#This Row],[Tot Tow]],1,0)*(tower_mana + tech_4_5*TblTech[[#This Row],[4-5]]) + OFFSET(TblConstr[[#This Row],[Tot WG]],1,0)*wg_mana_prod</f>
        <v>625</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0.1</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5" s="159">
        <f ca="1">race_lumber_bonus+ IF(TblMagic[[#This Row],[Active Gaia''s Blessing]]&gt;0,gaias_blessing_lumber)+ tech_1_3*TblTech[[#This Row],[1-3]] + tech_1_6*TblTech[[#This Row],[1-6]] + tech_3_3*TblTech[[#This Row],[3-3]]</f>
        <v>-0.1</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0.15</v>
      </c>
      <c r="AN55" s="145"/>
      <c r="AO55" s="97">
        <f ca="1">TblProd[[#This Row],[Food]]*food_decay * (1 + tech_2_1*TblTech[[#This Row],[2-1]] + tech_2_8*TblTech[[#This Row],[2-8]])</f>
        <v>93.42</v>
      </c>
      <c r="AP55" s="97">
        <f ca="1">(1+race_food_consumption)*TblPop[[#This Row],[Total]]*food_per_person*(1+tech_1_10*TblTech[[#This Row],[1-10]]+tech_7_5*TblTech[[#This Row],[7-5]])</f>
        <v>2665</v>
      </c>
      <c r="AQ55" s="97">
        <f ca="1">TblProd[[#This Row],[Lumber]]*lumber_rot * (1 + tech_2_1*TblTech[[#This Row],[2-1]] + tech_2_8*TblTech[[#This Row],[2-8]] + tech_5_2*TblTech[[#This Row],[5-2]])</f>
        <v>42.36</v>
      </c>
      <c r="AR55" s="97">
        <f ca="1">TblProd[[#This Row],[Mana]]*mana_drain * (1 + tech_2_1*TblTech[[#This Row],[2-1]] + tech_2_8*TblTech[[#This Row],[2-8]])</f>
        <v>60.31</v>
      </c>
      <c r="AS55" s="157"/>
      <c r="AT55" s="97">
        <f ca="1">TblExplore[[#This Row],[Platinum (2)]]+TblConstr[[#This Row],[Total Plat Cost]]+TblMili[[#This Row],[Plat Cost]]+TblRezone[[#This Row],[Platinum cost]]+TblImps[[#This Row],[P1]]-TblProd[[#This Row],[Bank Plat]]</f>
        <v>7137</v>
      </c>
      <c r="AU55" s="97">
        <f ca="1">TblConstr[[#This Row],[Total Lum Cost]]+TblImps[[#This Row],[L1]]-TblProd[[#This Row],[Bank Lumber]] + Military!$CL$25*TblMili[[#This Row],[Sec. rec. Cost]]</f>
        <v>1339</v>
      </c>
      <c r="AV55" s="97">
        <f ca="1">TblMagic[[#This Row],[Mana cost]] + Military!$CL$26*TblMili[[#This Row],[Sec. rec. Cost]]</f>
        <v>1672.5</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45431.874999999876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389463</v>
      </c>
      <c r="BJ55" s="97">
        <f ca="1">TblProd[[#This Row],[Food]]</f>
        <v>9342</v>
      </c>
      <c r="BK55" s="97">
        <f ca="1">TblProd[[#This Row],[Lumber]]</f>
        <v>4236</v>
      </c>
      <c r="BL55" s="97">
        <f ca="1">TblProd[[#This Row],[Mana]]</f>
        <v>3015.5</v>
      </c>
      <c r="BM55" s="97">
        <f ca="1">TblProd[[#This Row],[Ore]]</f>
        <v>0</v>
      </c>
    </row>
    <row r="56" spans="1:65" x14ac:dyDescent="0.2">
      <c r="A56" s="140">
        <v>53</v>
      </c>
      <c r="B56" s="155">
        <f ca="1">TblImps[[#This Row],[Time]]</f>
        <v>45431.916666666541</v>
      </c>
      <c r="C56" s="156"/>
      <c r="D56" s="157"/>
      <c r="E56" s="97">
        <f ca="1">TblConstr[[#This Row],[Land]]</f>
        <v>680</v>
      </c>
      <c r="F56" s="97">
        <f ca="1">TblPop[[#This Row],[Peasants]]</f>
        <v>9948</v>
      </c>
      <c r="G56" s="97">
        <f ca="1">TblMili[[#This Row],[Networth (2)]]</f>
        <v>16105</v>
      </c>
      <c r="H56" s="97">
        <f ca="1">OFFSET(TblProd[[#This Row],[Platinum]],-1,0)+OFFSET(TblProd[[#This Row],[Plat/hr]],-1,0) - TblProd[[#This Row],[Expenses Platinum]] + IF(TblProd[[#This Row],[Plat Bonus]],TblPop[[#This Row],[Peasants]]*4) + SUM(TblConstr[[#This Row],[Dest Hom]:[Dest Doc]])*TblConstr[[#This Row],[CPA Platinum -DB]]*tech_3_3_2*TblTech[[#This Row],[3-3]]</f>
        <v>429145</v>
      </c>
      <c r="I56" s="97">
        <f ca="1">OFFSET(TblProd[[#This Row],[Food]],-1,0)+OFFSET(TblProd[[#This Row],[Food/hr]],-1,0)+ROUNDUP((TblConstr[[#This Row],[Farms]]*80+TblConstr[[#This Row],[Docks]]*35)*(1+OFFSET(TblProd[[#This Row],[Bonus Food/hr]],-1,0)),0)</f>
        <v>8552</v>
      </c>
      <c r="J56" s="97">
        <f ca="1">OFFSET(TblProd[[#This Row],[Lumber]],-1,0)+OFFSET(TblProd[[#This Row],[Lumber/hr]],-1,0) - TblProd[[#This Row],[Expenses Lumber]] + SUM(TblConstr[[#This Row],[Dest Hom]:[Dest Doc]])*TblConstr[[#This Row],[CPA Lumber -DB]]*tech_3_3_2*TblTech[[#This Row],[3-3]]</f>
        <v>4153</v>
      </c>
      <c r="K56" s="97">
        <f ca="1">OFFSET(TblProd[[#This Row],[Mana]],-1,0)+OFFSET(TblProd[[#This Row],[Mana/hr]],-1,0)- TblProd[[#This Row],[Expenses Mana]]</f>
        <v>3580.5</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10.25</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6" s="97">
        <f ca="1">MAX(3750,_xlfn.CEILING.MATH(TblProd[[#This Row],[Land]]*2.5+OFFSET(TblTech[[#This Row],[Sum of tech]],-1,0)*150))</f>
        <v>3750</v>
      </c>
      <c r="R56" s="145"/>
      <c r="S56" s="97">
        <f ca="1">ROUNDDOWN(TblProd[[#This Row],[Raw Plat/hr]]*(1+TblProd[[#This Row],[Bonus Plat/hr]]),0)</f>
        <v>46261</v>
      </c>
      <c r="T56" s="97">
        <f ca="1">ROUND(TblProd[[#This Row],[Raw Food/hr]]*(1+TblProd[[#This Row],[Bonus Food/hr]])-TblProd[[#This Row],[Food decay]]-TblProd[[#This Row],[Food eaten]],0)</f>
        <v>-832</v>
      </c>
      <c r="U56" s="97">
        <f ca="1">ROUND(TblProd[[#This Row],[Raw Lumber/hr]]*(1+TblProd[[#This Row],[Bonus Lumber/hr]])-TblProd[[#This Row],[Lumber rot]],0)</f>
        <v>1083</v>
      </c>
      <c r="V56" s="97">
        <f ca="1">ROUND(TblProd[[#This Row],[Raw Mana/hr]]*(1+TblProd[[#This Row],[Bonus Mana/hr]])-TblProd[[#This Row],[Mana drain]],0)</f>
        <v>553</v>
      </c>
      <c r="W56" s="97">
        <f ca="1">ROUNDDOWN(TblProd[[#This Row],[Raw Ore/hr]]*(1+TblProd[[#This Row],[Bonux Ore/hr]]),0)</f>
        <v>0</v>
      </c>
      <c r="X56" s="97">
        <f ca="1">ROUNDDOWN(TblProd[[#This Row],[Raw Gems/hr]]*(1+TblProd[[#This Row],[Bonus Gems/hr]]),0)</f>
        <v>0</v>
      </c>
      <c r="Y56" s="158">
        <f ca="1">OFFSET(TblConstr[[#This Row],[Tot Doc]],1,0)*dock_boats_hr * (1 + tech_4_1*TblTech[[#This Row],[4-1]])</f>
        <v>0.5</v>
      </c>
      <c r="Z56" s="157"/>
      <c r="AA56" s="97">
        <f ca="1">TblPop[[#This Row],[Peasants]]*tax*TblPop[[#This Row],[Employment]] + (Construction!AZ57+Construction!BX57)*(alch_plat+(Magic!AM56&gt;0)*alchemist_flame_bonus)</f>
        <v>42055.600000000006</v>
      </c>
      <c r="AB56" s="97">
        <f ca="1">TblConstr[[#This Row],[Tot Farm]]*farm_food + TblConstr[[#This Row],[Tot Doc]]*dock_food</f>
        <v>1920</v>
      </c>
      <c r="AC56" s="97">
        <f ca="1">TblConstr[[#This Row],[Tot Ly]]*ly_lumber + TblConstr[[#This Row],[Tot Hav]]*fh_lumber</f>
        <v>1250</v>
      </c>
      <c r="AD56" s="97">
        <f ca="1">OFFSET(TblConstr[[#This Row],[Tot Tow]],1,0)*(tower_mana + tech_4_5*TblTech[[#This Row],[4-5]]) + OFFSET(TblConstr[[#This Row],[Tot WG]],1,0)*wg_mana_prod</f>
        <v>625</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0.1</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6" s="159">
        <f ca="1">race_lumber_bonus+ IF(TblMagic[[#This Row],[Active Gaia''s Blessing]]&gt;0,gaias_blessing_lumber)+ tech_1_3*TblTech[[#This Row],[1-3]] + tech_1_6*TblTech[[#This Row],[1-6]] + tech_3_3*TblTech[[#This Row],[3-3]]</f>
        <v>-0.1</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0.15</v>
      </c>
      <c r="AN56" s="145"/>
      <c r="AO56" s="97">
        <f ca="1">TblProd[[#This Row],[Food]]*food_decay * (1 + tech_2_1*TblTech[[#This Row],[2-1]] + tech_2_8*TblTech[[#This Row],[2-8]])</f>
        <v>85.52</v>
      </c>
      <c r="AP56" s="97">
        <f ca="1">(1+race_food_consumption)*TblPop[[#This Row],[Total]]*food_per_person*(1+tech_1_10*TblTech[[#This Row],[1-10]]+tech_7_5*TblTech[[#This Row],[7-5]])</f>
        <v>2714.75</v>
      </c>
      <c r="AQ56" s="97">
        <f ca="1">TblProd[[#This Row],[Lumber]]*lumber_rot * (1 + tech_2_1*TblTech[[#This Row],[2-1]] + tech_2_8*TblTech[[#This Row],[2-8]] + tech_5_2*TblTech[[#This Row],[5-2]])</f>
        <v>41.53</v>
      </c>
      <c r="AR56" s="97">
        <f ca="1">TblProd[[#This Row],[Mana]]*mana_drain * (1 + tech_2_1*TblTech[[#This Row],[2-1]] + tech_2_8*TblTech[[#This Row],[2-8]])</f>
        <v>71.61</v>
      </c>
      <c r="AS56" s="157"/>
      <c r="AT56" s="97">
        <f ca="1">TblExplore[[#This Row],[Platinum (2)]]+TblConstr[[#This Row],[Total Plat Cost]]+TblMili[[#This Row],[Plat Cost]]+TblRezone[[#This Row],[Platinum cost]]+TblImps[[#This Row],[P1]]-TblProd[[#This Row],[Bank Plat]]</f>
        <v>6215</v>
      </c>
      <c r="AU56" s="97">
        <f ca="1">TblConstr[[#This Row],[Total Lum Cost]]+TblImps[[#This Row],[L1]]-TblProd[[#This Row],[Bank Lumber]] + Military!$CL$25*TblMili[[#This Row],[Sec. rec. Cost]]</f>
        <v>1166</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45431.916666666541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429145</v>
      </c>
      <c r="BJ56" s="97">
        <f ca="1">TblProd[[#This Row],[Food]]</f>
        <v>8552</v>
      </c>
      <c r="BK56" s="97">
        <f ca="1">TblProd[[#This Row],[Lumber]]</f>
        <v>4153</v>
      </c>
      <c r="BL56" s="97">
        <f ca="1">TblProd[[#This Row],[Mana]]</f>
        <v>3580.5</v>
      </c>
      <c r="BM56" s="97">
        <f ca="1">TblProd[[#This Row],[Ore]]</f>
        <v>0</v>
      </c>
    </row>
    <row r="57" spans="1:65" x14ac:dyDescent="0.2">
      <c r="A57" s="140">
        <v>54</v>
      </c>
      <c r="B57" s="155">
        <f ca="1">TblImps[[#This Row],[Time]]</f>
        <v>45431.958333333205</v>
      </c>
      <c r="C57" s="156"/>
      <c r="D57" s="157"/>
      <c r="E57" s="97">
        <f ca="1">TblConstr[[#This Row],[Land]]</f>
        <v>692</v>
      </c>
      <c r="F57" s="97">
        <f ca="1">TblPop[[#This Row],[Peasants]]</f>
        <v>10032</v>
      </c>
      <c r="G57" s="97">
        <f ca="1">TblMili[[#This Row],[Networth (2)]]</f>
        <v>16390</v>
      </c>
      <c r="H57" s="97">
        <f ca="1">OFFSET(TblProd[[#This Row],[Platinum]],-1,0)+OFFSET(TblProd[[#This Row],[Plat/hr]],-1,0) - TblProd[[#This Row],[Expenses Platinum]] + IF(TblProd[[#This Row],[Plat Bonus]],TblPop[[#This Row],[Peasants]]*4) + SUM(TblConstr[[#This Row],[Dest Hom]:[Dest Doc]])*TblConstr[[#This Row],[CPA Platinum -DB]]*tech_3_3_2*TblTech[[#This Row],[3-3]]</f>
        <v>468410</v>
      </c>
      <c r="I57" s="97">
        <f ca="1">OFFSET(TblProd[[#This Row],[Food]],-1,0)+OFFSET(TblProd[[#This Row],[Food/hr]],-1,0)+ROUNDUP((TblConstr[[#This Row],[Farms]]*80+TblConstr[[#This Row],[Docks]]*35)*(1+OFFSET(TblProd[[#This Row],[Bonus Food/hr]],-1,0)),0)</f>
        <v>7720</v>
      </c>
      <c r="J57" s="97">
        <f ca="1">OFFSET(TblProd[[#This Row],[Lumber]],-1,0)+OFFSET(TblProd[[#This Row],[Lumber/hr]],-1,0) - TblProd[[#This Row],[Expenses Lumber]] + SUM(TblConstr[[#This Row],[Dest Hom]:[Dest Doc]])*TblConstr[[#This Row],[CPA Lumber -DB]]*tech_3_3_2*TblTech[[#This Row],[3-3]]</f>
        <v>3928</v>
      </c>
      <c r="K57" s="97">
        <f ca="1">OFFSET(TblProd[[#This Row],[Mana]],-1,0)+OFFSET(TblProd[[#This Row],[Mana/hr]],-1,0)- TblProd[[#This Row],[Expenses Mana]]</f>
        <v>4133.5</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10.75</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7" s="97">
        <f ca="1">MAX(3750,_xlfn.CEILING.MATH(TblProd[[#This Row],[Land]]*2.5+OFFSET(TblTech[[#This Row],[Sum of tech]],-1,0)*150))</f>
        <v>3750</v>
      </c>
      <c r="R57" s="145"/>
      <c r="S57" s="97">
        <f ca="1">ROUNDDOWN(TblProd[[#This Row],[Raw Plat/hr]]*(1+TblProd[[#This Row],[Bonus Plat/hr]]),0)</f>
        <v>46574</v>
      </c>
      <c r="T57" s="97">
        <f ca="1">ROUND(TblProd[[#This Row],[Raw Food/hr]]*(1+TblProd[[#This Row],[Bonus Food/hr]])-TblProd[[#This Row],[Food decay]]-TblProd[[#This Row],[Food eaten]],0)</f>
        <v>-870</v>
      </c>
      <c r="U57" s="97">
        <f ca="1">ROUND(TblProd[[#This Row],[Raw Lumber/hr]]*(1+TblProd[[#This Row],[Bonus Lumber/hr]])-TblProd[[#This Row],[Lumber rot]],0)</f>
        <v>1086</v>
      </c>
      <c r="V57" s="97">
        <f ca="1">ROUND(TblProd[[#This Row],[Raw Mana/hr]]*(1+TblProd[[#This Row],[Bonus Mana/hr]])-TblProd[[#This Row],[Mana drain]],0)</f>
        <v>542</v>
      </c>
      <c r="W57" s="97">
        <f ca="1">ROUNDDOWN(TblProd[[#This Row],[Raw Ore/hr]]*(1+TblProd[[#This Row],[Bonux Ore/hr]]),0)</f>
        <v>0</v>
      </c>
      <c r="X57" s="97">
        <f ca="1">ROUNDDOWN(TblProd[[#This Row],[Raw Gems/hr]]*(1+TblProd[[#This Row],[Bonus Gems/hr]]),0)</f>
        <v>0</v>
      </c>
      <c r="Y57" s="158">
        <f ca="1">OFFSET(TblConstr[[#This Row],[Tot Doc]],1,0)*dock_boats_hr * (1 + tech_4_1*TblTech[[#This Row],[4-1]])</f>
        <v>0.5</v>
      </c>
      <c r="Z57" s="157"/>
      <c r="AA57" s="97">
        <f ca="1">TblPop[[#This Row],[Peasants]]*tax*TblPop[[#This Row],[Employment]] + (Construction!AZ58+Construction!BX58)*(alch_plat+(Magic!AM57&gt;0)*alchemist_flame_bonus)</f>
        <v>42340.4</v>
      </c>
      <c r="AB57" s="97">
        <f ca="1">TblConstr[[#This Row],[Tot Farm]]*farm_food + TblConstr[[#This Row],[Tot Doc]]*dock_food</f>
        <v>1920</v>
      </c>
      <c r="AC57" s="97">
        <f ca="1">TblConstr[[#This Row],[Tot Ly]]*ly_lumber + TblConstr[[#This Row],[Tot Hav]]*fh_lumber</f>
        <v>1250</v>
      </c>
      <c r="AD57" s="97">
        <f ca="1">OFFSET(TblConstr[[#This Row],[Tot Tow]],1,0)*(tower_mana + tech_4_5*TblTech[[#This Row],[4-5]]) + OFFSET(TblConstr[[#This Row],[Tot WG]],1,0)*wg_mana_prod</f>
        <v>625</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0.1</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7" s="159">
        <f ca="1">race_lumber_bonus+ IF(TblMagic[[#This Row],[Active Gaia''s Blessing]]&gt;0,gaias_blessing_lumber)+ tech_1_3*TblTech[[#This Row],[1-3]] + tech_1_6*TblTech[[#This Row],[1-6]] + tech_3_3*TblTech[[#This Row],[3-3]]</f>
        <v>-0.1</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0.15</v>
      </c>
      <c r="AN57" s="145"/>
      <c r="AO57" s="97">
        <f ca="1">TblProd[[#This Row],[Food]]*food_decay * (1 + tech_2_1*TblTech[[#This Row],[2-1]] + tech_2_8*TblTech[[#This Row],[2-8]])</f>
        <v>77.2</v>
      </c>
      <c r="AP57" s="97">
        <f ca="1">(1+race_food_consumption)*TblPop[[#This Row],[Total]]*food_per_person*(1+tech_1_10*TblTech[[#This Row],[1-10]]+tech_7_5*TblTech[[#This Row],[7-5]])</f>
        <v>2760.5</v>
      </c>
      <c r="AQ57" s="97">
        <f ca="1">TblProd[[#This Row],[Lumber]]*lumber_rot * (1 + tech_2_1*TblTech[[#This Row],[2-1]] + tech_2_8*TblTech[[#This Row],[2-8]] + tech_5_2*TblTech[[#This Row],[5-2]])</f>
        <v>39.28</v>
      </c>
      <c r="AR57" s="97">
        <f ca="1">TblProd[[#This Row],[Mana]]*mana_drain * (1 + tech_2_1*TblTech[[#This Row],[2-1]] + tech_2_8*TblTech[[#This Row],[2-8]])</f>
        <v>82.67</v>
      </c>
      <c r="AS57" s="157"/>
      <c r="AT57" s="97">
        <f ca="1">TblExplore[[#This Row],[Platinum (2)]]+TblConstr[[#This Row],[Total Plat Cost]]+TblMili[[#This Row],[Plat Cost]]+TblRezone[[#This Row],[Platinum cost]]+TblImps[[#This Row],[P1]]-TblProd[[#This Row],[Bank Plat]]</f>
        <v>6996</v>
      </c>
      <c r="AU57" s="97">
        <f ca="1">TblConstr[[#This Row],[Total Lum Cost]]+TblImps[[#This Row],[L1]]-TblProd[[#This Row],[Bank Lumber]] + Military!$CL$25*TblMili[[#This Row],[Sec. rec. Cost]]</f>
        <v>1308</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45431.958333333205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468410</v>
      </c>
      <c r="BJ57" s="97">
        <f ca="1">TblProd[[#This Row],[Food]]</f>
        <v>7720</v>
      </c>
      <c r="BK57" s="97">
        <f ca="1">TblProd[[#This Row],[Lumber]]</f>
        <v>3928</v>
      </c>
      <c r="BL57" s="97">
        <f ca="1">TblProd[[#This Row],[Mana]]</f>
        <v>4133.5</v>
      </c>
      <c r="BM57" s="97">
        <f ca="1">TblProd[[#This Row],[Ore]]</f>
        <v>0</v>
      </c>
    </row>
    <row r="58" spans="1:65" x14ac:dyDescent="0.2">
      <c r="A58" s="140">
        <v>55</v>
      </c>
      <c r="B58" s="155">
        <f ca="1">TblImps[[#This Row],[Time]]</f>
        <v>45431.999999999869</v>
      </c>
      <c r="C58" s="156"/>
      <c r="D58" s="157"/>
      <c r="E58" s="97">
        <f ca="1">TblConstr[[#This Row],[Land]]</f>
        <v>700</v>
      </c>
      <c r="F58" s="97">
        <f ca="1">TblPop[[#This Row],[Peasants]]</f>
        <v>10105</v>
      </c>
      <c r="G58" s="97">
        <f ca="1">TblMili[[#This Row],[Networth (2)]]</f>
        <v>16600</v>
      </c>
      <c r="H58" s="97">
        <f ca="1">OFFSET(TblProd[[#This Row],[Platinum]],-1,0)+OFFSET(TblProd[[#This Row],[Plat/hr]],-1,0) - TblProd[[#This Row],[Expenses Platinum]] + IF(TblProd[[#This Row],[Plat Bonus]],TblPop[[#This Row],[Peasants]]*4) + SUM(TblConstr[[#This Row],[Dest Hom]:[Dest Doc]])*TblConstr[[#This Row],[CPA Platinum -DB]]*tech_3_3_2*TblTech[[#This Row],[3-3]]</f>
        <v>510224</v>
      </c>
      <c r="I58" s="97">
        <f ca="1">OFFSET(TblProd[[#This Row],[Food]],-1,0)+OFFSET(TblProd[[#This Row],[Food/hr]],-1,0)+ROUNDUP((TblConstr[[#This Row],[Farms]]*80+TblConstr[[#This Row],[Docks]]*35)*(1+OFFSET(TblProd[[#This Row],[Bonus Food/hr]],-1,0)),0)</f>
        <v>6850</v>
      </c>
      <c r="J58" s="97">
        <f ca="1">OFFSET(TblProd[[#This Row],[Lumber]],-1,0)+OFFSET(TblProd[[#This Row],[Lumber/hr]],-1,0) - TblProd[[#This Row],[Expenses Lumber]] + SUM(TblConstr[[#This Row],[Dest Hom]:[Dest Doc]])*TblConstr[[#This Row],[CPA Lumber -DB]]*tech_3_3_2*TblTech[[#This Row],[3-3]]</f>
        <v>4118</v>
      </c>
      <c r="K58" s="97">
        <f ca="1">OFFSET(TblProd[[#This Row],[Mana]],-1,0)+OFFSET(TblProd[[#This Row],[Mana/hr]],-1,0)- TblProd[[#This Row],[Expenses Mana]]</f>
        <v>4675.5</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11.25</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8" s="97">
        <f ca="1">MAX(3750,_xlfn.CEILING.MATH(TblProd[[#This Row],[Land]]*2.5+OFFSET(TblTech[[#This Row],[Sum of tech]],-1,0)*150))</f>
        <v>3750</v>
      </c>
      <c r="R58" s="145"/>
      <c r="S58" s="97">
        <f ca="1">ROUNDDOWN(TblProd[[#This Row],[Raw Plat/hr]]*(1+TblProd[[#This Row],[Bonus Plat/hr]]),0)</f>
        <v>46855</v>
      </c>
      <c r="T58" s="97">
        <f ca="1">ROUND(TblProd[[#This Row],[Raw Food/hr]]*(1+TblProd[[#This Row],[Bonus Food/hr]])-TblProd[[#This Row],[Food decay]]-TblProd[[#This Row],[Food eaten]],0)</f>
        <v>-904</v>
      </c>
      <c r="U58" s="97">
        <f ca="1">ROUND(TblProd[[#This Row],[Raw Lumber/hr]]*(1+TblProd[[#This Row],[Bonus Lumber/hr]])-TblProd[[#This Row],[Lumber rot]],0)</f>
        <v>1084</v>
      </c>
      <c r="V58" s="97">
        <f ca="1">ROUND(TblProd[[#This Row],[Raw Mana/hr]]*(1+TblProd[[#This Row],[Bonus Mana/hr]])-TblProd[[#This Row],[Mana drain]],0)</f>
        <v>531</v>
      </c>
      <c r="W58" s="97">
        <f ca="1">ROUNDDOWN(TblProd[[#This Row],[Raw Ore/hr]]*(1+TblProd[[#This Row],[Bonux Ore/hr]]),0)</f>
        <v>0</v>
      </c>
      <c r="X58" s="97">
        <f ca="1">ROUNDDOWN(TblProd[[#This Row],[Raw Gems/hr]]*(1+TblProd[[#This Row],[Bonus Gems/hr]]),0)</f>
        <v>0</v>
      </c>
      <c r="Y58" s="158">
        <f ca="1">OFFSET(TblConstr[[#This Row],[Tot Doc]],1,0)*dock_boats_hr * (1 + tech_4_1*TblTech[[#This Row],[4-1]])</f>
        <v>0.5</v>
      </c>
      <c r="Z58" s="157"/>
      <c r="AA58" s="97">
        <f ca="1">TblPop[[#This Row],[Peasants]]*tax*TblPop[[#This Row],[Employment]] + (Construction!AZ59+Construction!BX59)*(alch_plat+(Magic!AM58&gt;0)*alchemist_flame_bonus)</f>
        <v>42595.5</v>
      </c>
      <c r="AB58" s="97">
        <f ca="1">TblConstr[[#This Row],[Tot Farm]]*farm_food + TblConstr[[#This Row],[Tot Doc]]*dock_food</f>
        <v>1920</v>
      </c>
      <c r="AC58" s="97">
        <f ca="1">TblConstr[[#This Row],[Tot Ly]]*ly_lumber + TblConstr[[#This Row],[Tot Hav]]*fh_lumber</f>
        <v>1250</v>
      </c>
      <c r="AD58" s="97">
        <f ca="1">OFFSET(TblConstr[[#This Row],[Tot Tow]],1,0)*(tower_mana + tech_4_5*TblTech[[#This Row],[4-5]]) + OFFSET(TblConstr[[#This Row],[Tot WG]],1,0)*wg_mana_prod</f>
        <v>625</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0.1</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8" s="159">
        <f ca="1">race_lumber_bonus+ IF(TblMagic[[#This Row],[Active Gaia''s Blessing]]&gt;0,gaias_blessing_lumber)+ tech_1_3*TblTech[[#This Row],[1-3]] + tech_1_6*TblTech[[#This Row],[1-6]] + tech_3_3*TblTech[[#This Row],[3-3]]</f>
        <v>-0.1</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0.15</v>
      </c>
      <c r="AN58" s="145"/>
      <c r="AO58" s="97">
        <f ca="1">TblProd[[#This Row],[Food]]*food_decay * (1 + tech_2_1*TblTech[[#This Row],[2-1]] + tech_2_8*TblTech[[#This Row],[2-8]])</f>
        <v>68.5</v>
      </c>
      <c r="AP58" s="97">
        <f ca="1">(1+race_food_consumption)*TblPop[[#This Row],[Total]]*food_per_person*(1+tech_1_10*TblTech[[#This Row],[1-10]]+tech_7_5*TblTech[[#This Row],[7-5]])</f>
        <v>2803.75</v>
      </c>
      <c r="AQ58" s="97">
        <f ca="1">TblProd[[#This Row],[Lumber]]*lumber_rot * (1 + tech_2_1*TblTech[[#This Row],[2-1]] + tech_2_8*TblTech[[#This Row],[2-8]] + tech_5_2*TblTech[[#This Row],[5-2]])</f>
        <v>41.18</v>
      </c>
      <c r="AR58" s="97">
        <f ca="1">TblProd[[#This Row],[Mana]]*mana_drain * (1 + tech_2_1*TblTech[[#This Row],[2-1]] + tech_2_8*TblTech[[#This Row],[2-8]])</f>
        <v>93.51</v>
      </c>
      <c r="AS58" s="157"/>
      <c r="AT58" s="97">
        <f ca="1">TblExplore[[#This Row],[Platinum (2)]]+TblConstr[[#This Row],[Total Plat Cost]]+TblMili[[#This Row],[Plat Cost]]+TblRezone[[#This Row],[Platinum cost]]+TblImps[[#This Row],[P1]]-TblProd[[#This Row],[Bank Plat]]</f>
        <v>4760</v>
      </c>
      <c r="AU58" s="97">
        <f ca="1">TblConstr[[#This Row],[Total Lum Cost]]+TblImps[[#This Row],[L1]]-TblProd[[#This Row],[Bank Lumber]] + Military!$CL$25*TblMili[[#This Row],[Sec. rec. Cost]]</f>
        <v>896</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45431.999999999869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510224</v>
      </c>
      <c r="BJ58" s="97">
        <f ca="1">TblProd[[#This Row],[Food]]</f>
        <v>6850</v>
      </c>
      <c r="BK58" s="97">
        <f ca="1">TblProd[[#This Row],[Lumber]]</f>
        <v>4118</v>
      </c>
      <c r="BL58" s="97">
        <f ca="1">TblProd[[#This Row],[Mana]]</f>
        <v>4675.5</v>
      </c>
      <c r="BM58" s="97">
        <f ca="1">TblProd[[#This Row],[Ore]]</f>
        <v>0</v>
      </c>
    </row>
    <row r="59" spans="1:65" x14ac:dyDescent="0.2">
      <c r="A59" s="140">
        <v>56</v>
      </c>
      <c r="B59" s="155">
        <f ca="1">TblImps[[#This Row],[Time]]</f>
        <v>45432.041666666533</v>
      </c>
      <c r="C59" s="156"/>
      <c r="D59" s="157"/>
      <c r="E59" s="97">
        <f ca="1">TblConstr[[#This Row],[Land]]</f>
        <v>700</v>
      </c>
      <c r="F59" s="97">
        <f ca="1">TblPop[[#This Row],[Peasants]]</f>
        <v>10090</v>
      </c>
      <c r="G59" s="97">
        <f ca="1">TblMili[[#This Row],[Networth (2)]]</f>
        <v>16645</v>
      </c>
      <c r="H59" s="97">
        <f ca="1">OFFSET(TblProd[[#This Row],[Platinum]],-1,0)+OFFSET(TblProd[[#This Row],[Plat/hr]],-1,0) - TblProd[[#This Row],[Expenses Platinum]] + IF(TblProd[[#This Row],[Plat Bonus]],TblPop[[#This Row],[Peasants]]*4) + SUM(TblConstr[[#This Row],[Dest Hom]:[Dest Doc]])*TblConstr[[#This Row],[CPA Platinum -DB]]*tech_3_3_2*TblTech[[#This Row],[3-3]]</f>
        <v>556484</v>
      </c>
      <c r="I59" s="97">
        <f ca="1">OFFSET(TblProd[[#This Row],[Food]],-1,0)+OFFSET(TblProd[[#This Row],[Food/hr]],-1,0)+ROUNDUP((TblConstr[[#This Row],[Farms]]*80+TblConstr[[#This Row],[Docks]]*35)*(1+OFFSET(TblProd[[#This Row],[Bonus Food/hr]],-1,0)),0)</f>
        <v>5946</v>
      </c>
      <c r="J59" s="97">
        <f ca="1">OFFSET(TblProd[[#This Row],[Lumber]],-1,0)+OFFSET(TblProd[[#This Row],[Lumber/hr]],-1,0) - TblProd[[#This Row],[Expenses Lumber]] + SUM(TblConstr[[#This Row],[Dest Hom]:[Dest Doc]])*TblConstr[[#This Row],[CPA Lumber -DB]]*tech_3_3_2*TblTech[[#This Row],[3-3]]</f>
        <v>5090</v>
      </c>
      <c r="K59" s="97">
        <f ca="1">OFFSET(TblProd[[#This Row],[Mana]],-1,0)+OFFSET(TblProd[[#This Row],[Mana/hr]],-1,0)- TblProd[[#This Row],[Expenses Mana]]</f>
        <v>5206.5</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11.75</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9" s="97">
        <f ca="1">MAX(3750,_xlfn.CEILING.MATH(TblProd[[#This Row],[Land]]*2.5+OFFSET(TblTech[[#This Row],[Sum of tech]],-1,0)*150))</f>
        <v>3750</v>
      </c>
      <c r="R59" s="145"/>
      <c r="S59" s="97">
        <f ca="1">ROUNDDOWN(TblProd[[#This Row],[Raw Plat/hr]]*(1+TblProd[[#This Row],[Bonus Plat/hr]]),0)</f>
        <v>46874</v>
      </c>
      <c r="T59" s="97">
        <f ca="1">ROUND(TblProd[[#This Row],[Raw Food/hr]]*(1+TblProd[[#This Row],[Bonus Food/hr]])-TblProd[[#This Row],[Food decay]]-TblProd[[#This Row],[Food eaten]],0)</f>
        <v>-917</v>
      </c>
      <c r="U59" s="97">
        <f ca="1">ROUND(TblProd[[#This Row],[Raw Lumber/hr]]*(1+TblProd[[#This Row],[Bonus Lumber/hr]])-TblProd[[#This Row],[Lumber rot]],0)</f>
        <v>1074</v>
      </c>
      <c r="V59" s="97">
        <f ca="1">ROUND(TblProd[[#This Row],[Raw Mana/hr]]*(1+TblProd[[#This Row],[Bonus Mana/hr]])-TblProd[[#This Row],[Mana drain]],0)</f>
        <v>521</v>
      </c>
      <c r="W59" s="97">
        <f ca="1">ROUNDDOWN(TblProd[[#This Row],[Raw Ore/hr]]*(1+TblProd[[#This Row],[Bonux Ore/hr]]),0)</f>
        <v>0</v>
      </c>
      <c r="X59" s="97">
        <f ca="1">ROUNDDOWN(TblProd[[#This Row],[Raw Gems/hr]]*(1+TblProd[[#This Row],[Bonus Gems/hr]]),0)</f>
        <v>0</v>
      </c>
      <c r="Y59" s="158">
        <f ca="1">OFFSET(TblConstr[[#This Row],[Tot Doc]],1,0)*dock_boats_hr * (1 + tech_4_1*TblTech[[#This Row],[4-1]])</f>
        <v>0.5</v>
      </c>
      <c r="Z59" s="157"/>
      <c r="AA59" s="97">
        <f ca="1">TblPop[[#This Row],[Peasants]]*tax*TblPop[[#This Row],[Employment]] + (Construction!AZ60+Construction!BX60)*(alch_plat+(Magic!AM59&gt;0)*alchemist_flame_bonus)</f>
        <v>42613</v>
      </c>
      <c r="AB59" s="97">
        <f ca="1">TblConstr[[#This Row],[Tot Farm]]*farm_food + TblConstr[[#This Row],[Tot Doc]]*dock_food</f>
        <v>1920</v>
      </c>
      <c r="AC59" s="97">
        <f ca="1">TblConstr[[#This Row],[Tot Ly]]*ly_lumber + TblConstr[[#This Row],[Tot Hav]]*fh_lumber</f>
        <v>1250</v>
      </c>
      <c r="AD59" s="97">
        <f ca="1">OFFSET(TblConstr[[#This Row],[Tot Tow]],1,0)*(tower_mana + tech_4_5*TblTech[[#This Row],[4-5]]) + OFFSET(TblConstr[[#This Row],[Tot WG]],1,0)*wg_mana_prod</f>
        <v>625</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0.1</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59" s="159">
        <f ca="1">race_lumber_bonus+ IF(TblMagic[[#This Row],[Active Gaia''s Blessing]]&gt;0,gaias_blessing_lumber)+ tech_1_3*TblTech[[#This Row],[1-3]] + tech_1_6*TblTech[[#This Row],[1-6]] + tech_3_3*TblTech[[#This Row],[3-3]]</f>
        <v>-0.1</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0.15</v>
      </c>
      <c r="AN59" s="145"/>
      <c r="AO59" s="97">
        <f ca="1">TblProd[[#This Row],[Food]]*food_decay * (1 + tech_2_1*TblTech[[#This Row],[2-1]] + tech_2_8*TblTech[[#This Row],[2-8]])</f>
        <v>59.46</v>
      </c>
      <c r="AP59" s="97">
        <f ca="1">(1+race_food_consumption)*TblPop[[#This Row],[Total]]*food_per_person*(1+tech_1_10*TblTech[[#This Row],[1-10]]+tech_7_5*TblTech[[#This Row],[7-5]])</f>
        <v>2825.25</v>
      </c>
      <c r="AQ59" s="97">
        <f ca="1">TblProd[[#This Row],[Lumber]]*lumber_rot * (1 + tech_2_1*TblTech[[#This Row],[2-1]] + tech_2_8*TblTech[[#This Row],[2-8]] + tech_5_2*TblTech[[#This Row],[5-2]])</f>
        <v>50.9</v>
      </c>
      <c r="AR59" s="97">
        <f ca="1">TblProd[[#This Row],[Mana]]*mana_drain * (1 + tech_2_1*TblTech[[#This Row],[2-1]] + tech_2_8*TblTech[[#This Row],[2-8]])</f>
        <v>104.13</v>
      </c>
      <c r="AS59" s="157"/>
      <c r="AT59" s="97">
        <f ca="1">TblExplore[[#This Row],[Platinum (2)]]+TblConstr[[#This Row],[Total Plat Cost]]+TblMili[[#This Row],[Plat Cost]]+TblRezone[[#This Row],[Platinum cost]]+TblImps[[#This Row],[P1]]-TblProd[[#This Row],[Bank Plat]]</f>
        <v>595</v>
      </c>
      <c r="AU59" s="97">
        <f ca="1">TblConstr[[#This Row],[Total Lum Cost]]+TblImps[[#This Row],[L1]]-TblProd[[#This Row],[Bank Lumber]] + Military!$CL$25*TblMili[[#This Row],[Sec. rec. Cost]]</f>
        <v>112</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45432.041666666533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556484</v>
      </c>
      <c r="BJ59" s="97">
        <f ca="1">TblProd[[#This Row],[Food]]</f>
        <v>5946</v>
      </c>
      <c r="BK59" s="97">
        <f ca="1">TblProd[[#This Row],[Lumber]]</f>
        <v>5090</v>
      </c>
      <c r="BL59" s="97">
        <f ca="1">TblProd[[#This Row],[Mana]]</f>
        <v>5206.5</v>
      </c>
      <c r="BM59" s="97">
        <f ca="1">TblProd[[#This Row],[Ore]]</f>
        <v>0</v>
      </c>
    </row>
    <row r="60" spans="1:65" x14ac:dyDescent="0.2">
      <c r="A60" s="140">
        <v>57</v>
      </c>
      <c r="B60" s="155">
        <f ca="1">TblImps[[#This Row],[Time]]</f>
        <v>45432.083333333198</v>
      </c>
      <c r="C60" s="156"/>
      <c r="D60" s="157"/>
      <c r="E60" s="97">
        <f ca="1">TblConstr[[#This Row],[Land]]</f>
        <v>700</v>
      </c>
      <c r="F60" s="97">
        <f ca="1">TblPop[[#This Row],[Peasants]]</f>
        <v>9989</v>
      </c>
      <c r="G60" s="97">
        <f ca="1">TblMili[[#This Row],[Networth (2)]]</f>
        <v>16690</v>
      </c>
      <c r="H60" s="97">
        <f ca="1">OFFSET(TblProd[[#This Row],[Platinum]],-1,0)+OFFSET(TblProd[[#This Row],[Plat/hr]],-1,0) - TblProd[[#This Row],[Expenses Platinum]] + IF(TblProd[[#This Row],[Plat Bonus]],TblPop[[#This Row],[Peasants]]*4) + SUM(TblConstr[[#This Row],[Dest Hom]:[Dest Doc]])*TblConstr[[#This Row],[CPA Platinum -DB]]*tech_3_3_2*TblTech[[#This Row],[3-3]]</f>
        <v>602753</v>
      </c>
      <c r="I60" s="97">
        <f ca="1">OFFSET(TblProd[[#This Row],[Food]],-1,0)+OFFSET(TblProd[[#This Row],[Food/hr]],-1,0)+ROUNDUP((TblConstr[[#This Row],[Farms]]*80+TblConstr[[#This Row],[Docks]]*35)*(1+OFFSET(TblProd[[#This Row],[Bonus Food/hr]],-1,0)),0)</f>
        <v>5029</v>
      </c>
      <c r="J60" s="97">
        <f ca="1">OFFSET(TblProd[[#This Row],[Lumber]],-1,0)+OFFSET(TblProd[[#This Row],[Lumber/hr]],-1,0) - TblProd[[#This Row],[Expenses Lumber]] + SUM(TblConstr[[#This Row],[Dest Hom]:[Dest Doc]])*TblConstr[[#This Row],[CPA Lumber -DB]]*tech_3_3_2*TblTech[[#This Row],[3-3]]</f>
        <v>6050</v>
      </c>
      <c r="K60" s="97">
        <f ca="1">OFFSET(TblProd[[#This Row],[Mana]],-1,0)+OFFSET(TblProd[[#This Row],[Mana/hr]],-1,0)- TblProd[[#This Row],[Expenses Mana]]</f>
        <v>5727.5</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12.25</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0" s="97">
        <f ca="1">MAX(3750,_xlfn.CEILING.MATH(TblProd[[#This Row],[Land]]*2.5+OFFSET(TblTech[[#This Row],[Sum of tech]],-1,0)*150))</f>
        <v>3750</v>
      </c>
      <c r="R60" s="145"/>
      <c r="S60" s="97">
        <f ca="1">ROUNDDOWN(TblProd[[#This Row],[Raw Plat/hr]]*(1+TblProd[[#This Row],[Bonus Plat/hr]]),0)</f>
        <v>46638</v>
      </c>
      <c r="T60" s="97">
        <f ca="1">ROUND(TblProd[[#This Row],[Raw Food/hr]]*(1+TblProd[[#This Row],[Bonus Food/hr]])-TblProd[[#This Row],[Food decay]]-TblProd[[#This Row],[Food eaten]],0)</f>
        <v>-908</v>
      </c>
      <c r="U60" s="97">
        <f ca="1">ROUND(TblProd[[#This Row],[Raw Lumber/hr]]*(1+TblProd[[#This Row],[Bonus Lumber/hr]])-TblProd[[#This Row],[Lumber rot]],0)</f>
        <v>1065</v>
      </c>
      <c r="V60" s="97">
        <f ca="1">ROUND(TblProd[[#This Row],[Raw Mana/hr]]*(1+TblProd[[#This Row],[Bonus Mana/hr]])-TblProd[[#This Row],[Mana drain]],0)</f>
        <v>510</v>
      </c>
      <c r="W60" s="97">
        <f ca="1">ROUNDDOWN(TblProd[[#This Row],[Raw Ore/hr]]*(1+TblProd[[#This Row],[Bonux Ore/hr]]),0)</f>
        <v>0</v>
      </c>
      <c r="X60" s="97">
        <f ca="1">ROUNDDOWN(TblProd[[#This Row],[Raw Gems/hr]]*(1+TblProd[[#This Row],[Bonus Gems/hr]]),0)</f>
        <v>0</v>
      </c>
      <c r="Y60" s="158">
        <f ca="1">OFFSET(TblConstr[[#This Row],[Tot Doc]],1,0)*dock_boats_hr * (1 + tech_4_1*TblTech[[#This Row],[4-1]])</f>
        <v>0.5</v>
      </c>
      <c r="Z60" s="157"/>
      <c r="AA60" s="97">
        <f ca="1">TblPop[[#This Row],[Peasants]]*tax*TblPop[[#This Row],[Employment]] + (Construction!AZ61+Construction!BX61)*(alch_plat+(Magic!AM60&gt;0)*alchemist_flame_bonus)</f>
        <v>42398.3</v>
      </c>
      <c r="AB60" s="97">
        <f ca="1">TblConstr[[#This Row],[Tot Farm]]*farm_food + TblConstr[[#This Row],[Tot Doc]]*dock_food</f>
        <v>1920</v>
      </c>
      <c r="AC60" s="97">
        <f ca="1">TblConstr[[#This Row],[Tot Ly]]*ly_lumber + TblConstr[[#This Row],[Tot Hav]]*fh_lumber</f>
        <v>1250</v>
      </c>
      <c r="AD60" s="97">
        <f ca="1">OFFSET(TblConstr[[#This Row],[Tot Tow]],1,0)*(tower_mana + tech_4_5*TblTech[[#This Row],[4-5]]) + OFFSET(TblConstr[[#This Row],[Tot WG]],1,0)*wg_mana_prod</f>
        <v>625</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0.1</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0" s="159">
        <f ca="1">race_lumber_bonus+ IF(TblMagic[[#This Row],[Active Gaia''s Blessing]]&gt;0,gaias_blessing_lumber)+ tech_1_3*TblTech[[#This Row],[1-3]] + tech_1_6*TblTech[[#This Row],[1-6]] + tech_3_3*TblTech[[#This Row],[3-3]]</f>
        <v>-0.1</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0.15</v>
      </c>
      <c r="AN60" s="145"/>
      <c r="AO60" s="97">
        <f ca="1">TblProd[[#This Row],[Food]]*food_decay * (1 + tech_2_1*TblTech[[#This Row],[2-1]] + tech_2_8*TblTech[[#This Row],[2-8]])</f>
        <v>50.29</v>
      </c>
      <c r="AP60" s="97">
        <f ca="1">(1+race_food_consumption)*TblPop[[#This Row],[Total]]*food_per_person*(1+tech_1_10*TblTech[[#This Row],[1-10]]+tech_7_5*TblTech[[#This Row],[7-5]])</f>
        <v>2825.25</v>
      </c>
      <c r="AQ60" s="97">
        <f ca="1">TblProd[[#This Row],[Lumber]]*lumber_rot * (1 + tech_2_1*TblTech[[#This Row],[2-1]] + tech_2_8*TblTech[[#This Row],[2-8]] + tech_5_2*TblTech[[#This Row],[5-2]])</f>
        <v>60.5</v>
      </c>
      <c r="AR60" s="97">
        <f ca="1">TblProd[[#This Row],[Mana]]*mana_drain * (1 + tech_2_1*TblTech[[#This Row],[2-1]] + tech_2_8*TblTech[[#This Row],[2-8]])</f>
        <v>114.55</v>
      </c>
      <c r="AS60" s="157"/>
      <c r="AT60" s="97">
        <f ca="1">TblExplore[[#This Row],[Platinum (2)]]+TblConstr[[#This Row],[Total Plat Cost]]+TblMili[[#This Row],[Plat Cost]]+TblRezone[[#This Row],[Platinum cost]]+TblImps[[#This Row],[P1]]-TblProd[[#This Row],[Bank Plat]]</f>
        <v>605</v>
      </c>
      <c r="AU60" s="97">
        <f ca="1">TblConstr[[#This Row],[Total Lum Cost]]+TblImps[[#This Row],[L1]]-TblProd[[#This Row],[Bank Lumber]] + Military!$CL$25*TblMili[[#This Row],[Sec. rec. Cost]]</f>
        <v>114</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45432.083333333198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602753</v>
      </c>
      <c r="BJ60" s="97">
        <f ca="1">TblProd[[#This Row],[Food]]</f>
        <v>5029</v>
      </c>
      <c r="BK60" s="97">
        <f ca="1">TblProd[[#This Row],[Lumber]]</f>
        <v>6050</v>
      </c>
      <c r="BL60" s="97">
        <f ca="1">TblProd[[#This Row],[Mana]]</f>
        <v>5727.5</v>
      </c>
      <c r="BM60" s="97">
        <f ca="1">TblProd[[#This Row],[Ore]]</f>
        <v>0</v>
      </c>
    </row>
    <row r="61" spans="1:65" x14ac:dyDescent="0.2">
      <c r="A61" s="140">
        <v>58</v>
      </c>
      <c r="B61" s="155">
        <f ca="1">TblImps[[#This Row],[Time]]</f>
        <v>45432.124999999862</v>
      </c>
      <c r="C61" s="156"/>
      <c r="D61" s="157"/>
      <c r="E61" s="97">
        <f ca="1">TblConstr[[#This Row],[Land]]</f>
        <v>700</v>
      </c>
      <c r="F61" s="97">
        <f ca="1">TblPop[[#This Row],[Peasants]]</f>
        <v>9889</v>
      </c>
      <c r="G61" s="97">
        <f ca="1">TblMili[[#This Row],[Networth (2)]]</f>
        <v>16740</v>
      </c>
      <c r="H61" s="97">
        <f ca="1">OFFSET(TblProd[[#This Row],[Platinum]],-1,0)+OFFSET(TblProd[[#This Row],[Plat/hr]],-1,0) - TblProd[[#This Row],[Expenses Platinum]] + IF(TblProd[[#This Row],[Plat Bonus]],TblPop[[#This Row],[Peasants]]*4) + SUM(TblConstr[[#This Row],[Dest Hom]:[Dest Doc]])*TblConstr[[#This Row],[CPA Platinum -DB]]*tech_3_3_2*TblTech[[#This Row],[3-3]]</f>
        <v>648776</v>
      </c>
      <c r="I61" s="97">
        <f ca="1">OFFSET(TblProd[[#This Row],[Food]],-1,0)+OFFSET(TblProd[[#This Row],[Food/hr]],-1,0)+ROUNDUP((TblConstr[[#This Row],[Farms]]*80+TblConstr[[#This Row],[Docks]]*35)*(1+OFFSET(TblProd[[#This Row],[Bonus Food/hr]],-1,0)),0)</f>
        <v>4121</v>
      </c>
      <c r="J61" s="97">
        <f ca="1">OFFSET(TblProd[[#This Row],[Lumber]],-1,0)+OFFSET(TblProd[[#This Row],[Lumber/hr]],-1,0) - TblProd[[#This Row],[Expenses Lumber]] + SUM(TblConstr[[#This Row],[Dest Hom]:[Dest Doc]])*TblConstr[[#This Row],[CPA Lumber -DB]]*tech_3_3_2*TblTech[[#This Row],[3-3]]</f>
        <v>7000</v>
      </c>
      <c r="K61" s="97">
        <f ca="1">OFFSET(TblProd[[#This Row],[Mana]],-1,0)+OFFSET(TblProd[[#This Row],[Mana/hr]],-1,0)- TblProd[[#This Row],[Expenses Mana]]</f>
        <v>6237.5</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12.75</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1" s="97">
        <f ca="1">MAX(3750,_xlfn.CEILING.MATH(TblProd[[#This Row],[Land]]*2.5+OFFSET(TblTech[[#This Row],[Sum of tech]],-1,0)*150))</f>
        <v>3750</v>
      </c>
      <c r="R61" s="145"/>
      <c r="S61" s="97">
        <f ca="1">ROUNDDOWN(TblProd[[#This Row],[Raw Plat/hr]]*(1+TblProd[[#This Row],[Bonus Plat/hr]]),0)</f>
        <v>46468</v>
      </c>
      <c r="T61" s="97">
        <f ca="1">ROUND(TblProd[[#This Row],[Raw Food/hr]]*(1+TblProd[[#This Row],[Bonus Food/hr]])-TblProd[[#This Row],[Food decay]]-TblProd[[#This Row],[Food eaten]],0)</f>
        <v>-898</v>
      </c>
      <c r="U61" s="97">
        <f ca="1">ROUND(TblProd[[#This Row],[Raw Lumber/hr]]*(1+TblProd[[#This Row],[Bonus Lumber/hr]])-TblProd[[#This Row],[Lumber rot]],0)</f>
        <v>1055</v>
      </c>
      <c r="V61" s="97">
        <f ca="1">ROUND(TblProd[[#This Row],[Raw Mana/hr]]*(1+TblProd[[#This Row],[Bonus Mana/hr]])-TblProd[[#This Row],[Mana drain]],0)</f>
        <v>500</v>
      </c>
      <c r="W61" s="97">
        <f ca="1">ROUNDDOWN(TblProd[[#This Row],[Raw Ore/hr]]*(1+TblProd[[#This Row],[Bonux Ore/hr]]),0)</f>
        <v>0</v>
      </c>
      <c r="X61" s="97">
        <f ca="1">ROUNDDOWN(TblProd[[#This Row],[Raw Gems/hr]]*(1+TblProd[[#This Row],[Bonus Gems/hr]]),0)</f>
        <v>0</v>
      </c>
      <c r="Y61" s="158">
        <f ca="1">OFFSET(TblConstr[[#This Row],[Tot Doc]],1,0)*dock_boats_hr * (1 + tech_4_1*TblTech[[#This Row],[4-1]])</f>
        <v>0.5</v>
      </c>
      <c r="Z61" s="157"/>
      <c r="AA61" s="97">
        <f ca="1">TblPop[[#This Row],[Peasants]]*tax*TblPop[[#This Row],[Employment]] + (Construction!AZ62+Construction!BX62)*(alch_plat+(Magic!AM61&gt;0)*alchemist_flame_bonus)</f>
        <v>42244.3</v>
      </c>
      <c r="AB61" s="97">
        <f ca="1">TblConstr[[#This Row],[Tot Farm]]*farm_food + TblConstr[[#This Row],[Tot Doc]]*dock_food</f>
        <v>1920</v>
      </c>
      <c r="AC61" s="97">
        <f ca="1">TblConstr[[#This Row],[Tot Ly]]*ly_lumber + TblConstr[[#This Row],[Tot Hav]]*fh_lumber</f>
        <v>1250</v>
      </c>
      <c r="AD61" s="97">
        <f ca="1">OFFSET(TblConstr[[#This Row],[Tot Tow]],1,0)*(tower_mana + tech_4_5*TblTech[[#This Row],[4-5]]) + OFFSET(TblConstr[[#This Row],[Tot WG]],1,0)*wg_mana_prod</f>
        <v>625</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0.1</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1" s="159">
        <f ca="1">race_lumber_bonus+ IF(TblMagic[[#This Row],[Active Gaia''s Blessing]]&gt;0,gaias_blessing_lumber)+ tech_1_3*TblTech[[#This Row],[1-3]] + tech_1_6*TblTech[[#This Row],[1-6]] + tech_3_3*TblTech[[#This Row],[3-3]]</f>
        <v>-0.1</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0.15</v>
      </c>
      <c r="AN61" s="145"/>
      <c r="AO61" s="97">
        <f ca="1">TblProd[[#This Row],[Food]]*food_decay * (1 + tech_2_1*TblTech[[#This Row],[2-1]] + tech_2_8*TblTech[[#This Row],[2-8]])</f>
        <v>41.21</v>
      </c>
      <c r="AP61" s="97">
        <f ca="1">(1+race_food_consumption)*TblPop[[#This Row],[Total]]*food_per_person*(1+tech_1_10*TblTech[[#This Row],[1-10]]+tech_7_5*TblTech[[#This Row],[7-5]])</f>
        <v>2825.25</v>
      </c>
      <c r="AQ61" s="97">
        <f ca="1">TblProd[[#This Row],[Lumber]]*lumber_rot * (1 + tech_2_1*TblTech[[#This Row],[2-1]] + tech_2_8*TblTech[[#This Row],[2-8]] + tech_5_2*TblTech[[#This Row],[5-2]])</f>
        <v>70</v>
      </c>
      <c r="AR61" s="97">
        <f ca="1">TblProd[[#This Row],[Mana]]*mana_drain * (1 + tech_2_1*TblTech[[#This Row],[2-1]] + tech_2_8*TblTech[[#This Row],[2-8]])</f>
        <v>124.75</v>
      </c>
      <c r="AS61" s="157"/>
      <c r="AT61" s="97">
        <f ca="1">TblExplore[[#This Row],[Platinum (2)]]+TblConstr[[#This Row],[Total Plat Cost]]+TblMili[[#This Row],[Plat Cost]]+TblRezone[[#This Row],[Platinum cost]]+TblImps[[#This Row],[P1]]-TblProd[[#This Row],[Bank Plat]]</f>
        <v>615</v>
      </c>
      <c r="AU61" s="97">
        <f ca="1">TblConstr[[#This Row],[Total Lum Cost]]+TblImps[[#This Row],[L1]]-TblProd[[#This Row],[Bank Lumber]] + Military!$CL$25*TblMili[[#This Row],[Sec. rec. Cost]]</f>
        <v>115</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45432.124999999862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648776</v>
      </c>
      <c r="BJ61" s="97">
        <f ca="1">TblProd[[#This Row],[Food]]</f>
        <v>4121</v>
      </c>
      <c r="BK61" s="97">
        <f ca="1">TblProd[[#This Row],[Lumber]]</f>
        <v>7000</v>
      </c>
      <c r="BL61" s="97">
        <f ca="1">TblProd[[#This Row],[Mana]]</f>
        <v>6237.5</v>
      </c>
      <c r="BM61" s="97">
        <f ca="1">TblProd[[#This Row],[Ore]]</f>
        <v>0</v>
      </c>
    </row>
    <row r="62" spans="1:65" x14ac:dyDescent="0.2">
      <c r="A62" s="140">
        <v>59</v>
      </c>
      <c r="B62" s="155">
        <f ca="1">TblImps[[#This Row],[Time]]</f>
        <v>45432.166666666526</v>
      </c>
      <c r="C62" s="156"/>
      <c r="D62" s="157"/>
      <c r="E62" s="97">
        <f ca="1">TblConstr[[#This Row],[Land]]</f>
        <v>700</v>
      </c>
      <c r="F62" s="97">
        <f ca="1">TblPop[[#This Row],[Peasants]]</f>
        <v>9790</v>
      </c>
      <c r="G62" s="97">
        <f ca="1">TblMili[[#This Row],[Networth (2)]]</f>
        <v>16795</v>
      </c>
      <c r="H62" s="97">
        <f ca="1">OFFSET(TblProd[[#This Row],[Platinum]],-1,0)+OFFSET(TblProd[[#This Row],[Plat/hr]],-1,0) - TblProd[[#This Row],[Expenses Platinum]] + IF(TblProd[[#This Row],[Plat Bonus]],TblPop[[#This Row],[Peasants]]*4) + SUM(TblConstr[[#This Row],[Dest Hom]:[Dest Doc]])*TblConstr[[#This Row],[CPA Platinum -DB]]*tech_3_3_2*TblTech[[#This Row],[3-3]]</f>
        <v>694619</v>
      </c>
      <c r="I62" s="97">
        <f ca="1">OFFSET(TblProd[[#This Row],[Food]],-1,0)+OFFSET(TblProd[[#This Row],[Food/hr]],-1,0)+ROUNDUP((TblConstr[[#This Row],[Farms]]*80+TblConstr[[#This Row],[Docks]]*35)*(1+OFFSET(TblProd[[#This Row],[Bonus Food/hr]],-1,0)),0)</f>
        <v>3223</v>
      </c>
      <c r="J62" s="97">
        <f ca="1">OFFSET(TblProd[[#This Row],[Lumber]],-1,0)+OFFSET(TblProd[[#This Row],[Lumber/hr]],-1,0) - TblProd[[#This Row],[Expenses Lumber]] + SUM(TblConstr[[#This Row],[Dest Hom]:[Dest Doc]])*TblConstr[[#This Row],[CPA Lumber -DB]]*tech_3_3_2*TblTech[[#This Row],[3-3]]</f>
        <v>7938</v>
      </c>
      <c r="K62" s="97">
        <f ca="1">OFFSET(TblProd[[#This Row],[Mana]],-1,0)+OFFSET(TblProd[[#This Row],[Mana/hr]],-1,0)- TblProd[[#This Row],[Expenses Mana]]</f>
        <v>6737.5</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13.25</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2" s="97">
        <f ca="1">MAX(3750,_xlfn.CEILING.MATH(TblProd[[#This Row],[Land]]*2.5+OFFSET(TblTech[[#This Row],[Sum of tech]],-1,0)*150))</f>
        <v>3750</v>
      </c>
      <c r="R62" s="145"/>
      <c r="S62" s="97">
        <f ca="1">ROUNDDOWN(TblProd[[#This Row],[Raw Plat/hr]]*(1+TblProd[[#This Row],[Bonus Plat/hr]]),0)</f>
        <v>46238</v>
      </c>
      <c r="T62" s="97">
        <f ca="1">ROUND(TblProd[[#This Row],[Raw Food/hr]]*(1+TblProd[[#This Row],[Bonus Food/hr]])-TblProd[[#This Row],[Food decay]]-TblProd[[#This Row],[Food eaten]],0)</f>
        <v>-889</v>
      </c>
      <c r="U62" s="97">
        <f ca="1">ROUND(TblProd[[#This Row],[Raw Lumber/hr]]*(1+TblProd[[#This Row],[Bonus Lumber/hr]])-TblProd[[#This Row],[Lumber rot]],0)</f>
        <v>1046</v>
      </c>
      <c r="V62" s="97">
        <f ca="1">ROUND(TblProd[[#This Row],[Raw Mana/hr]]*(1+TblProd[[#This Row],[Bonus Mana/hr]])-TblProd[[#This Row],[Mana drain]],0)</f>
        <v>490</v>
      </c>
      <c r="W62" s="97">
        <f ca="1">ROUNDDOWN(TblProd[[#This Row],[Raw Ore/hr]]*(1+TblProd[[#This Row],[Bonux Ore/hr]]),0)</f>
        <v>0</v>
      </c>
      <c r="X62" s="97">
        <f ca="1">ROUNDDOWN(TblProd[[#This Row],[Raw Gems/hr]]*(1+TblProd[[#This Row],[Bonus Gems/hr]]),0)</f>
        <v>0</v>
      </c>
      <c r="Y62" s="158">
        <f ca="1">OFFSET(TblConstr[[#This Row],[Tot Doc]],1,0)*dock_boats_hr * (1 + tech_4_1*TblTech[[#This Row],[4-1]])</f>
        <v>0.5</v>
      </c>
      <c r="Z62" s="157"/>
      <c r="AA62" s="97">
        <f ca="1">TblPop[[#This Row],[Peasants]]*tax*TblPop[[#This Row],[Employment]] + (Construction!AZ63+Construction!BX63)*(alch_plat+(Magic!AM62&gt;0)*alchemist_flame_bonus)</f>
        <v>42035</v>
      </c>
      <c r="AB62" s="97">
        <f ca="1">TblConstr[[#This Row],[Tot Farm]]*farm_food + TblConstr[[#This Row],[Tot Doc]]*dock_food</f>
        <v>1920</v>
      </c>
      <c r="AC62" s="97">
        <f ca="1">TblConstr[[#This Row],[Tot Ly]]*ly_lumber + TblConstr[[#This Row],[Tot Hav]]*fh_lumber</f>
        <v>1250</v>
      </c>
      <c r="AD62" s="97">
        <f ca="1">OFFSET(TblConstr[[#This Row],[Tot Tow]],1,0)*(tower_mana + tech_4_5*TblTech[[#This Row],[4-5]]) + OFFSET(TblConstr[[#This Row],[Tot WG]],1,0)*wg_mana_prod</f>
        <v>625</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0.1</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2" s="159">
        <f ca="1">race_lumber_bonus+ IF(TblMagic[[#This Row],[Active Gaia''s Blessing]]&gt;0,gaias_blessing_lumber)+ tech_1_3*TblTech[[#This Row],[1-3]] + tech_1_6*TblTech[[#This Row],[1-6]] + tech_3_3*TblTech[[#This Row],[3-3]]</f>
        <v>-0.1</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0.15</v>
      </c>
      <c r="AN62" s="145"/>
      <c r="AO62" s="97">
        <f ca="1">TblProd[[#This Row],[Food]]*food_decay * (1 + tech_2_1*TblTech[[#This Row],[2-1]] + tech_2_8*TblTech[[#This Row],[2-8]])</f>
        <v>32.230000000000004</v>
      </c>
      <c r="AP62" s="97">
        <f ca="1">(1+race_food_consumption)*TblPop[[#This Row],[Total]]*food_per_person*(1+tech_1_10*TblTech[[#This Row],[1-10]]+tech_7_5*TblTech[[#This Row],[7-5]])</f>
        <v>2825.25</v>
      </c>
      <c r="AQ62" s="97">
        <f ca="1">TblProd[[#This Row],[Lumber]]*lumber_rot * (1 + tech_2_1*TblTech[[#This Row],[2-1]] + tech_2_8*TblTech[[#This Row],[2-8]] + tech_5_2*TblTech[[#This Row],[5-2]])</f>
        <v>79.38</v>
      </c>
      <c r="AR62" s="97">
        <f ca="1">TblProd[[#This Row],[Mana]]*mana_drain * (1 + tech_2_1*TblTech[[#This Row],[2-1]] + tech_2_8*TblTech[[#This Row],[2-8]])</f>
        <v>134.75</v>
      </c>
      <c r="AS62" s="157"/>
      <c r="AT62" s="97">
        <f ca="1">TblExplore[[#This Row],[Platinum (2)]]+TblConstr[[#This Row],[Total Plat Cost]]+TblMili[[#This Row],[Plat Cost]]+TblRezone[[#This Row],[Platinum cost]]+TblImps[[#This Row],[P1]]-TblProd[[#This Row],[Bank Plat]]</f>
        <v>625</v>
      </c>
      <c r="AU62" s="97">
        <f ca="1">TblConstr[[#This Row],[Total Lum Cost]]+TblImps[[#This Row],[L1]]-TblProd[[#This Row],[Bank Lumber]] + Military!$CL$25*TblMili[[#This Row],[Sec. rec. Cost]]</f>
        <v>117</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45432.166666666526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694619</v>
      </c>
      <c r="BJ62" s="97">
        <f ca="1">TblProd[[#This Row],[Food]]</f>
        <v>3223</v>
      </c>
      <c r="BK62" s="97">
        <f ca="1">TblProd[[#This Row],[Lumber]]</f>
        <v>7938</v>
      </c>
      <c r="BL62" s="97">
        <f ca="1">TblProd[[#This Row],[Mana]]</f>
        <v>6737.5</v>
      </c>
      <c r="BM62" s="97">
        <f ca="1">TblProd[[#This Row],[Ore]]</f>
        <v>0</v>
      </c>
    </row>
    <row r="63" spans="1:65" x14ac:dyDescent="0.2">
      <c r="A63" s="140">
        <v>60</v>
      </c>
      <c r="B63" s="155">
        <f ca="1">TblImps[[#This Row],[Time]]</f>
        <v>45432.20833333319</v>
      </c>
      <c r="C63" s="156"/>
      <c r="D63" s="157"/>
      <c r="E63" s="97">
        <f ca="1">TblConstr[[#This Row],[Land]]</f>
        <v>700</v>
      </c>
      <c r="F63" s="97">
        <f ca="1">TblPop[[#This Row],[Peasants]]</f>
        <v>10015</v>
      </c>
      <c r="G63" s="97">
        <f ca="1">TblMili[[#This Row],[Networth (2)]]</f>
        <v>16955</v>
      </c>
      <c r="H63" s="97">
        <f ca="1">OFFSET(TblProd[[#This Row],[Platinum]],-1,0)+OFFSET(TblProd[[#This Row],[Plat/hr]],-1,0) - TblProd[[#This Row],[Expenses Platinum]] + IF(TblProd[[#This Row],[Plat Bonus]],TblPop[[#This Row],[Peasants]]*4) + SUM(TblConstr[[#This Row],[Dest Hom]:[Dest Doc]])*TblConstr[[#This Row],[CPA Platinum -DB]]*tech_3_3_2*TblTech[[#This Row],[3-3]]</f>
        <v>740222</v>
      </c>
      <c r="I63" s="97">
        <f ca="1">OFFSET(TblProd[[#This Row],[Food]],-1,0)+OFFSET(TblProd[[#This Row],[Food/hr]],-1,0)+ROUNDUP((TblConstr[[#This Row],[Farms]]*80+TblConstr[[#This Row],[Docks]]*35)*(1+OFFSET(TblProd[[#This Row],[Bonus Food/hr]],-1,0)),0)</f>
        <v>2334</v>
      </c>
      <c r="J63" s="97">
        <f ca="1">OFFSET(TblProd[[#This Row],[Lumber]],-1,0)+OFFSET(TblProd[[#This Row],[Lumber/hr]],-1,0) - TblProd[[#This Row],[Expenses Lumber]] + SUM(TblConstr[[#This Row],[Dest Hom]:[Dest Doc]])*TblConstr[[#This Row],[CPA Lumber -DB]]*tech_3_3_2*TblTech[[#This Row],[3-3]]</f>
        <v>8866</v>
      </c>
      <c r="K63" s="97">
        <f ca="1">OFFSET(TblProd[[#This Row],[Mana]],-1,0)+OFFSET(TblProd[[#This Row],[Mana/hr]],-1,0)- TblProd[[#This Row],[Expenses Mana]]</f>
        <v>7227.5</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13.75</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3" s="97">
        <f ca="1">MAX(3750,_xlfn.CEILING.MATH(TblProd[[#This Row],[Land]]*2.5+OFFSET(TblTech[[#This Row],[Sum of tech]],-1,0)*150))</f>
        <v>3750</v>
      </c>
      <c r="R63" s="145"/>
      <c r="S63" s="97">
        <f ca="1">ROUNDDOWN(TblProd[[#This Row],[Raw Plat/hr]]*(1+TblProd[[#This Row],[Bonus Plat/hr]]),0)</f>
        <v>46970</v>
      </c>
      <c r="T63" s="97">
        <f ca="1">ROUND(TblProd[[#This Row],[Raw Food/hr]]*(1+TblProd[[#This Row],[Bonus Food/hr]])-TblProd[[#This Row],[Food decay]]-TblProd[[#This Row],[Food eaten]],0)</f>
        <v>-961</v>
      </c>
      <c r="U63" s="97">
        <f ca="1">ROUND(TblProd[[#This Row],[Raw Lumber/hr]]*(1+TblProd[[#This Row],[Bonus Lumber/hr]])-TblProd[[#This Row],[Lumber rot]],0)</f>
        <v>1036</v>
      </c>
      <c r="V63" s="97">
        <f ca="1">ROUND(TblProd[[#This Row],[Raw Mana/hr]]*(1+TblProd[[#This Row],[Bonus Mana/hr]])-TblProd[[#This Row],[Mana drain]],0)</f>
        <v>480</v>
      </c>
      <c r="W63" s="97">
        <f ca="1">ROUNDDOWN(TblProd[[#This Row],[Raw Ore/hr]]*(1+TblProd[[#This Row],[Bonux Ore/hr]]),0)</f>
        <v>0</v>
      </c>
      <c r="X63" s="97">
        <f ca="1">ROUNDDOWN(TblProd[[#This Row],[Raw Gems/hr]]*(1+TblProd[[#This Row],[Bonus Gems/hr]]),0)</f>
        <v>0</v>
      </c>
      <c r="Y63" s="158">
        <f ca="1">OFFSET(TblConstr[[#This Row],[Tot Doc]],1,0)*dock_boats_hr * (1 + tech_4_1*TblTech[[#This Row],[4-1]])</f>
        <v>0.5</v>
      </c>
      <c r="Z63" s="157"/>
      <c r="AA63" s="97">
        <f ca="1">TblPop[[#This Row],[Peasants]]*tax*TblPop[[#This Row],[Employment]] + (Construction!AZ64+Construction!BX64)*(alch_plat+(Magic!AM63&gt;0)*alchemist_flame_bonus)</f>
        <v>42700.5</v>
      </c>
      <c r="AB63" s="97">
        <f ca="1">TblConstr[[#This Row],[Tot Farm]]*farm_food + TblConstr[[#This Row],[Tot Doc]]*dock_food</f>
        <v>1920</v>
      </c>
      <c r="AC63" s="97">
        <f ca="1">TblConstr[[#This Row],[Tot Ly]]*ly_lumber + TblConstr[[#This Row],[Tot Hav]]*fh_lumber</f>
        <v>1250</v>
      </c>
      <c r="AD63" s="97">
        <f ca="1">OFFSET(TblConstr[[#This Row],[Tot Tow]],1,0)*(tower_mana + tech_4_5*TblTech[[#This Row],[4-5]]) + OFFSET(TblConstr[[#This Row],[Tot WG]],1,0)*wg_mana_prod</f>
        <v>625</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0.1</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3" s="159">
        <f ca="1">race_lumber_bonus+ IF(TblMagic[[#This Row],[Active Gaia''s Blessing]]&gt;0,gaias_blessing_lumber)+ tech_1_3*TblTech[[#This Row],[1-3]] + tech_1_6*TblTech[[#This Row],[1-6]] + tech_3_3*TblTech[[#This Row],[3-3]]</f>
        <v>-0.1</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0.15</v>
      </c>
      <c r="AN63" s="145"/>
      <c r="AO63" s="97">
        <f ca="1">TblProd[[#This Row],[Food]]*food_decay * (1 + tech_2_1*TblTech[[#This Row],[2-1]] + tech_2_8*TblTech[[#This Row],[2-8]])</f>
        <v>23.34</v>
      </c>
      <c r="AP63" s="97">
        <f ca="1">(1+race_food_consumption)*TblPop[[#This Row],[Total]]*food_per_person*(1+tech_1_10*TblTech[[#This Row],[1-10]]+tech_7_5*TblTech[[#This Row],[7-5]])</f>
        <v>2906</v>
      </c>
      <c r="AQ63" s="97">
        <f ca="1">TblProd[[#This Row],[Lumber]]*lumber_rot * (1 + tech_2_1*TblTech[[#This Row],[2-1]] + tech_2_8*TblTech[[#This Row],[2-8]] + tech_5_2*TblTech[[#This Row],[5-2]])</f>
        <v>88.66</v>
      </c>
      <c r="AR63" s="97">
        <f ca="1">TblProd[[#This Row],[Mana]]*mana_drain * (1 + tech_2_1*TblTech[[#This Row],[2-1]] + tech_2_8*TblTech[[#This Row],[2-8]])</f>
        <v>144.55000000000001</v>
      </c>
      <c r="AS63" s="157"/>
      <c r="AT63" s="97">
        <f ca="1">TblExplore[[#This Row],[Platinum (2)]]+TblConstr[[#This Row],[Total Plat Cost]]+TblMili[[#This Row],[Plat Cost]]+TblRezone[[#This Row],[Platinum cost]]+TblImps[[#This Row],[P1]]-TblProd[[#This Row],[Bank Plat]]</f>
        <v>635</v>
      </c>
      <c r="AU63" s="97">
        <f ca="1">TblConstr[[#This Row],[Total Lum Cost]]+TblImps[[#This Row],[L1]]-TblProd[[#This Row],[Bank Lumber]] + Military!$CL$25*TblMili[[#This Row],[Sec. rec. Cost]]</f>
        <v>118</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45432.20833333319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740222</v>
      </c>
      <c r="BJ63" s="97">
        <f ca="1">TblProd[[#This Row],[Food]]</f>
        <v>2334</v>
      </c>
      <c r="BK63" s="97">
        <f ca="1">TblProd[[#This Row],[Lumber]]</f>
        <v>8866</v>
      </c>
      <c r="BL63" s="97">
        <f ca="1">TblProd[[#This Row],[Mana]]</f>
        <v>7227.5</v>
      </c>
      <c r="BM63" s="97">
        <f ca="1">TblProd[[#This Row],[Ore]]</f>
        <v>0</v>
      </c>
    </row>
    <row r="64" spans="1:65" x14ac:dyDescent="0.2">
      <c r="A64" s="140">
        <v>61</v>
      </c>
      <c r="B64" s="155">
        <f ca="1">TblImps[[#This Row],[Time]]</f>
        <v>45432.249999999854</v>
      </c>
      <c r="C64" s="156">
        <v>1</v>
      </c>
      <c r="D64" s="157"/>
      <c r="E64" s="97">
        <f ca="1">TblConstr[[#This Row],[Land]]</f>
        <v>700</v>
      </c>
      <c r="F64" s="97">
        <f ca="1">TblPop[[#This Row],[Peasants]]</f>
        <v>10237</v>
      </c>
      <c r="G64" s="97">
        <f ca="1">TblMili[[#This Row],[Networth (2)]]</f>
        <v>16870</v>
      </c>
      <c r="H64" s="97">
        <f ca="1">OFFSET(TblProd[[#This Row],[Platinum]],-1,0)+OFFSET(TblProd[[#This Row],[Plat/hr]],-1,0) - TblProd[[#This Row],[Expenses Platinum]] + IF(TblProd[[#This Row],[Plat Bonus]],TblPop[[#This Row],[Peasants]]*4) + SUM(TblConstr[[#This Row],[Dest Hom]:[Dest Doc]])*TblConstr[[#This Row],[CPA Platinum -DB]]*tech_3_3_2*TblTech[[#This Row],[3-3]]</f>
        <v>12986</v>
      </c>
      <c r="I64" s="97">
        <f ca="1">OFFSET(TblProd[[#This Row],[Food]],-1,0)+OFFSET(TblProd[[#This Row],[Food/hr]],-1,0)+ROUNDUP((TblConstr[[#This Row],[Farms]]*80+TblConstr[[#This Row],[Docks]]*35)*(1+OFFSET(TblProd[[#This Row],[Bonus Food/hr]],-1,0)),0)</f>
        <v>1373</v>
      </c>
      <c r="J64" s="97">
        <f ca="1">OFFSET(TblProd[[#This Row],[Lumber]],-1,0)+OFFSET(TblProd[[#This Row],[Lumber/hr]],-1,0) - TblProd[[#This Row],[Expenses Lumber]] + SUM(TblConstr[[#This Row],[Dest Hom]:[Dest Doc]])*TblConstr[[#This Row],[CPA Lumber -DB]]*tech_3_3_2*TblTech[[#This Row],[3-3]]</f>
        <v>3902</v>
      </c>
      <c r="K64" s="97">
        <f ca="1">OFFSET(TblProd[[#This Row],[Mana]],-1,0)+OFFSET(TblProd[[#This Row],[Mana/hr]],-1,0)- TblProd[[#This Row],[Expenses Mana]]</f>
        <v>7707.5</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14.25</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4" s="97">
        <f ca="1">MAX(3750,_xlfn.CEILING.MATH(TblProd[[#This Row],[Land]]*2.5+OFFSET(TblTech[[#This Row],[Sum of tech]],-1,0)*150))</f>
        <v>3750</v>
      </c>
      <c r="R64" s="145"/>
      <c r="S64" s="97">
        <f ca="1">ROUNDDOWN(TblProd[[#This Row],[Raw Plat/hr]]*(1+TblProd[[#This Row],[Bonus Plat/hr]]),0)</f>
        <v>47948</v>
      </c>
      <c r="T64" s="97">
        <f ca="1">ROUND(TblProd[[#This Row],[Raw Food/hr]]*(1+TblProd[[#This Row],[Bonus Food/hr]])-TblProd[[#This Row],[Food decay]]-TblProd[[#This Row],[Food eaten]],0)</f>
        <v>-1032</v>
      </c>
      <c r="U64" s="97">
        <f ca="1">ROUND(TblProd[[#This Row],[Raw Lumber/hr]]*(1+TblProd[[#This Row],[Bonus Lumber/hr]])-TblProd[[#This Row],[Lumber rot]],0)</f>
        <v>1086</v>
      </c>
      <c r="V64" s="97">
        <f ca="1">ROUND(TblProd[[#This Row],[Raw Mana/hr]]*(1+TblProd[[#This Row],[Bonus Mana/hr]])-TblProd[[#This Row],[Mana drain]],0)</f>
        <v>471</v>
      </c>
      <c r="W64" s="97">
        <f ca="1">ROUNDDOWN(TblProd[[#This Row],[Raw Ore/hr]]*(1+TblProd[[#This Row],[Bonux Ore/hr]]),0)</f>
        <v>0</v>
      </c>
      <c r="X64" s="97">
        <f ca="1">ROUNDDOWN(TblProd[[#This Row],[Raw Gems/hr]]*(1+TblProd[[#This Row],[Bonus Gems/hr]]),0)</f>
        <v>0</v>
      </c>
      <c r="Y64" s="158">
        <f ca="1">OFFSET(TblConstr[[#This Row],[Tot Doc]],1,0)*dock_boats_hr * (1 + tech_4_1*TblTech[[#This Row],[4-1]])</f>
        <v>0.8</v>
      </c>
      <c r="Z64" s="157"/>
      <c r="AA64" s="97">
        <f ca="1">TblPop[[#This Row],[Peasants]]*tax*TblPop[[#This Row],[Employment]] + (Construction!AZ65+Construction!BX65)*(alch_plat+(Magic!AM64&gt;0)*alchemist_flame_bonus)</f>
        <v>43589.9</v>
      </c>
      <c r="AB64" s="97">
        <f ca="1">TblConstr[[#This Row],[Tot Farm]]*farm_food + TblConstr[[#This Row],[Tot Doc]]*dock_food</f>
        <v>1920</v>
      </c>
      <c r="AC64" s="97">
        <f ca="1">TblConstr[[#This Row],[Tot Ly]]*ly_lumber + TblConstr[[#This Row],[Tot Hav]]*fh_lumber</f>
        <v>1250</v>
      </c>
      <c r="AD64" s="97">
        <f ca="1">OFFSET(TblConstr[[#This Row],[Tot Tow]],1,0)*(tower_mana + tech_4_5*TblTech[[#This Row],[4-5]]) + OFFSET(TblConstr[[#This Row],[Tot WG]],1,0)*wg_mana_prod</f>
        <v>625</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0.1</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4" s="159">
        <f ca="1">race_lumber_bonus+ IF(TblMagic[[#This Row],[Active Gaia''s Blessing]]&gt;0,gaias_blessing_lumber)+ tech_1_3*TblTech[[#This Row],[1-3]] + tech_1_6*TblTech[[#This Row],[1-6]] + tech_3_3*TblTech[[#This Row],[3-3]]</f>
        <v>-0.1</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0.15</v>
      </c>
      <c r="AN64" s="145"/>
      <c r="AO64" s="97">
        <f ca="1">TblProd[[#This Row],[Food]]*food_decay * (1 + tech_2_1*TblTech[[#This Row],[2-1]] + tech_2_8*TblTech[[#This Row],[2-8]])</f>
        <v>13.73</v>
      </c>
      <c r="AP64" s="97">
        <f ca="1">(1+race_food_consumption)*TblPop[[#This Row],[Total]]*food_per_person*(1+tech_1_10*TblTech[[#This Row],[1-10]]+tech_7_5*TblTech[[#This Row],[7-5]])</f>
        <v>2986.5</v>
      </c>
      <c r="AQ64" s="97">
        <f ca="1">TblProd[[#This Row],[Lumber]]*lumber_rot * (1 + tech_2_1*TblTech[[#This Row],[2-1]] + tech_2_8*TblTech[[#This Row],[2-8]] + tech_5_2*TblTech[[#This Row],[5-2]])</f>
        <v>39.020000000000003</v>
      </c>
      <c r="AR64" s="97">
        <f ca="1">TblProd[[#This Row],[Mana]]*mana_drain * (1 + tech_2_1*TblTech[[#This Row],[2-1]] + tech_2_8*TblTech[[#This Row],[2-8]])</f>
        <v>154.15</v>
      </c>
      <c r="AS64" s="157"/>
      <c r="AT64" s="97">
        <f ca="1">TblExplore[[#This Row],[Platinum (2)]]+TblConstr[[#This Row],[Total Plat Cost]]+TblMili[[#This Row],[Plat Cost]]+TblRezone[[#This Row],[Platinum cost]]+TblImps[[#This Row],[P1]]-TblProd[[#This Row],[Bank Plat]]</f>
        <v>815154</v>
      </c>
      <c r="AU64" s="97">
        <f ca="1">TblConstr[[#This Row],[Total Lum Cost]]+TblImps[[#This Row],[L1]]-TblProd[[#This Row],[Bank Lumber]] + Military!$CL$25*TblMili[[#This Row],[Sec. rec. Cost]]</f>
        <v>6000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45432.249999999854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12986</v>
      </c>
      <c r="BJ64" s="97">
        <f ca="1">TblProd[[#This Row],[Food]]</f>
        <v>1373</v>
      </c>
      <c r="BK64" s="97">
        <f ca="1">TblProd[[#This Row],[Lumber]]</f>
        <v>3902</v>
      </c>
      <c r="BL64" s="97">
        <f ca="1">TblProd[[#This Row],[Mana]]</f>
        <v>7707.5</v>
      </c>
      <c r="BM64" s="97">
        <f ca="1">TblProd[[#This Row],[Ore]]</f>
        <v>0</v>
      </c>
    </row>
    <row r="65" spans="1:65" x14ac:dyDescent="0.2">
      <c r="A65" s="140">
        <v>62</v>
      </c>
      <c r="B65" s="155">
        <f ca="1">TblImps[[#This Row],[Time]]</f>
        <v>45432.291666666519</v>
      </c>
      <c r="C65" s="156"/>
      <c r="D65" s="157"/>
      <c r="E65" s="97">
        <f ca="1">TblConstr[[#This Row],[Land]]</f>
        <v>700</v>
      </c>
      <c r="F65" s="97">
        <f ca="1">TblPop[[#This Row],[Peasants]]</f>
        <v>10135</v>
      </c>
      <c r="G65" s="97">
        <f ca="1">TblMili[[#This Row],[Networth (2)]]</f>
        <v>16910</v>
      </c>
      <c r="H65" s="97">
        <f ca="1">OFFSET(TblProd[[#This Row],[Platinum]],-1,0)+OFFSET(TblProd[[#This Row],[Plat/hr]],-1,0) - TblProd[[#This Row],[Expenses Platinum]] + IF(TblProd[[#This Row],[Plat Bonus]],TblPop[[#This Row],[Peasants]]*4) + SUM(TblConstr[[#This Row],[Dest Hom]:[Dest Doc]])*TblConstr[[#This Row],[CPA Platinum -DB]]*tech_3_3_2*TblTech[[#This Row],[3-3]]</f>
        <v>55184</v>
      </c>
      <c r="I65" s="97">
        <f ca="1">OFFSET(TblProd[[#This Row],[Food]],-1,0)+OFFSET(TblProd[[#This Row],[Food/hr]],-1,0)+ROUNDUP((TblConstr[[#This Row],[Farms]]*80+TblConstr[[#This Row],[Docks]]*35)*(1+OFFSET(TblProd[[#This Row],[Bonus Food/hr]],-1,0)),0)</f>
        <v>721</v>
      </c>
      <c r="J65" s="97">
        <f ca="1">OFFSET(TblProd[[#This Row],[Lumber]],-1,0)+OFFSET(TblProd[[#This Row],[Lumber/hr]],-1,0) - TblProd[[#This Row],[Expenses Lumber]] + SUM(TblConstr[[#This Row],[Dest Hom]:[Dest Doc]])*TblConstr[[#This Row],[CPA Lumber -DB]]*tech_3_3_2*TblTech[[#This Row],[3-3]]</f>
        <v>4003</v>
      </c>
      <c r="K65" s="97">
        <f ca="1">OFFSET(TblProd[[#This Row],[Mana]],-1,0)+OFFSET(TblProd[[#This Row],[Mana/hr]],-1,0)- TblProd[[#This Row],[Expenses Mana]]</f>
        <v>4678.5</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15.05</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5" s="97">
        <f ca="1">MAX(3750,_xlfn.CEILING.MATH(TblProd[[#This Row],[Land]]*2.5+OFFSET(TblTech[[#This Row],[Sum of tech]],-1,0)*150))</f>
        <v>3750</v>
      </c>
      <c r="R65" s="145"/>
      <c r="S65" s="97">
        <f ca="1">ROUNDDOWN(TblProd[[#This Row],[Raw Plat/hr]]*(1+TblProd[[#This Row],[Bonus Plat/hr]]),0)</f>
        <v>47645</v>
      </c>
      <c r="T65" s="97">
        <f ca="1">ROUND(TblProd[[#This Row],[Raw Food/hr]]*(1+TblProd[[#This Row],[Bonus Food/hr]])-TblProd[[#This Row],[Food decay]]-TblProd[[#This Row],[Food eaten]],0)</f>
        <v>-616</v>
      </c>
      <c r="U65" s="97">
        <f ca="1">ROUND(TblProd[[#This Row],[Raw Lumber/hr]]*(1+TblProd[[#This Row],[Bonus Lumber/hr]])-TblProd[[#This Row],[Lumber rot]],0)</f>
        <v>1085</v>
      </c>
      <c r="V65" s="97">
        <f ca="1">ROUND(TblProd[[#This Row],[Raw Mana/hr]]*(1+TblProd[[#This Row],[Bonus Mana/hr]])-TblProd[[#This Row],[Mana drain]],0)</f>
        <v>531</v>
      </c>
      <c r="W65" s="97">
        <f ca="1">ROUNDDOWN(TblProd[[#This Row],[Raw Ore/hr]]*(1+TblProd[[#This Row],[Bonux Ore/hr]]),0)</f>
        <v>0</v>
      </c>
      <c r="X65" s="97">
        <f ca="1">ROUNDDOWN(TblProd[[#This Row],[Raw Gems/hr]]*(1+TblProd[[#This Row],[Bonus Gems/hr]]),0)</f>
        <v>0</v>
      </c>
      <c r="Y65" s="158">
        <f ca="1">OFFSET(TblConstr[[#This Row],[Tot Doc]],1,0)*dock_boats_hr * (1 + tech_4_1*TblTech[[#This Row],[4-1]])</f>
        <v>1.2000000000000002</v>
      </c>
      <c r="Z65" s="157"/>
      <c r="AA65" s="97">
        <f ca="1">TblPop[[#This Row],[Peasants]]*tax*TblPop[[#This Row],[Employment]] + (Construction!AZ66+Construction!BX66)*(alch_plat+(Magic!AM65&gt;0)*alchemist_flame_bonus)</f>
        <v>43314.5</v>
      </c>
      <c r="AB65" s="97">
        <f ca="1">TblConstr[[#This Row],[Tot Farm]]*farm_food + TblConstr[[#This Row],[Tot Doc]]*dock_food</f>
        <v>2320</v>
      </c>
      <c r="AC65" s="97">
        <f ca="1">TblConstr[[#This Row],[Tot Ly]]*ly_lumber + TblConstr[[#This Row],[Tot Hav]]*fh_lumber</f>
        <v>1250</v>
      </c>
      <c r="AD65" s="97">
        <f ca="1">OFFSET(TblConstr[[#This Row],[Tot Tow]],1,0)*(tower_mana + tech_4_5*TblTech[[#This Row],[4-5]]) + OFFSET(TblConstr[[#This Row],[Tot WG]],1,0)*wg_mana_prod</f>
        <v>625</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0.1</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5" s="159">
        <f ca="1">race_lumber_bonus+ IF(TblMagic[[#This Row],[Active Gaia''s Blessing]]&gt;0,gaias_blessing_lumber)+ tech_1_3*TblTech[[#This Row],[1-3]] + tech_1_6*TblTech[[#This Row],[1-6]] + tech_3_3*TblTech[[#This Row],[3-3]]</f>
        <v>-0.1</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0.15</v>
      </c>
      <c r="AN65" s="145"/>
      <c r="AO65" s="97">
        <f ca="1">TblProd[[#This Row],[Food]]*food_decay * (1 + tech_2_1*TblTech[[#This Row],[2-1]] + tech_2_8*TblTech[[#This Row],[2-8]])</f>
        <v>7.21</v>
      </c>
      <c r="AP65" s="97">
        <f ca="1">(1+race_food_consumption)*TblPop[[#This Row],[Total]]*food_per_person*(1+tech_1_10*TblTech[[#This Row],[1-10]]+tech_7_5*TblTech[[#This Row],[7-5]])</f>
        <v>2986.5</v>
      </c>
      <c r="AQ65" s="97">
        <f ca="1">TblProd[[#This Row],[Lumber]]*lumber_rot * (1 + tech_2_1*TblTech[[#This Row],[2-1]] + tech_2_8*TblTech[[#This Row],[2-8]] + tech_5_2*TblTech[[#This Row],[5-2]])</f>
        <v>40.03</v>
      </c>
      <c r="AR65" s="97">
        <f ca="1">TblProd[[#This Row],[Mana]]*mana_drain * (1 + tech_2_1*TblTech[[#This Row],[2-1]] + tech_2_8*TblTech[[#This Row],[2-8]])</f>
        <v>93.570000000000007</v>
      </c>
      <c r="AS65" s="157"/>
      <c r="AT65" s="97">
        <f ca="1">TblExplore[[#This Row],[Platinum (2)]]+TblConstr[[#This Row],[Total Plat Cost]]+TblMili[[#This Row],[Plat Cost]]+TblRezone[[#This Row],[Platinum cost]]+TblImps[[#This Row],[P1]]-TblProd[[#This Row],[Bank Plat]]</f>
        <v>5750</v>
      </c>
      <c r="AU65" s="97">
        <f ca="1">TblConstr[[#This Row],[Total Lum Cost]]+TblImps[[#This Row],[L1]]-TblProd[[#This Row],[Bank Lumber]] + Military!$CL$25*TblMili[[#This Row],[Sec. rec. Cost]]</f>
        <v>985</v>
      </c>
      <c r="AV65" s="97">
        <f ca="1">TblMagic[[#This Row],[Mana cost]] + Military!$CL$26*TblMili[[#This Row],[Sec. rec. Cost]]</f>
        <v>3500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45432.291666666519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55184</v>
      </c>
      <c r="BJ65" s="97">
        <f ca="1">TblProd[[#This Row],[Food]]</f>
        <v>721</v>
      </c>
      <c r="BK65" s="97">
        <f ca="1">TblProd[[#This Row],[Lumber]]</f>
        <v>4003</v>
      </c>
      <c r="BL65" s="97">
        <f ca="1">TblProd[[#This Row],[Mana]]</f>
        <v>4678.5</v>
      </c>
      <c r="BM65" s="97">
        <f ca="1">TblProd[[#This Row],[Ore]]</f>
        <v>0</v>
      </c>
    </row>
    <row r="66" spans="1:65" x14ac:dyDescent="0.2">
      <c r="A66" s="140">
        <v>63</v>
      </c>
      <c r="B66" s="155">
        <f ca="1">TblImps[[#This Row],[Time]]</f>
        <v>45432.333333333183</v>
      </c>
      <c r="C66" s="156"/>
      <c r="D66" s="157"/>
      <c r="E66" s="97">
        <f ca="1">TblConstr[[#This Row],[Land]]</f>
        <v>700</v>
      </c>
      <c r="F66" s="97">
        <f ca="1">TblPop[[#This Row],[Peasants]]</f>
        <v>10034</v>
      </c>
      <c r="G66" s="97">
        <f ca="1">TblMili[[#This Row],[Networth (2)]]</f>
        <v>16955</v>
      </c>
      <c r="H66" s="97">
        <f ca="1">OFFSET(TblProd[[#This Row],[Platinum]],-1,0)+OFFSET(TblProd[[#This Row],[Plat/hr]],-1,0) - TblProd[[#This Row],[Expenses Platinum]] + IF(TblProd[[#This Row],[Plat Bonus]],TblPop[[#This Row],[Peasants]]*4) + SUM(TblConstr[[#This Row],[Dest Hom]:[Dest Doc]])*TblConstr[[#This Row],[CPA Platinum -DB]]*tech_3_3_2*TblTech[[#This Row],[3-3]]</f>
        <v>96824</v>
      </c>
      <c r="I66" s="97">
        <f ca="1">OFFSET(TblProd[[#This Row],[Food]],-1,0)+OFFSET(TblProd[[#This Row],[Food/hr]],-1,0)+ROUNDUP((TblConstr[[#This Row],[Farms]]*80+TblConstr[[#This Row],[Docks]]*35)*(1+OFFSET(TblProd[[#This Row],[Bonus Food/hr]],-1,0)),0)</f>
        <v>884</v>
      </c>
      <c r="J66" s="97">
        <f ca="1">OFFSET(TblProd[[#This Row],[Lumber]],-1,0)+OFFSET(TblProd[[#This Row],[Lumber/hr]],-1,0) - TblProd[[#This Row],[Expenses Lumber]] + SUM(TblConstr[[#This Row],[Dest Hom]:[Dest Doc]])*TblConstr[[#This Row],[CPA Lumber -DB]]*tech_3_3_2*TblTech[[#This Row],[3-3]]</f>
        <v>4063</v>
      </c>
      <c r="K66" s="97">
        <f ca="1">OFFSET(TblProd[[#This Row],[Mana]],-1,0)+OFFSET(TblProd[[#This Row],[Mana/hr]],-1,0)- TblProd[[#This Row],[Expenses Mana]]</f>
        <v>5209.5</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16.25</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6" s="97">
        <f ca="1">MAX(3750,_xlfn.CEILING.MATH(TblProd[[#This Row],[Land]]*2.5+OFFSET(TblTech[[#This Row],[Sum of tech]],-1,0)*150))</f>
        <v>3750</v>
      </c>
      <c r="R66" s="145"/>
      <c r="S66" s="97">
        <f ca="1">ROUNDDOWN(TblProd[[#This Row],[Raw Plat/hr]]*(1+TblProd[[#This Row],[Bonus Plat/hr]]),0)</f>
        <v>47345</v>
      </c>
      <c r="T66" s="97">
        <f ca="1">ROUND(TblProd[[#This Row],[Raw Food/hr]]*(1+TblProd[[#This Row],[Bonus Food/hr]])-TblProd[[#This Row],[Food decay]]-TblProd[[#This Row],[Food eaten]],0)</f>
        <v>203</v>
      </c>
      <c r="U66" s="97">
        <f ca="1">ROUND(TblProd[[#This Row],[Raw Lumber/hr]]*(1+TblProd[[#This Row],[Bonus Lumber/hr]])-TblProd[[#This Row],[Lumber rot]],0)</f>
        <v>1084</v>
      </c>
      <c r="V66" s="97">
        <f ca="1">ROUND(TblProd[[#This Row],[Raw Mana/hr]]*(1+TblProd[[#This Row],[Bonus Mana/hr]])-TblProd[[#This Row],[Mana drain]],0)</f>
        <v>521</v>
      </c>
      <c r="W66" s="97">
        <f ca="1">ROUNDDOWN(TblProd[[#This Row],[Raw Ore/hr]]*(1+TblProd[[#This Row],[Bonux Ore/hr]]),0)</f>
        <v>0</v>
      </c>
      <c r="X66" s="97">
        <f ca="1">ROUNDDOWN(TblProd[[#This Row],[Raw Gems/hr]]*(1+TblProd[[#This Row],[Bonus Gems/hr]]),0)</f>
        <v>0</v>
      </c>
      <c r="Y66" s="158">
        <f ca="1">OFFSET(TblConstr[[#This Row],[Tot Doc]],1,0)*dock_boats_hr * (1 + tech_4_1*TblTech[[#This Row],[4-1]])</f>
        <v>1.2000000000000002</v>
      </c>
      <c r="Z66" s="157"/>
      <c r="AA66" s="97">
        <f ca="1">TblPop[[#This Row],[Peasants]]*tax*TblPop[[#This Row],[Employment]] + (Construction!AZ67+Construction!BX67)*(alch_plat+(Magic!AM66&gt;0)*alchemist_flame_bonus)</f>
        <v>43041.8</v>
      </c>
      <c r="AB66" s="97">
        <f ca="1">TblConstr[[#This Row],[Tot Farm]]*farm_food + TblConstr[[#This Row],[Tot Doc]]*dock_food</f>
        <v>3120</v>
      </c>
      <c r="AC66" s="97">
        <f ca="1">TblConstr[[#This Row],[Tot Ly]]*ly_lumber + TblConstr[[#This Row],[Tot Hav]]*fh_lumber</f>
        <v>1250</v>
      </c>
      <c r="AD66" s="97">
        <f ca="1">OFFSET(TblConstr[[#This Row],[Tot Tow]],1,0)*(tower_mana + tech_4_5*TblTech[[#This Row],[4-5]]) + OFFSET(TblConstr[[#This Row],[Tot WG]],1,0)*wg_mana_prod</f>
        <v>625</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0.1</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6" s="159">
        <f ca="1">race_lumber_bonus+ IF(TblMagic[[#This Row],[Active Gaia''s Blessing]]&gt;0,gaias_blessing_lumber)+ tech_1_3*TblTech[[#This Row],[1-3]] + tech_1_6*TblTech[[#This Row],[1-6]] + tech_3_3*TblTech[[#This Row],[3-3]]</f>
        <v>-0.1</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0.15</v>
      </c>
      <c r="AN66" s="145"/>
      <c r="AO66" s="97">
        <f ca="1">TblProd[[#This Row],[Food]]*food_decay * (1 + tech_2_1*TblTech[[#This Row],[2-1]] + tech_2_8*TblTech[[#This Row],[2-8]])</f>
        <v>8.84</v>
      </c>
      <c r="AP66" s="97">
        <f ca="1">(1+race_food_consumption)*TblPop[[#This Row],[Total]]*food_per_person*(1+tech_1_10*TblTech[[#This Row],[1-10]]+tech_7_5*TblTech[[#This Row],[7-5]])</f>
        <v>2986.5</v>
      </c>
      <c r="AQ66" s="97">
        <f ca="1">TblProd[[#This Row],[Lumber]]*lumber_rot * (1 + tech_2_1*TblTech[[#This Row],[2-1]] + tech_2_8*TblTech[[#This Row],[2-8]] + tech_5_2*TblTech[[#This Row],[5-2]])</f>
        <v>40.630000000000003</v>
      </c>
      <c r="AR66" s="97">
        <f ca="1">TblProd[[#This Row],[Mana]]*mana_drain * (1 + tech_2_1*TblTech[[#This Row],[2-1]] + tech_2_8*TblTech[[#This Row],[2-8]])</f>
        <v>104.19</v>
      </c>
      <c r="AS66" s="157"/>
      <c r="AT66" s="97">
        <f ca="1">TblExplore[[#This Row],[Platinum (2)]]+TblConstr[[#This Row],[Total Plat Cost]]+TblMili[[#This Row],[Plat Cost]]+TblRezone[[#This Row],[Platinum cost]]+TblImps[[#This Row],[P1]]-TblProd[[#This Row],[Bank Plat]]</f>
        <v>6005</v>
      </c>
      <c r="AU66" s="97">
        <f ca="1">TblConstr[[#This Row],[Total Lum Cost]]+TblImps[[#This Row],[L1]]-TblProd[[#This Row],[Bank Lumber]] + Military!$CL$25*TblMili[[#This Row],[Sec. rec. Cost]]</f>
        <v>1025</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45432.333333333183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96824</v>
      </c>
      <c r="BJ66" s="97">
        <f ca="1">TblProd[[#This Row],[Food]]</f>
        <v>884</v>
      </c>
      <c r="BK66" s="97">
        <f ca="1">TblProd[[#This Row],[Lumber]]</f>
        <v>4063</v>
      </c>
      <c r="BL66" s="97">
        <f ca="1">TblProd[[#This Row],[Mana]]</f>
        <v>5209.5</v>
      </c>
      <c r="BM66" s="97">
        <f ca="1">TblProd[[#This Row],[Ore]]</f>
        <v>0</v>
      </c>
    </row>
    <row r="67" spans="1:65" x14ac:dyDescent="0.2">
      <c r="A67" s="140">
        <v>64</v>
      </c>
      <c r="B67" s="155">
        <f ca="1">TblImps[[#This Row],[Time]]</f>
        <v>45432.374999999847</v>
      </c>
      <c r="C67" s="156"/>
      <c r="D67" s="157"/>
      <c r="E67" s="97">
        <f ca="1">TblConstr[[#This Row],[Land]]</f>
        <v>700</v>
      </c>
      <c r="F67" s="97">
        <f ca="1">TblPop[[#This Row],[Peasants]]</f>
        <v>10153</v>
      </c>
      <c r="G67" s="97">
        <f ca="1">TblMili[[#This Row],[Networth (2)]]</f>
        <v>17010</v>
      </c>
      <c r="H67" s="97">
        <f ca="1">OFFSET(TblProd[[#This Row],[Platinum]],-1,0)+OFFSET(TblProd[[#This Row],[Plat/hr]],-1,0) - TblProd[[#This Row],[Expenses Platinum]] + IF(TblProd[[#This Row],[Plat Bonus]],TblPop[[#This Row],[Peasants]]*4) + SUM(TblConstr[[#This Row],[Dest Hom]:[Dest Doc]])*TblConstr[[#This Row],[CPA Platinum -DB]]*tech_3_3_2*TblTech[[#This Row],[3-3]]</f>
        <v>7459</v>
      </c>
      <c r="I67" s="97">
        <f ca="1">OFFSET(TblProd[[#This Row],[Food]],-1,0)+OFFSET(TblProd[[#This Row],[Food/hr]],-1,0)+ROUNDUP((TblConstr[[#This Row],[Farms]]*80+TblConstr[[#This Row],[Docks]]*35)*(1+OFFSET(TblProd[[#This Row],[Bonus Food/hr]],-1,0)),0)</f>
        <v>1251</v>
      </c>
      <c r="J67" s="97">
        <f ca="1">OFFSET(TblProd[[#This Row],[Lumber]],-1,0)+OFFSET(TblProd[[#This Row],[Lumber/hr]],-1,0) - TblProd[[#This Row],[Expenses Lumber]] + SUM(TblConstr[[#This Row],[Dest Hom]:[Dest Doc]])*TblConstr[[#This Row],[CPA Lumber -DB]]*tech_3_3_2*TblTech[[#This Row],[3-3]]</f>
        <v>4723</v>
      </c>
      <c r="K67" s="97">
        <f ca="1">OFFSET(TblProd[[#This Row],[Mana]],-1,0)+OFFSET(TblProd[[#This Row],[Mana/hr]],-1,0)- TblProd[[#This Row],[Expenses Mana]]</f>
        <v>3980.5</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17.45</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7" s="97">
        <f ca="1">MAX(3750,_xlfn.CEILING.MATH(TblProd[[#This Row],[Land]]*2.5+OFFSET(TblTech[[#This Row],[Sum of tech]],-1,0)*150))</f>
        <v>3750</v>
      </c>
      <c r="R67" s="145"/>
      <c r="S67" s="97">
        <f ca="1">ROUNDDOWN(TblProd[[#This Row],[Raw Plat/hr]]*(1+TblProd[[#This Row],[Bonus Plat/hr]]),0)</f>
        <v>47699</v>
      </c>
      <c r="T67" s="97">
        <f ca="1">ROUND(TblProd[[#This Row],[Raw Food/hr]]*(1+TblProd[[#This Row],[Bonus Food/hr]])-TblProd[[#This Row],[Food decay]]-TblProd[[#This Row],[Food eaten]],0)</f>
        <v>308</v>
      </c>
      <c r="U67" s="97">
        <f ca="1">ROUND(TblProd[[#This Row],[Raw Lumber/hr]]*(1+TblProd[[#This Row],[Bonus Lumber/hr]])-TblProd[[#This Row],[Lumber rot]],0)</f>
        <v>1078</v>
      </c>
      <c r="V67" s="97">
        <f ca="1">ROUND(TblProd[[#This Row],[Raw Mana/hr]]*(1+TblProd[[#This Row],[Bonus Mana/hr]])-TblProd[[#This Row],[Mana drain]],0)</f>
        <v>545</v>
      </c>
      <c r="W67" s="97">
        <f ca="1">ROUNDDOWN(TblProd[[#This Row],[Raw Ore/hr]]*(1+TblProd[[#This Row],[Bonux Ore/hr]]),0)</f>
        <v>0</v>
      </c>
      <c r="X67" s="97">
        <f ca="1">ROUNDDOWN(TblProd[[#This Row],[Raw Gems/hr]]*(1+TblProd[[#This Row],[Bonus Gems/hr]]),0)</f>
        <v>0</v>
      </c>
      <c r="Y67" s="158">
        <f ca="1">OFFSET(TblConstr[[#This Row],[Tot Doc]],1,0)*dock_boats_hr * (1 + tech_4_1*TblTech[[#This Row],[4-1]])</f>
        <v>1.2000000000000002</v>
      </c>
      <c r="Z67" s="157"/>
      <c r="AA67" s="97">
        <f ca="1">TblPop[[#This Row],[Peasants]]*tax*TblPop[[#This Row],[Employment]] + (Construction!AZ68+Construction!BX68)*(alch_plat+(Magic!AM67&gt;0)*alchemist_flame_bonus)</f>
        <v>43363.100000000006</v>
      </c>
      <c r="AB67" s="97">
        <f ca="1">TblConstr[[#This Row],[Tot Farm]]*farm_food + TblConstr[[#This Row],[Tot Doc]]*dock_food</f>
        <v>3280</v>
      </c>
      <c r="AC67" s="97">
        <f ca="1">TblConstr[[#This Row],[Tot Ly]]*ly_lumber + TblConstr[[#This Row],[Tot Hav]]*fh_lumber</f>
        <v>1250</v>
      </c>
      <c r="AD67" s="97">
        <f ca="1">OFFSET(TblConstr[[#This Row],[Tot Tow]],1,0)*(tower_mana + tech_4_5*TblTech[[#This Row],[4-5]]) + OFFSET(TblConstr[[#This Row],[Tot WG]],1,0)*wg_mana_prod</f>
        <v>625</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0.1</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7" s="159">
        <f ca="1">race_lumber_bonus+ IF(TblMagic[[#This Row],[Active Gaia''s Blessing]]&gt;0,gaias_blessing_lumber)+ tech_1_3*TblTech[[#This Row],[1-3]] + tech_1_6*TblTech[[#This Row],[1-6]] + tech_3_3*TblTech[[#This Row],[3-3]]</f>
        <v>-0.1</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0.15</v>
      </c>
      <c r="AN67" s="145"/>
      <c r="AO67" s="97">
        <f ca="1">TblProd[[#This Row],[Food]]*food_decay * (1 + tech_2_1*TblTech[[#This Row],[2-1]] + tech_2_8*TblTech[[#This Row],[2-8]])</f>
        <v>12.51</v>
      </c>
      <c r="AP67" s="97">
        <f ca="1">(1+race_food_consumption)*TblPop[[#This Row],[Total]]*food_per_person*(1+tech_1_10*TblTech[[#This Row],[1-10]]+tech_7_5*TblTech[[#This Row],[7-5]])</f>
        <v>3041.25</v>
      </c>
      <c r="AQ67" s="97">
        <f ca="1">TblProd[[#This Row],[Lumber]]*lumber_rot * (1 + tech_2_1*TblTech[[#This Row],[2-1]] + tech_2_8*TblTech[[#This Row],[2-8]] + tech_5_2*TblTech[[#This Row],[5-2]])</f>
        <v>47.230000000000004</v>
      </c>
      <c r="AR67" s="97">
        <f ca="1">TblProd[[#This Row],[Mana]]*mana_drain * (1 + tech_2_1*TblTech[[#This Row],[2-1]] + tech_2_8*TblTech[[#This Row],[2-8]])</f>
        <v>79.61</v>
      </c>
      <c r="AS67" s="157"/>
      <c r="AT67" s="97">
        <f ca="1">TblExplore[[#This Row],[Platinum (2)]]+TblConstr[[#This Row],[Total Plat Cost]]+TblMili[[#This Row],[Plat Cost]]+TblRezone[[#This Row],[Platinum cost]]+TblImps[[#This Row],[P1]]-TblProd[[#This Row],[Bank Plat]]</f>
        <v>136710</v>
      </c>
      <c r="AU67" s="97">
        <f ca="1">TblConstr[[#This Row],[Total Lum Cost]]+TblImps[[#This Row],[L1]]-TblProd[[#This Row],[Bank Lumber]] + Military!$CL$25*TblMili[[#This Row],[Sec. rec. Cost]]</f>
        <v>424</v>
      </c>
      <c r="AV67" s="97">
        <f ca="1">TblMagic[[#This Row],[Mana cost]] + Military!$CL$26*TblMili[[#This Row],[Sec. rec. Cost]]</f>
        <v>1750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45432.374999999847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7459</v>
      </c>
      <c r="BJ67" s="97">
        <f ca="1">TblProd[[#This Row],[Food]]</f>
        <v>1251</v>
      </c>
      <c r="BK67" s="97">
        <f ca="1">TblProd[[#This Row],[Lumber]]</f>
        <v>4723</v>
      </c>
      <c r="BL67" s="97">
        <f ca="1">TblProd[[#This Row],[Mana]]</f>
        <v>3980.5</v>
      </c>
      <c r="BM67" s="97">
        <f ca="1">TblProd[[#This Row],[Ore]]</f>
        <v>0</v>
      </c>
    </row>
    <row r="68" spans="1:65" x14ac:dyDescent="0.2">
      <c r="A68" s="140">
        <v>65</v>
      </c>
      <c r="B68" s="155">
        <f ca="1">TblImps[[#This Row],[Time]]</f>
        <v>45432.416666666511</v>
      </c>
      <c r="C68" s="156"/>
      <c r="D68" s="157"/>
      <c r="E68" s="97">
        <f ca="1">TblConstr[[#This Row],[Land]]</f>
        <v>700</v>
      </c>
      <c r="F68" s="97">
        <f ca="1">TblPop[[#This Row],[Peasants]]</f>
        <v>10269</v>
      </c>
      <c r="G68" s="97">
        <f ca="1">TblMili[[#This Row],[Networth (2)]]</f>
        <v>17065</v>
      </c>
      <c r="H68" s="97">
        <f ca="1">OFFSET(TblProd[[#This Row],[Platinum]],-1,0)+OFFSET(TblProd[[#This Row],[Plat/hr]],-1,0) - TblProd[[#This Row],[Expenses Platinum]] + IF(TblProd[[#This Row],[Plat Bonus]],TblPop[[#This Row],[Peasants]]*4) + SUM(TblConstr[[#This Row],[Dest Hom]:[Dest Doc]])*TblConstr[[#This Row],[CPA Platinum -DB]]*tech_3_3_2*TblTech[[#This Row],[3-3]]</f>
        <v>36150</v>
      </c>
      <c r="I68" s="97">
        <f ca="1">OFFSET(TblProd[[#This Row],[Food]],-1,0)+OFFSET(TblProd[[#This Row],[Food/hr]],-1,0)+ROUNDUP((TblConstr[[#This Row],[Farms]]*80+TblConstr[[#This Row],[Docks]]*35)*(1+OFFSET(TblProd[[#This Row],[Bonus Food/hr]],-1,0)),0)</f>
        <v>1559</v>
      </c>
      <c r="J68" s="97">
        <f ca="1">OFFSET(TblProd[[#This Row],[Lumber]],-1,0)+OFFSET(TblProd[[#This Row],[Lumber/hr]],-1,0) - TblProd[[#This Row],[Expenses Lumber]] + SUM(TblConstr[[#This Row],[Dest Hom]:[Dest Doc]])*TblConstr[[#This Row],[CPA Lumber -DB]]*tech_3_3_2*TblTech[[#This Row],[3-3]]</f>
        <v>5801</v>
      </c>
      <c r="K68" s="97">
        <f ca="1">OFFSET(TblProd[[#This Row],[Mana]],-1,0)+OFFSET(TblProd[[#This Row],[Mana/hr]],-1,0)- TblProd[[#This Row],[Expenses Mana]]</f>
        <v>4525.5</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18.649999999999999</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8" s="97">
        <f ca="1">MAX(3750,_xlfn.CEILING.MATH(TblProd[[#This Row],[Land]]*2.5+OFFSET(TblTech[[#This Row],[Sum of tech]],-1,0)*150))</f>
        <v>3750</v>
      </c>
      <c r="R68" s="145"/>
      <c r="S68" s="97">
        <f ca="1">ROUNDDOWN(TblProd[[#This Row],[Raw Plat/hr]]*(1+TblProd[[#This Row],[Bonus Plat/hr]]),0)</f>
        <v>48043</v>
      </c>
      <c r="T68" s="97">
        <f ca="1">ROUND(TblProd[[#This Row],[Raw Food/hr]]*(1+TblProd[[#This Row],[Bonus Food/hr]])-TblProd[[#This Row],[Food decay]]-TblProd[[#This Row],[Food eaten]],0)</f>
        <v>251</v>
      </c>
      <c r="U68" s="97">
        <f ca="1">ROUND(TblProd[[#This Row],[Raw Lumber/hr]]*(1+TblProd[[#This Row],[Bonus Lumber/hr]])-TblProd[[#This Row],[Lumber rot]],0)</f>
        <v>1067</v>
      </c>
      <c r="V68" s="97">
        <f ca="1">ROUND(TblProd[[#This Row],[Raw Mana/hr]]*(1+TblProd[[#This Row],[Bonus Mana/hr]])-TblProd[[#This Row],[Mana drain]],0)</f>
        <v>534</v>
      </c>
      <c r="W68" s="97">
        <f ca="1">ROUNDDOWN(TblProd[[#This Row],[Raw Ore/hr]]*(1+TblProd[[#This Row],[Bonux Ore/hr]]),0)</f>
        <v>0</v>
      </c>
      <c r="X68" s="97">
        <f ca="1">ROUNDDOWN(TblProd[[#This Row],[Raw Gems/hr]]*(1+TblProd[[#This Row],[Bonus Gems/hr]]),0)</f>
        <v>0</v>
      </c>
      <c r="Y68" s="158">
        <f ca="1">OFFSET(TblConstr[[#This Row],[Tot Doc]],1,0)*dock_boats_hr * (1 + tech_4_1*TblTech[[#This Row],[4-1]])</f>
        <v>1.2000000000000002</v>
      </c>
      <c r="Z68" s="157"/>
      <c r="AA68" s="97">
        <f ca="1">TblPop[[#This Row],[Peasants]]*tax*TblPop[[#This Row],[Employment]] + (Construction!AZ69+Construction!BX69)*(alch_plat+(Magic!AM68&gt;0)*alchemist_flame_bonus)</f>
        <v>43676.3</v>
      </c>
      <c r="AB68" s="97">
        <f ca="1">TblConstr[[#This Row],[Tot Farm]]*farm_food + TblConstr[[#This Row],[Tot Doc]]*dock_food</f>
        <v>3280</v>
      </c>
      <c r="AC68" s="97">
        <f ca="1">TblConstr[[#This Row],[Tot Ly]]*ly_lumber + TblConstr[[#This Row],[Tot Hav]]*fh_lumber</f>
        <v>1250</v>
      </c>
      <c r="AD68" s="97">
        <f ca="1">OFFSET(TblConstr[[#This Row],[Tot Tow]],1,0)*(tower_mana + tech_4_5*TblTech[[#This Row],[4-5]]) + OFFSET(TblConstr[[#This Row],[Tot WG]],1,0)*wg_mana_prod</f>
        <v>625</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0.1</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8" s="159">
        <f ca="1">race_lumber_bonus+ IF(TblMagic[[#This Row],[Active Gaia''s Blessing]]&gt;0,gaias_blessing_lumber)+ tech_1_3*TblTech[[#This Row],[1-3]] + tech_1_6*TblTech[[#This Row],[1-6]] + tech_3_3*TblTech[[#This Row],[3-3]]</f>
        <v>-0.1</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0.15</v>
      </c>
      <c r="AN68" s="145"/>
      <c r="AO68" s="97">
        <f ca="1">TblProd[[#This Row],[Food]]*food_decay * (1 + tech_2_1*TblTech[[#This Row],[2-1]] + tech_2_8*TblTech[[#This Row],[2-8]])</f>
        <v>15.59</v>
      </c>
      <c r="AP68" s="97">
        <f ca="1">(1+race_food_consumption)*TblPop[[#This Row],[Total]]*food_per_person*(1+tech_1_10*TblTech[[#This Row],[1-10]]+tech_7_5*TblTech[[#This Row],[7-5]])</f>
        <v>3095.75</v>
      </c>
      <c r="AQ68" s="97">
        <f ca="1">TblProd[[#This Row],[Lumber]]*lumber_rot * (1 + tech_2_1*TblTech[[#This Row],[2-1]] + tech_2_8*TblTech[[#This Row],[2-8]] + tech_5_2*TblTech[[#This Row],[5-2]])</f>
        <v>58.01</v>
      </c>
      <c r="AR68" s="97">
        <f ca="1">TblProd[[#This Row],[Mana]]*mana_drain * (1 + tech_2_1*TblTech[[#This Row],[2-1]] + tech_2_8*TblTech[[#This Row],[2-8]])</f>
        <v>90.51</v>
      </c>
      <c r="AS68" s="157"/>
      <c r="AT68" s="97">
        <f ca="1">TblExplore[[#This Row],[Platinum (2)]]+TblConstr[[#This Row],[Total Plat Cost]]+TblMili[[#This Row],[Plat Cost]]+TblRezone[[#This Row],[Platinum cost]]+TblImps[[#This Row],[P1]]-TblProd[[#This Row],[Bank Plat]]</f>
        <v>19008</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45432.416666666511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36150</v>
      </c>
      <c r="BJ68" s="97">
        <f ca="1">TblProd[[#This Row],[Food]]</f>
        <v>1559</v>
      </c>
      <c r="BK68" s="97">
        <f ca="1">TblProd[[#This Row],[Lumber]]</f>
        <v>5801</v>
      </c>
      <c r="BL68" s="97">
        <f ca="1">TblProd[[#This Row],[Mana]]</f>
        <v>4525.5</v>
      </c>
      <c r="BM68" s="97">
        <f ca="1">TblProd[[#This Row],[Ore]]</f>
        <v>0</v>
      </c>
    </row>
    <row r="69" spans="1:65" x14ac:dyDescent="0.2">
      <c r="A69" s="140">
        <v>66</v>
      </c>
      <c r="B69" s="155">
        <f ca="1">TblImps[[#This Row],[Time]]</f>
        <v>45432.458333333176</v>
      </c>
      <c r="C69" s="156"/>
      <c r="D69" s="157"/>
      <c r="E69" s="97">
        <f ca="1">TblConstr[[#This Row],[Land]]</f>
        <v>700</v>
      </c>
      <c r="F69" s="97">
        <f ca="1">TblPop[[#This Row],[Peasants]]</f>
        <v>10404</v>
      </c>
      <c r="G69" s="97">
        <f ca="1">TblMili[[#This Row],[Networth (2)]]</f>
        <v>17125</v>
      </c>
      <c r="H69" s="97">
        <f ca="1">OFFSET(TblProd[[#This Row],[Platinum]],-1,0)+OFFSET(TblProd[[#This Row],[Plat/hr]],-1,0) - TblProd[[#This Row],[Expenses Platinum]] + IF(TblProd[[#This Row],[Plat Bonus]],TblPop[[#This Row],[Peasants]]*4) + SUM(TblConstr[[#This Row],[Dest Hom]:[Dest Doc]])*TblConstr[[#This Row],[CPA Platinum -DB]]*tech_3_3_2*TblTech[[#This Row],[3-3]]</f>
        <v>64993</v>
      </c>
      <c r="I69" s="97">
        <f ca="1">OFFSET(TblProd[[#This Row],[Food]],-1,0)+OFFSET(TblProd[[#This Row],[Food/hr]],-1,0)+ROUNDUP((TblConstr[[#This Row],[Farms]]*80+TblConstr[[#This Row],[Docks]]*35)*(1+OFFSET(TblProd[[#This Row],[Bonus Food/hr]],-1,0)),0)</f>
        <v>1810</v>
      </c>
      <c r="J69" s="97">
        <f ca="1">OFFSET(TblProd[[#This Row],[Lumber]],-1,0)+OFFSET(TblProd[[#This Row],[Lumber/hr]],-1,0) - TblProd[[#This Row],[Expenses Lumber]] + SUM(TblConstr[[#This Row],[Dest Hom]:[Dest Doc]])*TblConstr[[#This Row],[CPA Lumber -DB]]*tech_3_3_2*TblTech[[#This Row],[3-3]]</f>
        <v>6868</v>
      </c>
      <c r="K69" s="97">
        <f ca="1">OFFSET(TblProd[[#This Row],[Mana]],-1,0)+OFFSET(TblProd[[#This Row],[Mana/hr]],-1,0)- TblProd[[#This Row],[Expenses Mana]]</f>
        <v>5059.5</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19.849999999999998</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9" s="97">
        <f ca="1">MAX(3750,_xlfn.CEILING.MATH(TblProd[[#This Row],[Land]]*2.5+OFFSET(TblTech[[#This Row],[Sum of tech]],-1,0)*150))</f>
        <v>3750</v>
      </c>
      <c r="R69" s="145"/>
      <c r="S69" s="97">
        <f ca="1">ROUNDDOWN(TblProd[[#This Row],[Raw Plat/hr]]*(1+TblProd[[#This Row],[Bonus Plat/hr]]),0)</f>
        <v>48444</v>
      </c>
      <c r="T69" s="97">
        <f ca="1">ROUND(TblProd[[#This Row],[Raw Food/hr]]*(1+TblProd[[#This Row],[Bonus Food/hr]])-TblProd[[#This Row],[Food decay]]-TblProd[[#This Row],[Food eaten]],0)</f>
        <v>189</v>
      </c>
      <c r="U69" s="97">
        <f ca="1">ROUND(TblProd[[#This Row],[Raw Lumber/hr]]*(1+TblProd[[#This Row],[Bonus Lumber/hr]])-TblProd[[#This Row],[Lumber rot]],0)</f>
        <v>1056</v>
      </c>
      <c r="V69" s="97">
        <f ca="1">ROUND(TblProd[[#This Row],[Raw Mana/hr]]*(1+TblProd[[#This Row],[Bonus Mana/hr]])-TblProd[[#This Row],[Mana drain]],0)</f>
        <v>624</v>
      </c>
      <c r="W69" s="97">
        <f ca="1">ROUNDDOWN(TblProd[[#This Row],[Raw Ore/hr]]*(1+TblProd[[#This Row],[Bonux Ore/hr]]),0)</f>
        <v>0</v>
      </c>
      <c r="X69" s="97">
        <f ca="1">ROUNDDOWN(TblProd[[#This Row],[Raw Gems/hr]]*(1+TblProd[[#This Row],[Bonus Gems/hr]]),0)</f>
        <v>0</v>
      </c>
      <c r="Y69" s="158">
        <f ca="1">OFFSET(TblConstr[[#This Row],[Tot Doc]],1,0)*dock_boats_hr * (1 + tech_4_1*TblTech[[#This Row],[4-1]])</f>
        <v>1.2000000000000002</v>
      </c>
      <c r="Z69" s="157"/>
      <c r="AA69" s="97">
        <f ca="1">TblPop[[#This Row],[Peasants]]*tax*TblPop[[#This Row],[Employment]] + (Construction!AZ70+Construction!BX70)*(alch_plat+(Magic!AM69&gt;0)*alchemist_flame_bonus)</f>
        <v>44040.800000000003</v>
      </c>
      <c r="AB69" s="97">
        <f ca="1">TblConstr[[#This Row],[Tot Farm]]*farm_food + TblConstr[[#This Row],[Tot Doc]]*dock_food</f>
        <v>3280</v>
      </c>
      <c r="AC69" s="97">
        <f ca="1">TblConstr[[#This Row],[Tot Ly]]*ly_lumber + TblConstr[[#This Row],[Tot Hav]]*fh_lumber</f>
        <v>1250</v>
      </c>
      <c r="AD69" s="97">
        <f ca="1">OFFSET(TblConstr[[#This Row],[Tot Tow]],1,0)*(tower_mana + tech_4_5*TblTech[[#This Row],[4-5]]) + OFFSET(TblConstr[[#This Row],[Tot WG]],1,0)*wg_mana_prod</f>
        <v>725</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0.1</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69" s="159">
        <f ca="1">race_lumber_bonus+ IF(TblMagic[[#This Row],[Active Gaia''s Blessing]]&gt;0,gaias_blessing_lumber)+ tech_1_3*TblTech[[#This Row],[1-3]] + tech_1_6*TblTech[[#This Row],[1-6]] + tech_3_3*TblTech[[#This Row],[3-3]]</f>
        <v>-0.1</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0.15</v>
      </c>
      <c r="AN69" s="145"/>
      <c r="AO69" s="97">
        <f ca="1">TblProd[[#This Row],[Food]]*food_decay * (1 + tech_2_1*TblTech[[#This Row],[2-1]] + tech_2_8*TblTech[[#This Row],[2-8]])</f>
        <v>18.100000000000001</v>
      </c>
      <c r="AP69" s="97">
        <f ca="1">(1+race_food_consumption)*TblPop[[#This Row],[Total]]*food_per_person*(1+tech_1_10*TblTech[[#This Row],[1-10]]+tech_7_5*TblTech[[#This Row],[7-5]])</f>
        <v>3155.25</v>
      </c>
      <c r="AQ69" s="97">
        <f ca="1">TblProd[[#This Row],[Lumber]]*lumber_rot * (1 + tech_2_1*TblTech[[#This Row],[2-1]] + tech_2_8*TblTech[[#This Row],[2-8]] + tech_5_2*TblTech[[#This Row],[5-2]])</f>
        <v>68.680000000000007</v>
      </c>
      <c r="AR69" s="97">
        <f ca="1">TblProd[[#This Row],[Mana]]*mana_drain * (1 + tech_2_1*TblTech[[#This Row],[2-1]] + tech_2_8*TblTech[[#This Row],[2-8]])</f>
        <v>101.19</v>
      </c>
      <c r="AS69" s="157"/>
      <c r="AT69" s="97">
        <f ca="1">TblExplore[[#This Row],[Platinum (2)]]+TblConstr[[#This Row],[Total Plat Cost]]+TblMili[[#This Row],[Plat Cost]]+TblRezone[[#This Row],[Platinum cost]]+TblImps[[#This Row],[P1]]-TblProd[[#This Row],[Bank Plat]]</f>
        <v>19200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45432.458333333176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64993</v>
      </c>
      <c r="BJ69" s="97">
        <f ca="1">TblProd[[#This Row],[Food]]</f>
        <v>1810</v>
      </c>
      <c r="BK69" s="97">
        <f ca="1">TblProd[[#This Row],[Lumber]]</f>
        <v>6868</v>
      </c>
      <c r="BL69" s="97">
        <f ca="1">TblProd[[#This Row],[Mana]]</f>
        <v>5059.5</v>
      </c>
      <c r="BM69" s="97">
        <f ca="1">TblProd[[#This Row],[Ore]]</f>
        <v>0</v>
      </c>
    </row>
    <row r="70" spans="1:65" x14ac:dyDescent="0.2">
      <c r="A70" s="140">
        <v>67</v>
      </c>
      <c r="B70" s="155">
        <f ca="1">TblImps[[#This Row],[Time]]</f>
        <v>45432.49999999984</v>
      </c>
      <c r="C70" s="156"/>
      <c r="D70" s="157"/>
      <c r="E70" s="97">
        <f ca="1">TblConstr[[#This Row],[Land]]</f>
        <v>700</v>
      </c>
      <c r="F70" s="97">
        <f ca="1">TblPop[[#This Row],[Peasants]]</f>
        <v>10380</v>
      </c>
      <c r="G70" s="97">
        <f ca="1">TblMili[[#This Row],[Networth (2)]]</f>
        <v>17165</v>
      </c>
      <c r="H70" s="97">
        <f ca="1">OFFSET(TblProd[[#This Row],[Platinum]],-1,0)+OFFSET(TblProd[[#This Row],[Plat/hr]],-1,0) - TblProd[[#This Row],[Expenses Platinum]] + IF(TblProd[[#This Row],[Plat Bonus]],TblPop[[#This Row],[Peasants]]*4) + SUM(TblConstr[[#This Row],[Dest Hom]:[Dest Doc]])*TblConstr[[#This Row],[CPA Platinum -DB]]*tech_3_3_2*TblTech[[#This Row],[3-3]]</f>
        <v>68189</v>
      </c>
      <c r="I70" s="97">
        <f ca="1">OFFSET(TblProd[[#This Row],[Food]],-1,0)+OFFSET(TblProd[[#This Row],[Food/hr]],-1,0)+ROUNDUP((TblConstr[[#This Row],[Farms]]*80+TblConstr[[#This Row],[Docks]]*35)*(1+OFFSET(TblProd[[#This Row],[Bonus Food/hr]],-1,0)),0)</f>
        <v>1999</v>
      </c>
      <c r="J70" s="97">
        <f ca="1">OFFSET(TblProd[[#This Row],[Lumber]],-1,0)+OFFSET(TblProd[[#This Row],[Lumber/hr]],-1,0) - TblProd[[#This Row],[Expenses Lumber]] + SUM(TblConstr[[#This Row],[Dest Hom]:[Dest Doc]])*TblConstr[[#This Row],[CPA Lumber -DB]]*tech_3_3_2*TblTech[[#This Row],[3-3]]</f>
        <v>7924</v>
      </c>
      <c r="K70" s="97">
        <f ca="1">OFFSET(TblProd[[#This Row],[Mana]],-1,0)+OFFSET(TblProd[[#This Row],[Mana/hr]],-1,0)- TblProd[[#This Row],[Expenses Mana]]</f>
        <v>5683.5</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21.049999999999997</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0" s="97">
        <f ca="1">MAX(3750,_xlfn.CEILING.MATH(TblProd[[#This Row],[Land]]*2.5+OFFSET(TblTech[[#This Row],[Sum of tech]],-1,0)*150))</f>
        <v>3750</v>
      </c>
      <c r="R70" s="145"/>
      <c r="S70" s="97">
        <f ca="1">ROUNDDOWN(TblProd[[#This Row],[Raw Plat/hr]]*(1+TblProd[[#This Row],[Bonus Plat/hr]]),0)</f>
        <v>48373</v>
      </c>
      <c r="T70" s="97">
        <f ca="1">ROUND(TblProd[[#This Row],[Raw Food/hr]]*(1+TblProd[[#This Row],[Bonus Food/hr]])-TblProd[[#This Row],[Food decay]]-TblProd[[#This Row],[Food eaten]],0)</f>
        <v>167</v>
      </c>
      <c r="U70" s="97">
        <f ca="1">ROUND(TblProd[[#This Row],[Raw Lumber/hr]]*(1+TblProd[[#This Row],[Bonus Lumber/hr]])-TblProd[[#This Row],[Lumber rot]],0)</f>
        <v>1046</v>
      </c>
      <c r="V70" s="97">
        <f ca="1">ROUND(TblProd[[#This Row],[Raw Mana/hr]]*(1+TblProd[[#This Row],[Bonus Mana/hr]])-TblProd[[#This Row],[Mana drain]],0)</f>
        <v>611</v>
      </c>
      <c r="W70" s="97">
        <f ca="1">ROUNDDOWN(TblProd[[#This Row],[Raw Ore/hr]]*(1+TblProd[[#This Row],[Bonux Ore/hr]]),0)</f>
        <v>0</v>
      </c>
      <c r="X70" s="97">
        <f ca="1">ROUNDDOWN(TblProd[[#This Row],[Raw Gems/hr]]*(1+TblProd[[#This Row],[Bonus Gems/hr]]),0)</f>
        <v>0</v>
      </c>
      <c r="Y70" s="158">
        <f ca="1">OFFSET(TblConstr[[#This Row],[Tot Doc]],1,0)*dock_boats_hr * (1 + tech_4_1*TblTech[[#This Row],[4-1]])</f>
        <v>1.2000000000000002</v>
      </c>
      <c r="Z70" s="157"/>
      <c r="AA70" s="97">
        <f ca="1">TblPop[[#This Row],[Peasants]]*tax*TblPop[[#This Row],[Employment]] + (Construction!AZ71+Construction!BX71)*(alch_plat+(Magic!AM70&gt;0)*alchemist_flame_bonus)</f>
        <v>43976</v>
      </c>
      <c r="AB70" s="97">
        <f ca="1">TblConstr[[#This Row],[Tot Farm]]*farm_food + TblConstr[[#This Row],[Tot Doc]]*dock_food</f>
        <v>3280</v>
      </c>
      <c r="AC70" s="97">
        <f ca="1">TblConstr[[#This Row],[Tot Ly]]*ly_lumber + TblConstr[[#This Row],[Tot Hav]]*fh_lumber</f>
        <v>1250</v>
      </c>
      <c r="AD70" s="97">
        <f ca="1">OFFSET(TblConstr[[#This Row],[Tot Tow]],1,0)*(tower_mana + tech_4_5*TblTech[[#This Row],[4-5]]) + OFFSET(TblConstr[[#This Row],[Tot WG]],1,0)*wg_mana_prod</f>
        <v>725</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0.1</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0" s="159">
        <f ca="1">race_lumber_bonus+ IF(TblMagic[[#This Row],[Active Gaia''s Blessing]]&gt;0,gaias_blessing_lumber)+ tech_1_3*TblTech[[#This Row],[1-3]] + tech_1_6*TblTech[[#This Row],[1-6]] + tech_3_3*TblTech[[#This Row],[3-3]]</f>
        <v>-0.1</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0.15</v>
      </c>
      <c r="AN70" s="145"/>
      <c r="AO70" s="97">
        <f ca="1">TblProd[[#This Row],[Food]]*food_decay * (1 + tech_2_1*TblTech[[#This Row],[2-1]] + tech_2_8*TblTech[[#This Row],[2-8]])</f>
        <v>19.990000000000002</v>
      </c>
      <c r="AP70" s="97">
        <f ca="1">(1+race_food_consumption)*TblPop[[#This Row],[Total]]*food_per_person*(1+tech_1_10*TblTech[[#This Row],[1-10]]+tech_7_5*TblTech[[#This Row],[7-5]])</f>
        <v>3175.25</v>
      </c>
      <c r="AQ70" s="97">
        <f ca="1">TblProd[[#This Row],[Lumber]]*lumber_rot * (1 + tech_2_1*TblTech[[#This Row],[2-1]] + tech_2_8*TblTech[[#This Row],[2-8]] + tech_5_2*TblTech[[#This Row],[5-2]])</f>
        <v>79.239999999999995</v>
      </c>
      <c r="AR70" s="97">
        <f ca="1">TblProd[[#This Row],[Mana]]*mana_drain * (1 + tech_2_1*TblTech[[#This Row],[2-1]] + tech_2_8*TblTech[[#This Row],[2-8]])</f>
        <v>113.67</v>
      </c>
      <c r="AS70" s="157"/>
      <c r="AT70" s="97">
        <f ca="1">TblExplore[[#This Row],[Platinum (2)]]+TblConstr[[#This Row],[Total Plat Cost]]+TblMili[[#This Row],[Plat Cost]]+TblRezone[[#This Row],[Platinum cost]]+TblImps[[#This Row],[P1]]-TblProd[[#This Row],[Bank Plat]]</f>
        <v>45248</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45432.49999999984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68189</v>
      </c>
      <c r="BJ70" s="97">
        <f ca="1">TblProd[[#This Row],[Food]]</f>
        <v>1999</v>
      </c>
      <c r="BK70" s="97">
        <f ca="1">TblProd[[#This Row],[Lumber]]</f>
        <v>7924</v>
      </c>
      <c r="BL70" s="97">
        <f ca="1">TblProd[[#This Row],[Mana]]</f>
        <v>5683.5</v>
      </c>
      <c r="BM70" s="97">
        <f ca="1">TblProd[[#This Row],[Ore]]</f>
        <v>0</v>
      </c>
    </row>
    <row r="71" spans="1:65" x14ac:dyDescent="0.2">
      <c r="A71" s="140">
        <v>68</v>
      </c>
      <c r="B71" s="155">
        <f ca="1">TblImps[[#This Row],[Time]]</f>
        <v>45432.541666666504</v>
      </c>
      <c r="C71" s="156"/>
      <c r="D71" s="157"/>
      <c r="E71" s="97">
        <f ca="1">TblConstr[[#This Row],[Land]]</f>
        <v>700</v>
      </c>
      <c r="F71" s="97">
        <f ca="1">TblPop[[#This Row],[Peasants]]</f>
        <v>10276</v>
      </c>
      <c r="G71" s="97">
        <f ca="1">TblMili[[#This Row],[Networth (2)]]</f>
        <v>17170</v>
      </c>
      <c r="H71" s="97">
        <f ca="1">OFFSET(TblProd[[#This Row],[Platinum]],-1,0)+OFFSET(TblProd[[#This Row],[Plat/hr]],-1,0) - TblProd[[#This Row],[Expenses Platinum]] + IF(TblProd[[#This Row],[Plat Bonus]],TblPop[[#This Row],[Peasants]]*4) + SUM(TblConstr[[#This Row],[Dest Hom]:[Dest Doc]])*TblConstr[[#This Row],[CPA Platinum -DB]]*tech_3_3_2*TblTech[[#This Row],[3-3]]</f>
        <v>74962</v>
      </c>
      <c r="I71" s="97">
        <f ca="1">OFFSET(TblProd[[#This Row],[Food]],-1,0)+OFFSET(TblProd[[#This Row],[Food/hr]],-1,0)+ROUNDUP((TblConstr[[#This Row],[Farms]]*80+TblConstr[[#This Row],[Docks]]*35)*(1+OFFSET(TblProd[[#This Row],[Bonus Food/hr]],-1,0)),0)</f>
        <v>2166</v>
      </c>
      <c r="J71" s="97">
        <f ca="1">OFFSET(TblProd[[#This Row],[Lumber]],-1,0)+OFFSET(TblProd[[#This Row],[Lumber/hr]],-1,0) - TblProd[[#This Row],[Expenses Lumber]] + SUM(TblConstr[[#This Row],[Dest Hom]:[Dest Doc]])*TblConstr[[#This Row],[CPA Lumber -DB]]*tech_3_3_2*TblTech[[#This Row],[3-3]]</f>
        <v>8970</v>
      </c>
      <c r="K71" s="97">
        <f ca="1">OFFSET(TblProd[[#This Row],[Mana]],-1,0)+OFFSET(TblProd[[#This Row],[Mana/hr]],-1,0)- TblProd[[#This Row],[Expenses Mana]]</f>
        <v>6294.5</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22.249999999999996</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1" s="97">
        <f ca="1">MAX(3750,_xlfn.CEILING.MATH(TblProd[[#This Row],[Land]]*2.5+OFFSET(TblTech[[#This Row],[Sum of tech]],-1,0)*150))</f>
        <v>3750</v>
      </c>
      <c r="R71" s="145"/>
      <c r="S71" s="97">
        <f ca="1">ROUNDDOWN(TblProd[[#This Row],[Raw Plat/hr]]*(1+TblProd[[#This Row],[Bonus Plat/hr]]),0)</f>
        <v>48064</v>
      </c>
      <c r="T71" s="97">
        <f ca="1">ROUND(TblProd[[#This Row],[Raw Food/hr]]*(1+TblProd[[#This Row],[Bonus Food/hr]])-TblProd[[#This Row],[Food decay]]-TblProd[[#This Row],[Food eaten]],0)</f>
        <v>165</v>
      </c>
      <c r="U71" s="97">
        <f ca="1">ROUND(TblProd[[#This Row],[Raw Lumber/hr]]*(1+TblProd[[#This Row],[Bonus Lumber/hr]])-TblProd[[#This Row],[Lumber rot]],0)</f>
        <v>1035</v>
      </c>
      <c r="V71" s="97">
        <f ca="1">ROUND(TblProd[[#This Row],[Raw Mana/hr]]*(1+TblProd[[#This Row],[Bonus Mana/hr]])-TblProd[[#This Row],[Mana drain]],0)</f>
        <v>599</v>
      </c>
      <c r="W71" s="97">
        <f ca="1">ROUNDDOWN(TblProd[[#This Row],[Raw Ore/hr]]*(1+TblProd[[#This Row],[Bonux Ore/hr]]),0)</f>
        <v>0</v>
      </c>
      <c r="X71" s="97">
        <f ca="1">ROUNDDOWN(TblProd[[#This Row],[Raw Gems/hr]]*(1+TblProd[[#This Row],[Bonus Gems/hr]]),0)</f>
        <v>0</v>
      </c>
      <c r="Y71" s="158">
        <f ca="1">OFFSET(TblConstr[[#This Row],[Tot Doc]],1,0)*dock_boats_hr * (1 + tech_4_1*TblTech[[#This Row],[4-1]])</f>
        <v>1.2000000000000002</v>
      </c>
      <c r="Z71" s="157"/>
      <c r="AA71" s="97">
        <f ca="1">TblPop[[#This Row],[Peasants]]*tax*TblPop[[#This Row],[Employment]] + (Construction!AZ72+Construction!BX72)*(alch_plat+(Magic!AM71&gt;0)*alchemist_flame_bonus)</f>
        <v>43695.199999999997</v>
      </c>
      <c r="AB71" s="97">
        <f ca="1">TblConstr[[#This Row],[Tot Farm]]*farm_food + TblConstr[[#This Row],[Tot Doc]]*dock_food</f>
        <v>3280</v>
      </c>
      <c r="AC71" s="97">
        <f ca="1">TblConstr[[#This Row],[Tot Ly]]*ly_lumber + TblConstr[[#This Row],[Tot Hav]]*fh_lumber</f>
        <v>1250</v>
      </c>
      <c r="AD71" s="97">
        <f ca="1">OFFSET(TblConstr[[#This Row],[Tot Tow]],1,0)*(tower_mana + tech_4_5*TblTech[[#This Row],[4-5]]) + OFFSET(TblConstr[[#This Row],[Tot WG]],1,0)*wg_mana_prod</f>
        <v>725</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0.1</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1" s="159">
        <f ca="1">race_lumber_bonus+ IF(TblMagic[[#This Row],[Active Gaia''s Blessing]]&gt;0,gaias_blessing_lumber)+ tech_1_3*TblTech[[#This Row],[1-3]] + tech_1_6*TblTech[[#This Row],[1-6]] + tech_3_3*TblTech[[#This Row],[3-3]]</f>
        <v>-0.1</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0.15</v>
      </c>
      <c r="AN71" s="145"/>
      <c r="AO71" s="97">
        <f ca="1">TblProd[[#This Row],[Food]]*food_decay * (1 + tech_2_1*TblTech[[#This Row],[2-1]] + tech_2_8*TblTech[[#This Row],[2-8]])</f>
        <v>21.66</v>
      </c>
      <c r="AP71" s="97">
        <f ca="1">(1+race_food_consumption)*TblPop[[#This Row],[Total]]*food_per_person*(1+tech_1_10*TblTech[[#This Row],[1-10]]+tech_7_5*TblTech[[#This Row],[7-5]])</f>
        <v>3175.25</v>
      </c>
      <c r="AQ71" s="97">
        <f ca="1">TblProd[[#This Row],[Lumber]]*lumber_rot * (1 + tech_2_1*TblTech[[#This Row],[2-1]] + tech_2_8*TblTech[[#This Row],[2-8]] + tech_5_2*TblTech[[#This Row],[5-2]])</f>
        <v>89.7</v>
      </c>
      <c r="AR71" s="97">
        <f ca="1">TblProd[[#This Row],[Mana]]*mana_drain * (1 + tech_2_1*TblTech[[#This Row],[2-1]] + tech_2_8*TblTech[[#This Row],[2-8]])</f>
        <v>125.89</v>
      </c>
      <c r="AS71" s="157"/>
      <c r="AT71" s="97">
        <f ca="1">TblExplore[[#This Row],[Platinum (2)]]+TblConstr[[#This Row],[Total Plat Cost]]+TblMili[[#This Row],[Plat Cost]]+TblRezone[[#This Row],[Platinum cost]]+TblImps[[#This Row],[P1]]-TblProd[[#This Row],[Bank Plat]]</f>
        <v>41600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45432.541666666504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74962</v>
      </c>
      <c r="BJ71" s="97">
        <f ca="1">TblProd[[#This Row],[Food]]</f>
        <v>2166</v>
      </c>
      <c r="BK71" s="97">
        <f ca="1">TblProd[[#This Row],[Lumber]]</f>
        <v>8970</v>
      </c>
      <c r="BL71" s="97">
        <f ca="1">TblProd[[#This Row],[Mana]]</f>
        <v>6294.5</v>
      </c>
      <c r="BM71" s="97">
        <f ca="1">TblProd[[#This Row],[Ore]]</f>
        <v>0</v>
      </c>
    </row>
    <row r="72" spans="1:65" x14ac:dyDescent="0.2">
      <c r="A72" s="140">
        <v>69</v>
      </c>
      <c r="B72" s="155">
        <f ca="1">TblImps[[#This Row],[Time]]</f>
        <v>45432.583333333168</v>
      </c>
      <c r="C72" s="156"/>
      <c r="D72" s="157"/>
      <c r="E72" s="97">
        <f ca="1">TblConstr[[#This Row],[Land]]</f>
        <v>700</v>
      </c>
      <c r="F72" s="97">
        <f ca="1">TblPop[[#This Row],[Peasants]]</f>
        <v>10173</v>
      </c>
      <c r="G72" s="97">
        <f ca="1">TblMili[[#This Row],[Networth (2)]]</f>
        <v>17175</v>
      </c>
      <c r="H72" s="97">
        <f ca="1">OFFSET(TblProd[[#This Row],[Platinum]],-1,0)+OFFSET(TblProd[[#This Row],[Plat/hr]],-1,0) - TblProd[[#This Row],[Expenses Platinum]] + IF(TblProd[[#This Row],[Plat Bonus]],TblPop[[#This Row],[Peasants]]*4) + SUM(TblConstr[[#This Row],[Dest Hom]:[Dest Doc]])*TblConstr[[#This Row],[CPA Platinum -DB]]*tech_3_3_2*TblTech[[#This Row],[3-3]]</f>
        <v>60402</v>
      </c>
      <c r="I72" s="97">
        <f ca="1">OFFSET(TblProd[[#This Row],[Food]],-1,0)+OFFSET(TblProd[[#This Row],[Food/hr]],-1,0)+ROUNDUP((TblConstr[[#This Row],[Farms]]*80+TblConstr[[#This Row],[Docks]]*35)*(1+OFFSET(TblProd[[#This Row],[Bonus Food/hr]],-1,0)),0)</f>
        <v>2331</v>
      </c>
      <c r="J72" s="97">
        <f ca="1">OFFSET(TblProd[[#This Row],[Lumber]],-1,0)+OFFSET(TblProd[[#This Row],[Lumber/hr]],-1,0) - TblProd[[#This Row],[Expenses Lumber]] + SUM(TblConstr[[#This Row],[Dest Hom]:[Dest Doc]])*TblConstr[[#This Row],[CPA Lumber -DB]]*tech_3_3_2*TblTech[[#This Row],[3-3]]</f>
        <v>10005</v>
      </c>
      <c r="K72" s="97">
        <f ca="1">OFFSET(TblProd[[#This Row],[Mana]],-1,0)+OFFSET(TblProd[[#This Row],[Mana/hr]],-1,0)- TblProd[[#This Row],[Expenses Mana]]</f>
        <v>6893.5</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23.449999999999996</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2" s="97">
        <f ca="1">MAX(3750,_xlfn.CEILING.MATH(TblProd[[#This Row],[Land]]*2.5+OFFSET(TblTech[[#This Row],[Sum of tech]],-1,0)*150))</f>
        <v>3750</v>
      </c>
      <c r="R72" s="145"/>
      <c r="S72" s="97">
        <f ca="1">ROUNDDOWN(TblProd[[#This Row],[Raw Plat/hr]]*(1+TblProd[[#This Row],[Bonus Plat/hr]]),0)</f>
        <v>47758</v>
      </c>
      <c r="T72" s="97">
        <f ca="1">ROUND(TblProd[[#This Row],[Raw Food/hr]]*(1+TblProd[[#This Row],[Bonus Food/hr]])-TblProd[[#This Row],[Food decay]]-TblProd[[#This Row],[Food eaten]],0)</f>
        <v>163</v>
      </c>
      <c r="U72" s="97">
        <f ca="1">ROUND(TblProd[[#This Row],[Raw Lumber/hr]]*(1+TblProd[[#This Row],[Bonus Lumber/hr]])-TblProd[[#This Row],[Lumber rot]],0)</f>
        <v>1025</v>
      </c>
      <c r="V72" s="97">
        <f ca="1">ROUND(TblProd[[#This Row],[Raw Mana/hr]]*(1+TblProd[[#This Row],[Bonus Mana/hr]])-TblProd[[#This Row],[Mana drain]],0)</f>
        <v>587</v>
      </c>
      <c r="W72" s="97">
        <f ca="1">ROUNDDOWN(TblProd[[#This Row],[Raw Ore/hr]]*(1+TblProd[[#This Row],[Bonux Ore/hr]]),0)</f>
        <v>0</v>
      </c>
      <c r="X72" s="97">
        <f ca="1">ROUNDDOWN(TblProd[[#This Row],[Raw Gems/hr]]*(1+TblProd[[#This Row],[Bonus Gems/hr]]),0)</f>
        <v>0</v>
      </c>
      <c r="Y72" s="158">
        <f ca="1">OFFSET(TblConstr[[#This Row],[Tot Doc]],1,0)*dock_boats_hr * (1 + tech_4_1*TblTech[[#This Row],[4-1]])</f>
        <v>1.2000000000000002</v>
      </c>
      <c r="Z72" s="157"/>
      <c r="AA72" s="97">
        <f ca="1">TblPop[[#This Row],[Peasants]]*tax*TblPop[[#This Row],[Employment]] + (Construction!AZ73+Construction!BX73)*(alch_plat+(Magic!AM72&gt;0)*alchemist_flame_bonus)</f>
        <v>43417.100000000006</v>
      </c>
      <c r="AB72" s="97">
        <f ca="1">TblConstr[[#This Row],[Tot Farm]]*farm_food + TblConstr[[#This Row],[Tot Doc]]*dock_food</f>
        <v>3280</v>
      </c>
      <c r="AC72" s="97">
        <f ca="1">TblConstr[[#This Row],[Tot Ly]]*ly_lumber + TblConstr[[#This Row],[Tot Hav]]*fh_lumber</f>
        <v>1250</v>
      </c>
      <c r="AD72" s="97">
        <f ca="1">OFFSET(TblConstr[[#This Row],[Tot Tow]],1,0)*(tower_mana + tech_4_5*TblTech[[#This Row],[4-5]]) + OFFSET(TblConstr[[#This Row],[Tot WG]],1,0)*wg_mana_prod</f>
        <v>725</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0.1</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2" s="159">
        <f ca="1">race_lumber_bonus+ IF(TblMagic[[#This Row],[Active Gaia''s Blessing]]&gt;0,gaias_blessing_lumber)+ tech_1_3*TblTech[[#This Row],[1-3]] + tech_1_6*TblTech[[#This Row],[1-6]] + tech_3_3*TblTech[[#This Row],[3-3]]</f>
        <v>-0.1</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0.15</v>
      </c>
      <c r="AN72" s="145"/>
      <c r="AO72" s="97">
        <f ca="1">TblProd[[#This Row],[Food]]*food_decay * (1 + tech_2_1*TblTech[[#This Row],[2-1]] + tech_2_8*TblTech[[#This Row],[2-8]])</f>
        <v>23.31</v>
      </c>
      <c r="AP72" s="97">
        <f ca="1">(1+race_food_consumption)*TblPop[[#This Row],[Total]]*food_per_person*(1+tech_1_10*TblTech[[#This Row],[1-10]]+tech_7_5*TblTech[[#This Row],[7-5]])</f>
        <v>3175.25</v>
      </c>
      <c r="AQ72" s="97">
        <f ca="1">TblProd[[#This Row],[Lumber]]*lumber_rot * (1 + tech_2_1*TblTech[[#This Row],[2-1]] + tech_2_8*TblTech[[#This Row],[2-8]] + tech_5_2*TblTech[[#This Row],[5-2]])</f>
        <v>100.05</v>
      </c>
      <c r="AR72" s="97">
        <f ca="1">TblProd[[#This Row],[Mana]]*mana_drain * (1 + tech_2_1*TblTech[[#This Row],[2-1]] + tech_2_8*TblTech[[#This Row],[2-8]])</f>
        <v>137.87</v>
      </c>
      <c r="AS72" s="157"/>
      <c r="AT72" s="97">
        <f ca="1">TblExplore[[#This Row],[Platinum (2)]]+TblConstr[[#This Row],[Total Plat Cost]]+TblMili[[#This Row],[Plat Cost]]+TblRezone[[#This Row],[Platinum cost]]+TblImps[[#This Row],[P1]]-TblProd[[#This Row],[Bank Plat]]</f>
        <v>62624</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45432.583333333168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60402</v>
      </c>
      <c r="BJ72" s="97">
        <f ca="1">TblProd[[#This Row],[Food]]</f>
        <v>2331</v>
      </c>
      <c r="BK72" s="97">
        <f ca="1">TblProd[[#This Row],[Lumber]]</f>
        <v>10005</v>
      </c>
      <c r="BL72" s="97">
        <f ca="1">TblProd[[#This Row],[Mana]]</f>
        <v>6893.5</v>
      </c>
      <c r="BM72" s="97">
        <f ca="1">TblProd[[#This Row],[Ore]]</f>
        <v>0</v>
      </c>
    </row>
    <row r="73" spans="1:65" x14ac:dyDescent="0.2">
      <c r="A73" s="140">
        <v>70</v>
      </c>
      <c r="B73" s="155">
        <f ca="1">TblImps[[#This Row],[Time]]</f>
        <v>45432.624999999833</v>
      </c>
      <c r="C73" s="156"/>
      <c r="D73" s="157"/>
      <c r="E73" s="97">
        <f ca="1">TblConstr[[#This Row],[Land]]</f>
        <v>700</v>
      </c>
      <c r="F73" s="97">
        <f ca="1">TblPop[[#This Row],[Peasants]]</f>
        <v>10071</v>
      </c>
      <c r="G73" s="97">
        <f ca="1">TblMili[[#This Row],[Networth (2)]]</f>
        <v>17180</v>
      </c>
      <c r="H73" s="97">
        <f ca="1">OFFSET(TblProd[[#This Row],[Platinum]],-1,0)+OFFSET(TblProd[[#This Row],[Plat/hr]],-1,0) - TblProd[[#This Row],[Expenses Platinum]] + IF(TblProd[[#This Row],[Plat Bonus]],TblPop[[#This Row],[Peasants]]*4) + SUM(TblConstr[[#This Row],[Dest Hom]:[Dest Doc]])*TblConstr[[#This Row],[CPA Platinum -DB]]*tech_3_3_2*TblTech[[#This Row],[3-3]]</f>
        <v>46144</v>
      </c>
      <c r="I73" s="97">
        <f ca="1">OFFSET(TblProd[[#This Row],[Food]],-1,0)+OFFSET(TblProd[[#This Row],[Food/hr]],-1,0)+ROUNDUP((TblConstr[[#This Row],[Farms]]*80+TblConstr[[#This Row],[Docks]]*35)*(1+OFFSET(TblProd[[#This Row],[Bonus Food/hr]],-1,0)),0)</f>
        <v>2494</v>
      </c>
      <c r="J73" s="97">
        <f ca="1">OFFSET(TblProd[[#This Row],[Lumber]],-1,0)+OFFSET(TblProd[[#This Row],[Lumber/hr]],-1,0) - TblProd[[#This Row],[Expenses Lumber]] + SUM(TblConstr[[#This Row],[Dest Hom]:[Dest Doc]])*TblConstr[[#This Row],[CPA Lumber -DB]]*tech_3_3_2*TblTech[[#This Row],[3-3]]</f>
        <v>11030</v>
      </c>
      <c r="K73" s="97">
        <f ca="1">OFFSET(TblProd[[#This Row],[Mana]],-1,0)+OFFSET(TblProd[[#This Row],[Mana/hr]],-1,0)- TblProd[[#This Row],[Expenses Mana]]</f>
        <v>7480.5</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24.649999999999995</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3" s="97">
        <f ca="1">MAX(3750,_xlfn.CEILING.MATH(TblProd[[#This Row],[Land]]*2.5+OFFSET(TblTech[[#This Row],[Sum of tech]],-1,0)*150))</f>
        <v>3750</v>
      </c>
      <c r="R73" s="145"/>
      <c r="S73" s="97">
        <f ca="1">ROUNDDOWN(TblProd[[#This Row],[Raw Plat/hr]]*(1+TblProd[[#This Row],[Bonus Plat/hr]]),0)</f>
        <v>47455</v>
      </c>
      <c r="T73" s="97">
        <f ca="1">ROUND(TblProd[[#This Row],[Raw Food/hr]]*(1+TblProd[[#This Row],[Bonus Food/hr]])-TblProd[[#This Row],[Food decay]]-TblProd[[#This Row],[Food eaten]],0)</f>
        <v>162</v>
      </c>
      <c r="U73" s="97">
        <f ca="1">ROUND(TblProd[[#This Row],[Raw Lumber/hr]]*(1+TblProd[[#This Row],[Bonus Lumber/hr]])-TblProd[[#This Row],[Lumber rot]],0)</f>
        <v>1015</v>
      </c>
      <c r="V73" s="97">
        <f ca="1">ROUND(TblProd[[#This Row],[Raw Mana/hr]]*(1+TblProd[[#This Row],[Bonus Mana/hr]])-TblProd[[#This Row],[Mana drain]],0)</f>
        <v>575</v>
      </c>
      <c r="W73" s="97">
        <f ca="1">ROUNDDOWN(TblProd[[#This Row],[Raw Ore/hr]]*(1+TblProd[[#This Row],[Bonux Ore/hr]]),0)</f>
        <v>0</v>
      </c>
      <c r="X73" s="97">
        <f ca="1">ROUNDDOWN(TblProd[[#This Row],[Raw Gems/hr]]*(1+TblProd[[#This Row],[Bonus Gems/hr]]),0)</f>
        <v>0</v>
      </c>
      <c r="Y73" s="158">
        <f ca="1">OFFSET(TblConstr[[#This Row],[Tot Doc]],1,0)*dock_boats_hr * (1 + tech_4_1*TblTech[[#This Row],[4-1]])</f>
        <v>1.2000000000000002</v>
      </c>
      <c r="Z73" s="157"/>
      <c r="AA73" s="97">
        <f ca="1">TblPop[[#This Row],[Peasants]]*tax*TblPop[[#This Row],[Employment]] + (Construction!AZ74+Construction!BX74)*(alch_plat+(Magic!AM73&gt;0)*alchemist_flame_bonus)</f>
        <v>43141.7</v>
      </c>
      <c r="AB73" s="97">
        <f ca="1">TblConstr[[#This Row],[Tot Farm]]*farm_food + TblConstr[[#This Row],[Tot Doc]]*dock_food</f>
        <v>3280</v>
      </c>
      <c r="AC73" s="97">
        <f ca="1">TblConstr[[#This Row],[Tot Ly]]*ly_lumber + TblConstr[[#This Row],[Tot Hav]]*fh_lumber</f>
        <v>1250</v>
      </c>
      <c r="AD73" s="97">
        <f ca="1">OFFSET(TblConstr[[#This Row],[Tot Tow]],1,0)*(tower_mana + tech_4_5*TblTech[[#This Row],[4-5]]) + OFFSET(TblConstr[[#This Row],[Tot WG]],1,0)*wg_mana_prod</f>
        <v>725</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0.1</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3" s="159">
        <f ca="1">race_lumber_bonus+ IF(TblMagic[[#This Row],[Active Gaia''s Blessing]]&gt;0,gaias_blessing_lumber)+ tech_1_3*TblTech[[#This Row],[1-3]] + tech_1_6*TblTech[[#This Row],[1-6]] + tech_3_3*TblTech[[#This Row],[3-3]]</f>
        <v>-0.1</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0.15</v>
      </c>
      <c r="AN73" s="145"/>
      <c r="AO73" s="97">
        <f ca="1">TblProd[[#This Row],[Food]]*food_decay * (1 + tech_2_1*TblTech[[#This Row],[2-1]] + tech_2_8*TblTech[[#This Row],[2-8]])</f>
        <v>24.94</v>
      </c>
      <c r="AP73" s="97">
        <f ca="1">(1+race_food_consumption)*TblPop[[#This Row],[Total]]*food_per_person*(1+tech_1_10*TblTech[[#This Row],[1-10]]+tech_7_5*TblTech[[#This Row],[7-5]])</f>
        <v>3175.25</v>
      </c>
      <c r="AQ73" s="97">
        <f ca="1">TblProd[[#This Row],[Lumber]]*lumber_rot * (1 + tech_2_1*TblTech[[#This Row],[2-1]] + tech_2_8*TblTech[[#This Row],[2-8]] + tech_5_2*TblTech[[#This Row],[5-2]])</f>
        <v>110.3</v>
      </c>
      <c r="AR73" s="97">
        <f ca="1">TblProd[[#This Row],[Mana]]*mana_drain * (1 + tech_2_1*TblTech[[#This Row],[2-1]] + tech_2_8*TblTech[[#This Row],[2-8]])</f>
        <v>149.61000000000001</v>
      </c>
      <c r="AS73" s="157"/>
      <c r="AT73" s="97">
        <f ca="1">TblExplore[[#This Row],[Platinum (2)]]+TblConstr[[#This Row],[Total Plat Cost]]+TblMili[[#This Row],[Plat Cost]]+TblRezone[[#This Row],[Platinum cost]]+TblImps[[#This Row],[P1]]-TblProd[[#This Row],[Bank Plat]]</f>
        <v>62016</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45432.624999999833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46144</v>
      </c>
      <c r="BJ73" s="97">
        <f ca="1">TblProd[[#This Row],[Food]]</f>
        <v>2494</v>
      </c>
      <c r="BK73" s="97">
        <f ca="1">TblProd[[#This Row],[Lumber]]</f>
        <v>11030</v>
      </c>
      <c r="BL73" s="97">
        <f ca="1">TblProd[[#This Row],[Mana]]</f>
        <v>7480.5</v>
      </c>
      <c r="BM73" s="97">
        <f ca="1">TblProd[[#This Row],[Ore]]</f>
        <v>0</v>
      </c>
    </row>
    <row r="74" spans="1:65" x14ac:dyDescent="0.2">
      <c r="A74" s="140">
        <v>71</v>
      </c>
      <c r="B74" s="155">
        <f ca="1">TblImps[[#This Row],[Time]]</f>
        <v>45432.666666666497</v>
      </c>
      <c r="C74" s="156"/>
      <c r="D74" s="157"/>
      <c r="E74" s="97">
        <f ca="1">TblConstr[[#This Row],[Land]]</f>
        <v>700</v>
      </c>
      <c r="F74" s="97">
        <f ca="1">TblPop[[#This Row],[Peasants]]</f>
        <v>9970</v>
      </c>
      <c r="G74" s="97">
        <f ca="1">TblMili[[#This Row],[Networth (2)]]</f>
        <v>17185</v>
      </c>
      <c r="H74" s="97">
        <f ca="1">OFFSET(TblProd[[#This Row],[Platinum]],-1,0)+OFFSET(TblProd[[#This Row],[Plat/hr]],-1,0) - TblProd[[#This Row],[Expenses Platinum]] + IF(TblProd[[#This Row],[Plat Bonus]],TblPop[[#This Row],[Peasants]]*4) + SUM(TblConstr[[#This Row],[Dest Hom]:[Dest Doc]])*TblConstr[[#This Row],[CPA Platinum -DB]]*tech_3_3_2*TblTech[[#This Row],[3-3]]</f>
        <v>32191</v>
      </c>
      <c r="I74" s="97">
        <f ca="1">OFFSET(TblProd[[#This Row],[Food]],-1,0)+OFFSET(TblProd[[#This Row],[Food/hr]],-1,0)+ROUNDUP((TblConstr[[#This Row],[Farms]]*80+TblConstr[[#This Row],[Docks]]*35)*(1+OFFSET(TblProd[[#This Row],[Bonus Food/hr]],-1,0)),0)</f>
        <v>2656</v>
      </c>
      <c r="J74" s="97">
        <f ca="1">OFFSET(TblProd[[#This Row],[Lumber]],-1,0)+OFFSET(TblProd[[#This Row],[Lumber/hr]],-1,0) - TblProd[[#This Row],[Expenses Lumber]] + SUM(TblConstr[[#This Row],[Dest Hom]:[Dest Doc]])*TblConstr[[#This Row],[CPA Lumber -DB]]*tech_3_3_2*TblTech[[#This Row],[3-3]]</f>
        <v>12045</v>
      </c>
      <c r="K74" s="97">
        <f ca="1">OFFSET(TblProd[[#This Row],[Mana]],-1,0)+OFFSET(TblProd[[#This Row],[Mana/hr]],-1,0)- TblProd[[#This Row],[Expenses Mana]]</f>
        <v>8055.5</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25.849999999999994</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4" s="97">
        <f ca="1">MAX(3750,_xlfn.CEILING.MATH(TblProd[[#This Row],[Land]]*2.5+OFFSET(TblTech[[#This Row],[Sum of tech]],-1,0)*150))</f>
        <v>3750</v>
      </c>
      <c r="R74" s="145"/>
      <c r="S74" s="97">
        <f ca="1">ROUNDDOWN(TblProd[[#This Row],[Raw Plat/hr]]*(1+TblProd[[#This Row],[Bonus Plat/hr]]),0)</f>
        <v>47155</v>
      </c>
      <c r="T74" s="97">
        <f ca="1">ROUND(TblProd[[#This Row],[Raw Food/hr]]*(1+TblProd[[#This Row],[Bonus Food/hr]])-TblProd[[#This Row],[Food decay]]-TblProd[[#This Row],[Food eaten]],0)</f>
        <v>160</v>
      </c>
      <c r="U74" s="97">
        <f ca="1">ROUND(TblProd[[#This Row],[Raw Lumber/hr]]*(1+TblProd[[#This Row],[Bonus Lumber/hr]])-TblProd[[#This Row],[Lumber rot]],0)</f>
        <v>1005</v>
      </c>
      <c r="V74" s="97">
        <f ca="1">ROUND(TblProd[[#This Row],[Raw Mana/hr]]*(1+TblProd[[#This Row],[Bonus Mana/hr]])-TblProd[[#This Row],[Mana drain]],0)</f>
        <v>564</v>
      </c>
      <c r="W74" s="97">
        <f ca="1">ROUNDDOWN(TblProd[[#This Row],[Raw Ore/hr]]*(1+TblProd[[#This Row],[Bonux Ore/hr]]),0)</f>
        <v>0</v>
      </c>
      <c r="X74" s="97">
        <f ca="1">ROUNDDOWN(TblProd[[#This Row],[Raw Gems/hr]]*(1+TblProd[[#This Row],[Bonus Gems/hr]]),0)</f>
        <v>0</v>
      </c>
      <c r="Y74" s="158">
        <f ca="1">OFFSET(TblConstr[[#This Row],[Tot Doc]],1,0)*dock_boats_hr * (1 + tech_4_1*TblTech[[#This Row],[4-1]])</f>
        <v>1.2000000000000002</v>
      </c>
      <c r="Z74" s="157"/>
      <c r="AA74" s="97">
        <f ca="1">TblPop[[#This Row],[Peasants]]*tax*TblPop[[#This Row],[Employment]] + (Construction!AZ75+Construction!BX75)*(alch_plat+(Magic!AM74&gt;0)*alchemist_flame_bonus)</f>
        <v>42869</v>
      </c>
      <c r="AB74" s="97">
        <f ca="1">TblConstr[[#This Row],[Tot Farm]]*farm_food + TblConstr[[#This Row],[Tot Doc]]*dock_food</f>
        <v>3280</v>
      </c>
      <c r="AC74" s="97">
        <f ca="1">TblConstr[[#This Row],[Tot Ly]]*ly_lumber + TblConstr[[#This Row],[Tot Hav]]*fh_lumber</f>
        <v>1250</v>
      </c>
      <c r="AD74" s="97">
        <f ca="1">OFFSET(TblConstr[[#This Row],[Tot Tow]],1,0)*(tower_mana + tech_4_5*TblTech[[#This Row],[4-5]]) + OFFSET(TblConstr[[#This Row],[Tot WG]],1,0)*wg_mana_prod</f>
        <v>725</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0.1</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4" s="159">
        <f ca="1">race_lumber_bonus+ IF(TblMagic[[#This Row],[Active Gaia''s Blessing]]&gt;0,gaias_blessing_lumber)+ tech_1_3*TblTech[[#This Row],[1-3]] + tech_1_6*TblTech[[#This Row],[1-6]] + tech_3_3*TblTech[[#This Row],[3-3]]</f>
        <v>-0.1</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0.15</v>
      </c>
      <c r="AN74" s="145"/>
      <c r="AO74" s="97">
        <f ca="1">TblProd[[#This Row],[Food]]*food_decay * (1 + tech_2_1*TblTech[[#This Row],[2-1]] + tech_2_8*TblTech[[#This Row],[2-8]])</f>
        <v>26.560000000000002</v>
      </c>
      <c r="AP74" s="97">
        <f ca="1">(1+race_food_consumption)*TblPop[[#This Row],[Total]]*food_per_person*(1+tech_1_10*TblTech[[#This Row],[1-10]]+tech_7_5*TblTech[[#This Row],[7-5]])</f>
        <v>3175.25</v>
      </c>
      <c r="AQ74" s="97">
        <f ca="1">TblProd[[#This Row],[Lumber]]*lumber_rot * (1 + tech_2_1*TblTech[[#This Row],[2-1]] + tech_2_8*TblTech[[#This Row],[2-8]] + tech_5_2*TblTech[[#This Row],[5-2]])</f>
        <v>120.45</v>
      </c>
      <c r="AR74" s="97">
        <f ca="1">TblProd[[#This Row],[Mana]]*mana_drain * (1 + tech_2_1*TblTech[[#This Row],[2-1]] + tech_2_8*TblTech[[#This Row],[2-8]])</f>
        <v>161.11000000000001</v>
      </c>
      <c r="AS74" s="157"/>
      <c r="AT74" s="97">
        <f ca="1">TblExplore[[#This Row],[Platinum (2)]]+TblConstr[[#This Row],[Total Plat Cost]]+TblMili[[#This Row],[Plat Cost]]+TblRezone[[#This Row],[Platinum cost]]+TblImps[[#This Row],[P1]]-TblProd[[#This Row],[Bank Plat]]</f>
        <v>61408</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45432.666666666497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32191</v>
      </c>
      <c r="BJ74" s="97">
        <f ca="1">TblProd[[#This Row],[Food]]</f>
        <v>2656</v>
      </c>
      <c r="BK74" s="97">
        <f ca="1">TblProd[[#This Row],[Lumber]]</f>
        <v>12045</v>
      </c>
      <c r="BL74" s="97">
        <f ca="1">TblProd[[#This Row],[Mana]]</f>
        <v>8055.5</v>
      </c>
      <c r="BM74" s="97">
        <f ca="1">TblProd[[#This Row],[Ore]]</f>
        <v>0</v>
      </c>
    </row>
    <row r="75" spans="1:65" x14ac:dyDescent="0.2">
      <c r="A75" s="140">
        <v>72</v>
      </c>
      <c r="B75" s="155">
        <f ca="1">TblImps[[#This Row],[Time]]</f>
        <v>45432.708333333161</v>
      </c>
      <c r="C75" s="156"/>
      <c r="D75" s="157"/>
      <c r="E75" s="97">
        <f ca="1">TblConstr[[#This Row],[Land]]</f>
        <v>700</v>
      </c>
      <c r="F75" s="97">
        <f ca="1">TblPop[[#This Row],[Peasants]]</f>
        <v>9870</v>
      </c>
      <c r="G75" s="97">
        <f ca="1">TblMili[[#This Row],[Networth (2)]]</f>
        <v>17190</v>
      </c>
      <c r="H75" s="97">
        <f ca="1">OFFSET(TblProd[[#This Row],[Platinum]],-1,0)+OFFSET(TblProd[[#This Row],[Plat/hr]],-1,0) - TblProd[[#This Row],[Expenses Platinum]] + IF(TblProd[[#This Row],[Plat Bonus]],TblPop[[#This Row],[Peasants]]*4) + SUM(TblConstr[[#This Row],[Dest Hom]:[Dest Doc]])*TblConstr[[#This Row],[CPA Platinum -DB]]*tech_3_3_2*TblTech[[#This Row],[3-3]]</f>
        <v>18546</v>
      </c>
      <c r="I75" s="97">
        <f ca="1">OFFSET(TblProd[[#This Row],[Food]],-1,0)+OFFSET(TblProd[[#This Row],[Food/hr]],-1,0)+ROUNDUP((TblConstr[[#This Row],[Farms]]*80+TblConstr[[#This Row],[Docks]]*35)*(1+OFFSET(TblProd[[#This Row],[Bonus Food/hr]],-1,0)),0)</f>
        <v>2816</v>
      </c>
      <c r="J75" s="97">
        <f ca="1">OFFSET(TblProd[[#This Row],[Lumber]],-1,0)+OFFSET(TblProd[[#This Row],[Lumber/hr]],-1,0) - TblProd[[#This Row],[Expenses Lumber]] + SUM(TblConstr[[#This Row],[Dest Hom]:[Dest Doc]])*TblConstr[[#This Row],[CPA Lumber -DB]]*tech_3_3_2*TblTech[[#This Row],[3-3]]</f>
        <v>13050</v>
      </c>
      <c r="K75" s="97">
        <f ca="1">OFFSET(TblProd[[#This Row],[Mana]],-1,0)+OFFSET(TblProd[[#This Row],[Mana/hr]],-1,0)- TblProd[[#This Row],[Expenses Mana]]</f>
        <v>8619.5</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27.049999999999994</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5" s="97">
        <f ca="1">MAX(3750,_xlfn.CEILING.MATH(TblProd[[#This Row],[Land]]*2.5+OFFSET(TblTech[[#This Row],[Sum of tech]],-1,0)*150))</f>
        <v>3750</v>
      </c>
      <c r="R75" s="145"/>
      <c r="S75" s="97">
        <f ca="1">ROUNDDOWN(TblProd[[#This Row],[Raw Plat/hr]]*(1+TblProd[[#This Row],[Bonus Plat/hr]]),0)</f>
        <v>46858</v>
      </c>
      <c r="T75" s="97">
        <f ca="1">ROUND(TblProd[[#This Row],[Raw Food/hr]]*(1+TblProd[[#This Row],[Bonus Food/hr]])-TblProd[[#This Row],[Food decay]]-TblProd[[#This Row],[Food eaten]],0)</f>
        <v>159</v>
      </c>
      <c r="U75" s="97">
        <f ca="1">ROUND(TblProd[[#This Row],[Raw Lumber/hr]]*(1+TblProd[[#This Row],[Bonus Lumber/hr]])-TblProd[[#This Row],[Lumber rot]],0)</f>
        <v>995</v>
      </c>
      <c r="V75" s="97">
        <f ca="1">ROUND(TblProd[[#This Row],[Raw Mana/hr]]*(1+TblProd[[#This Row],[Bonus Mana/hr]])-TblProd[[#This Row],[Mana drain]],0)</f>
        <v>553</v>
      </c>
      <c r="W75" s="97">
        <f ca="1">ROUNDDOWN(TblProd[[#This Row],[Raw Ore/hr]]*(1+TblProd[[#This Row],[Bonux Ore/hr]]),0)</f>
        <v>0</v>
      </c>
      <c r="X75" s="97">
        <f ca="1">ROUNDDOWN(TblProd[[#This Row],[Raw Gems/hr]]*(1+TblProd[[#This Row],[Bonus Gems/hr]]),0)</f>
        <v>0</v>
      </c>
      <c r="Y75" s="158">
        <f ca="1">OFFSET(TblConstr[[#This Row],[Tot Doc]],1,0)*dock_boats_hr * (1 + tech_4_1*TblTech[[#This Row],[4-1]])</f>
        <v>1.2000000000000002</v>
      </c>
      <c r="Z75" s="157"/>
      <c r="AA75" s="97">
        <f ca="1">TblPop[[#This Row],[Peasants]]*tax*TblPop[[#This Row],[Employment]] + (Construction!AZ76+Construction!BX76)*(alch_plat+(Magic!AM75&gt;0)*alchemist_flame_bonus)</f>
        <v>42599</v>
      </c>
      <c r="AB75" s="97">
        <f ca="1">TblConstr[[#This Row],[Tot Farm]]*farm_food + TblConstr[[#This Row],[Tot Doc]]*dock_food</f>
        <v>3280</v>
      </c>
      <c r="AC75" s="97">
        <f ca="1">TblConstr[[#This Row],[Tot Ly]]*ly_lumber + TblConstr[[#This Row],[Tot Hav]]*fh_lumber</f>
        <v>1250</v>
      </c>
      <c r="AD75" s="97">
        <f ca="1">OFFSET(TblConstr[[#This Row],[Tot Tow]],1,0)*(tower_mana + tech_4_5*TblTech[[#This Row],[4-5]]) + OFFSET(TblConstr[[#This Row],[Tot WG]],1,0)*wg_mana_prod</f>
        <v>725</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0.1</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5" s="159">
        <f ca="1">race_lumber_bonus+ IF(TblMagic[[#This Row],[Active Gaia''s Blessing]]&gt;0,gaias_blessing_lumber)+ tech_1_3*TblTech[[#This Row],[1-3]] + tech_1_6*TblTech[[#This Row],[1-6]] + tech_3_3*TblTech[[#This Row],[3-3]]</f>
        <v>-0.1</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0.15</v>
      </c>
      <c r="AN75" s="145"/>
      <c r="AO75" s="97">
        <f ca="1">TblProd[[#This Row],[Food]]*food_decay * (1 + tech_2_1*TblTech[[#This Row],[2-1]] + tech_2_8*TblTech[[#This Row],[2-8]])</f>
        <v>28.16</v>
      </c>
      <c r="AP75" s="97">
        <f ca="1">(1+race_food_consumption)*TblPop[[#This Row],[Total]]*food_per_person*(1+tech_1_10*TblTech[[#This Row],[1-10]]+tech_7_5*TblTech[[#This Row],[7-5]])</f>
        <v>3175.25</v>
      </c>
      <c r="AQ75" s="97">
        <f ca="1">TblProd[[#This Row],[Lumber]]*lumber_rot * (1 + tech_2_1*TblTech[[#This Row],[2-1]] + tech_2_8*TblTech[[#This Row],[2-8]] + tech_5_2*TblTech[[#This Row],[5-2]])</f>
        <v>130.5</v>
      </c>
      <c r="AR75" s="97">
        <f ca="1">TblProd[[#This Row],[Mana]]*mana_drain * (1 + tech_2_1*TblTech[[#This Row],[2-1]] + tech_2_8*TblTech[[#This Row],[2-8]])</f>
        <v>172.39000000000001</v>
      </c>
      <c r="AS75" s="157"/>
      <c r="AT75" s="97">
        <f ca="1">TblExplore[[#This Row],[Platinum (2)]]+TblConstr[[#This Row],[Total Plat Cost]]+TblMili[[#This Row],[Plat Cost]]+TblRezone[[#This Row],[Platinum cost]]+TblImps[[#This Row],[P1]]-TblProd[[#This Row],[Bank Plat]]</f>
        <v>60800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45432.708333333161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18546</v>
      </c>
      <c r="BJ75" s="97">
        <f ca="1">TblProd[[#This Row],[Food]]</f>
        <v>2816</v>
      </c>
      <c r="BK75" s="97">
        <f ca="1">TblProd[[#This Row],[Lumber]]</f>
        <v>13050</v>
      </c>
      <c r="BL75" s="97">
        <f ca="1">TblProd[[#This Row],[Mana]]</f>
        <v>8619.5</v>
      </c>
      <c r="BM75" s="97">
        <f ca="1">TblProd[[#This Row],[Ore]]</f>
        <v>0</v>
      </c>
    </row>
    <row r="76" spans="1:65" s="5" customFormat="1" x14ac:dyDescent="0.2">
      <c r="A76" s="147" t="s">
        <v>230</v>
      </c>
      <c r="B76" s="163">
        <f ca="1">TblImps[[#This Row],[Time]]</f>
        <v>45432.749999999825</v>
      </c>
      <c r="C76" s="164"/>
      <c r="D76" s="165"/>
      <c r="E76" s="35">
        <f ca="1">TblConstr[[#This Row],[Land]]</f>
        <v>700</v>
      </c>
      <c r="F76" s="35">
        <f ca="1">TblPop[[#This Row],[Peasants]]</f>
        <v>9771</v>
      </c>
      <c r="G76" s="35">
        <f ca="1">TblMili[[#This Row],[Networth (2)]]</f>
        <v>32850.800000000003</v>
      </c>
      <c r="H76" s="35">
        <f ca="1">OFFSET(TblProd[[#This Row],[Platinum]],-1,0)+OFFSET(TblProd[[#This Row],[Plat/hr]],-1,0) - TblProd[[#This Row],[Expenses Platinum]] + IF(TblProd[[#This Row],[Plat Bonus]],TblPop[[#This Row],[Peasants]]*4) + SUM(TblConstr[[#This Row],[Dest Hom]:[Dest Doc]])*TblConstr[[#This Row],[CPA Platinum -DB]]*tech_3_3_2*TblTech[[#This Row],[3-3]]</f>
        <v>5612</v>
      </c>
      <c r="I76" s="35">
        <f ca="1">OFFSET(TblProd[[#This Row],[Food]],-1,0)+OFFSET(TblProd[[#This Row],[Food/hr]],-1,0)+ROUNDUP((TblConstr[[#This Row],[Farms]]*80+TblConstr[[#This Row],[Docks]]*35)*(1+OFFSET(TblProd[[#This Row],[Bonus Food/hr]],-1,0)),0)</f>
        <v>2975</v>
      </c>
      <c r="J76" s="35">
        <f ca="1">OFFSET(TblProd[[#This Row],[Lumber]],-1,0)+OFFSET(TblProd[[#This Row],[Lumber/hr]],-1,0) - TblProd[[#This Row],[Expenses Lumber]] + SUM(TblConstr[[#This Row],[Dest Hom]:[Dest Doc]])*TblConstr[[#This Row],[CPA Lumber -DB]]*tech_3_3_2*TblTech[[#This Row],[3-3]]</f>
        <v>14045</v>
      </c>
      <c r="K76" s="35">
        <f ca="1">OFFSET(TblProd[[#This Row],[Mana]],-1,0)+OFFSET(TblProd[[#This Row],[Mana/hr]],-1,0)- TblProd[[#This Row],[Expenses Mana]]</f>
        <v>2172.5</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28.249999999999993</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6" s="97">
        <f ca="1">MAX(3750,_xlfn.CEILING.MATH(TblProd[[#This Row],[Land]]*2.5+OFFSET(TblTech[[#This Row],[Sum of tech]],-1,0)*150))</f>
        <v>3750</v>
      </c>
      <c r="S76" s="35">
        <f ca="1">ROUNDDOWN(TblProd[[#This Row],[Raw Plat/hr]]*(1+TblProd[[#This Row],[Bonus Plat/hr]]),0)</f>
        <v>46564</v>
      </c>
      <c r="T76" s="35">
        <f ca="1">ROUND(TblProd[[#This Row],[Raw Food/hr]]*(1+TblProd[[#This Row],[Bonus Food/hr]])-TblProd[[#This Row],[Food decay]]-TblProd[[#This Row],[Food eaten]],0)</f>
        <v>157</v>
      </c>
      <c r="U76" s="35">
        <f ca="1">ROUND(TblProd[[#This Row],[Raw Lumber/hr]]*(1+TblProd[[#This Row],[Bonus Lumber/hr]])-TblProd[[#This Row],[Lumber rot]],0)</f>
        <v>985</v>
      </c>
      <c r="V76" s="35">
        <f ca="1">ROUND(TblProd[[#This Row],[Raw Mana/hr]]*(1+TblProd[[#This Row],[Bonus Mana/hr]])-TblProd[[#This Row],[Mana drain]],0)</f>
        <v>682</v>
      </c>
      <c r="W76" s="35">
        <f ca="1">ROUNDDOWN(TblProd[[#This Row],[Raw Ore/hr]]*(1+TblProd[[#This Row],[Bonux Ore/hr]]),0)</f>
        <v>0</v>
      </c>
      <c r="X76" s="35">
        <f ca="1">ROUNDDOWN(TblProd[[#This Row],[Raw Gems/hr]]*(1+TblProd[[#This Row],[Bonus Gems/hr]]),0)</f>
        <v>0</v>
      </c>
      <c r="Y76" s="166">
        <f ca="1">OFFSET(TblConstr[[#This Row],[Tot Doc]],1,0)*dock_boats_hr * (1 + tech_4_1*TblTech[[#This Row],[4-1]])</f>
        <v>1.2000000000000002</v>
      </c>
      <c r="Z76" s="35"/>
      <c r="AA76" s="35">
        <f ca="1">TblPop[[#This Row],[Peasants]]*tax*TblPop[[#This Row],[Employment]] + (Construction!AZ77+Construction!BX77)*(alch_plat+(Magic!AM76&gt;0)*alchemist_flame_bonus)</f>
        <v>42331.7</v>
      </c>
      <c r="AB76" s="35">
        <f ca="1">TblConstr[[#This Row],[Tot Farm]]*farm_food + TblConstr[[#This Row],[Tot Doc]]*dock_food</f>
        <v>3280</v>
      </c>
      <c r="AC76" s="35">
        <f ca="1">TblConstr[[#This Row],[Tot Ly]]*ly_lumber + TblConstr[[#This Row],[Tot Hav]]*fh_lumber</f>
        <v>1250</v>
      </c>
      <c r="AD76" s="35">
        <f ca="1">OFFSET(TblConstr[[#This Row],[Tot Tow]],1,0)*(tower_mana + tech_4_5*TblTech[[#This Row],[4-5]]) + OFFSET(TblConstr[[#This Row],[Tot WG]],1,0)*wg_mana_prod</f>
        <v>725</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0.1</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6" s="167">
        <f ca="1">race_lumber_bonus+ IF(TblMagic[[#This Row],[Active Gaia''s Blessing]]&gt;0,gaias_blessing_lumber)+ tech_1_3*TblTech[[#This Row],[1-3]] + tech_1_6*TblTech[[#This Row],[1-6]] + tech_3_3*TblTech[[#This Row],[3-3]]</f>
        <v>-0.1</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0.15</v>
      </c>
      <c r="AO76" s="35">
        <f ca="1">TblProd[[#This Row],[Food]]*food_decay * (1 + tech_2_1*TblTech[[#This Row],[2-1]] + tech_2_8*TblTech[[#This Row],[2-8]])</f>
        <v>29.75</v>
      </c>
      <c r="AP76" s="35">
        <f ca="1">(1+race_food_consumption)*TblPop[[#This Row],[Total]]*food_per_person*(1+tech_1_10*TblTech[[#This Row],[1-10]]+tech_7_5*TblTech[[#This Row],[7-5]])</f>
        <v>3175.25</v>
      </c>
      <c r="AQ76" s="35">
        <f ca="1">TblProd[[#This Row],[Lumber]]*lumber_rot * (1 + tech_2_1*TblTech[[#This Row],[2-1]] + tech_2_8*TblTech[[#This Row],[2-8]] + tech_5_2*TblTech[[#This Row],[5-2]])</f>
        <v>140.45000000000002</v>
      </c>
      <c r="AR76" s="35">
        <f ca="1">TblProd[[#This Row],[Mana]]*mana_drain * (1 + tech_2_1*TblTech[[#This Row],[2-1]] + tech_2_8*TblTech[[#This Row],[2-8]])</f>
        <v>43.45</v>
      </c>
      <c r="AS76" s="35"/>
      <c r="AT76" s="35">
        <f ca="1">TblExplore[[#This Row],[Platinum (2)]]+TblConstr[[#This Row],[Total Plat Cost]]+TblMili[[#This Row],[Plat Cost]]+TblRezone[[#This Row],[Platinum cost]]+TblImps[[#This Row],[P1]]-TblProd[[#This Row],[Bank Plat]]</f>
        <v>59792</v>
      </c>
      <c r="AU76" s="35">
        <f ca="1">TblConstr[[#This Row],[Total Lum Cost]]+TblImps[[#This Row],[L1]]-TblProd[[#This Row],[Bank Lumber]] + Military!$CL$25*TblMili[[#This Row],[Sec. rec. Cost]]</f>
        <v>0</v>
      </c>
      <c r="AV76" s="35">
        <f ca="1">TblMagic[[#This Row],[Mana cost]] + Military!$CL$26*TblMili[[#This Row],[Sec. rec. Cost]]</f>
        <v>7000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45432.749999999825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5612</v>
      </c>
      <c r="BJ76" s="35">
        <f ca="1">TblProd[[#This Row],[Food]]</f>
        <v>2975</v>
      </c>
      <c r="BK76" s="35">
        <f ca="1">TblProd[[#This Row],[Lumber]]</f>
        <v>14045</v>
      </c>
      <c r="BL76" s="35">
        <f ca="1">TblProd[[#This Row],[Mana]]</f>
        <v>2172.5</v>
      </c>
      <c r="BM76" s="35">
        <f ca="1">TblProd[[#This Row],[Ore]]</f>
        <v>0</v>
      </c>
    </row>
    <row r="77" spans="1:65" x14ac:dyDescent="0.2">
      <c r="A77" s="140">
        <v>2</v>
      </c>
      <c r="B77" s="155">
        <f ca="1">TblImps[[#This Row],[Time]]</f>
        <v>45432.79166666649</v>
      </c>
      <c r="C77" s="156"/>
      <c r="D77" s="157"/>
      <c r="E77" s="97">
        <f ca="1">TblConstr[[#This Row],[Land]]</f>
        <v>700</v>
      </c>
      <c r="F77" s="97">
        <f ca="1">TblPop[[#This Row],[Peasants]]</f>
        <v>9772</v>
      </c>
      <c r="G77" s="97">
        <f ca="1">TblMili[[#This Row],[Networth (2)]]</f>
        <v>33370.800000000003</v>
      </c>
      <c r="H77" s="97">
        <f ca="1">OFFSET(TblProd[[#This Row],[Platinum]],-1,0)+OFFSET(TblProd[[#This Row],[Plat/hr]],-1,0) - TblProd[[#This Row],[Expenses Platinum]] + IF(TblProd[[#This Row],[Plat Bonus]],TblPop[[#This Row],[Peasants]]*4) + SUM(TblConstr[[#This Row],[Dest Hom]:[Dest Doc]])*TblConstr[[#This Row],[CPA Platinum -DB]]*tech_3_3_2*TblTech[[#This Row],[3-3]]</f>
        <v>13360</v>
      </c>
      <c r="I77" s="97">
        <f ca="1">OFFSET(TblProd[[#This Row],[Food]],-1,0)+OFFSET(TblProd[[#This Row],[Food/hr]],-1,0)+ROUNDUP((TblConstr[[#This Row],[Farms]]*80+TblConstr[[#This Row],[Docks]]*35)*(1+OFFSET(TblProd[[#This Row],[Bonus Food/hr]],-1,0)),0)</f>
        <v>3132</v>
      </c>
      <c r="J77" s="97">
        <f ca="1">OFFSET(TblProd[[#This Row],[Lumber]],-1,0)+OFFSET(TblProd[[#This Row],[Lumber/hr]],-1,0) - TblProd[[#This Row],[Expenses Lumber]] + SUM(TblConstr[[#This Row],[Dest Hom]:[Dest Doc]])*TblConstr[[#This Row],[CPA Lumber -DB]]*tech_3_3_2*TblTech[[#This Row],[3-3]]</f>
        <v>15030</v>
      </c>
      <c r="K77" s="97">
        <f ca="1">OFFSET(TblProd[[#This Row],[Mana]],-1,0)+OFFSET(TblProd[[#This Row],[Mana/hr]],-1,0)- TblProd[[#This Row],[Expenses Mana]]</f>
        <v>2854.5</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29.449999999999992</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7" s="97">
        <f ca="1">MAX(3750,_xlfn.CEILING.MATH(TblProd[[#This Row],[Land]]*2.5+OFFSET(TblTech[[#This Row],[Sum of tech]],-1,0)*150))</f>
        <v>3750</v>
      </c>
      <c r="R77" s="145"/>
      <c r="S77" s="97">
        <f ca="1">ROUNDDOWN(TblProd[[#This Row],[Raw Plat/hr]]*(1+TblProd[[#This Row],[Bonus Plat/hr]]),0)</f>
        <v>46567</v>
      </c>
      <c r="T77" s="97">
        <f ca="1">ROUND(TblProd[[#This Row],[Raw Food/hr]]*(1+TblProd[[#This Row],[Bonus Food/hr]])-TblProd[[#This Row],[Food decay]]-TblProd[[#This Row],[Food eaten]],0)</f>
        <v>131</v>
      </c>
      <c r="U77" s="97">
        <f ca="1">ROUND(TblProd[[#This Row],[Raw Lumber/hr]]*(1+TblProd[[#This Row],[Bonus Lumber/hr]])-TblProd[[#This Row],[Lumber rot]],0)</f>
        <v>975</v>
      </c>
      <c r="V77" s="97">
        <f ca="1">ROUND(TblProd[[#This Row],[Raw Mana/hr]]*(1+TblProd[[#This Row],[Bonus Mana/hr]])-TblProd[[#This Row],[Mana drain]],0)</f>
        <v>668</v>
      </c>
      <c r="W77" s="97">
        <f ca="1">ROUNDDOWN(TblProd[[#This Row],[Raw Ore/hr]]*(1+TblProd[[#This Row],[Bonux Ore/hr]]),0)</f>
        <v>0</v>
      </c>
      <c r="X77" s="97">
        <f ca="1">ROUNDDOWN(TblProd[[#This Row],[Raw Gems/hr]]*(1+TblProd[[#This Row],[Bonus Gems/hr]]),0)</f>
        <v>0</v>
      </c>
      <c r="Y77" s="158">
        <f ca="1">OFFSET(TblConstr[[#This Row],[Tot Doc]],1,0)*dock_boats_hr * (1 + tech_4_1*TblTech[[#This Row],[4-1]])</f>
        <v>1.2000000000000002</v>
      </c>
      <c r="Z77" s="157"/>
      <c r="AA77" s="97">
        <f ca="1">TblPop[[#This Row],[Peasants]]*tax*TblPop[[#This Row],[Employment]] + (Construction!AZ78+Construction!BX78)*(alch_plat+(Magic!AM77&gt;0)*alchemist_flame_bonus)</f>
        <v>42334.400000000001</v>
      </c>
      <c r="AB77" s="97">
        <f ca="1">TblConstr[[#This Row],[Tot Farm]]*farm_food + TblConstr[[#This Row],[Tot Doc]]*dock_food</f>
        <v>3280</v>
      </c>
      <c r="AC77" s="97">
        <f ca="1">TblConstr[[#This Row],[Tot Ly]]*ly_lumber + TblConstr[[#This Row],[Tot Hav]]*fh_lumber</f>
        <v>1250</v>
      </c>
      <c r="AD77" s="97">
        <f ca="1">OFFSET(TblConstr[[#This Row],[Tot Tow]],1,0)*(tower_mana + tech_4_5*TblTech[[#This Row],[4-5]]) + OFFSET(TblConstr[[#This Row],[Tot WG]],1,0)*wg_mana_prod</f>
        <v>725</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0.1</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7" s="159">
        <f ca="1">race_lumber_bonus+ IF(TblMagic[[#This Row],[Active Gaia''s Blessing]]&gt;0,gaias_blessing_lumber)+ tech_1_3*TblTech[[#This Row],[1-3]] + tech_1_6*TblTech[[#This Row],[1-6]] + tech_3_3*TblTech[[#This Row],[3-3]]</f>
        <v>-0.1</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0.15</v>
      </c>
      <c r="AN77" s="145"/>
      <c r="AO77" s="97">
        <f ca="1">TblProd[[#This Row],[Food]]*food_decay * (1 + tech_2_1*TblTech[[#This Row],[2-1]] + tech_2_8*TblTech[[#This Row],[2-8]])</f>
        <v>31.32</v>
      </c>
      <c r="AP77" s="97">
        <f ca="1">(1+race_food_consumption)*TblPop[[#This Row],[Total]]*food_per_person*(1+tech_1_10*TblTech[[#This Row],[1-10]]+tech_7_5*TblTech[[#This Row],[7-5]])</f>
        <v>3200</v>
      </c>
      <c r="AQ77" s="97">
        <f ca="1">TblProd[[#This Row],[Lumber]]*lumber_rot * (1 + tech_2_1*TblTech[[#This Row],[2-1]] + tech_2_8*TblTech[[#This Row],[2-8]] + tech_5_2*TblTech[[#This Row],[5-2]])</f>
        <v>150.30000000000001</v>
      </c>
      <c r="AR77" s="97">
        <f ca="1">TblProd[[#This Row],[Mana]]*mana_drain * (1 + tech_2_1*TblTech[[#This Row],[2-1]] + tech_2_8*TblTech[[#This Row],[2-8]])</f>
        <v>57.09</v>
      </c>
      <c r="AS77" s="157"/>
      <c r="AT77" s="97">
        <f ca="1">TblExplore[[#This Row],[Platinum (2)]]+TblConstr[[#This Row],[Total Plat Cost]]+TblMili[[#This Row],[Plat Cost]]+TblRezone[[#This Row],[Platinum cost]]+TblImps[[#This Row],[P1]]-TblProd[[#This Row],[Bank Plat]]</f>
        <v>38816</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45432.79166666649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13360</v>
      </c>
      <c r="BJ77" s="97">
        <f ca="1">TblProd[[#This Row],[Food]]</f>
        <v>3132</v>
      </c>
      <c r="BK77" s="97">
        <f ca="1">TblProd[[#This Row],[Lumber]]</f>
        <v>15030</v>
      </c>
      <c r="BL77" s="97">
        <f ca="1">TblProd[[#This Row],[Mana]]</f>
        <v>2854.5</v>
      </c>
      <c r="BM77" s="97">
        <f ca="1">TblProd[[#This Row],[Ore]]</f>
        <v>0</v>
      </c>
    </row>
    <row r="78" spans="1:65" x14ac:dyDescent="0.2">
      <c r="A78" s="140">
        <v>3</v>
      </c>
      <c r="B78" s="155">
        <f ca="1">TblImps[[#This Row],[Time]]</f>
        <v>45432.833333333154</v>
      </c>
      <c r="C78" s="156"/>
      <c r="D78" s="157"/>
      <c r="E78" s="97">
        <f ca="1">TblConstr[[#This Row],[Land]]</f>
        <v>700</v>
      </c>
      <c r="F78" s="97">
        <f ca="1">TblPop[[#This Row],[Peasants]]</f>
        <v>9773</v>
      </c>
      <c r="G78" s="97">
        <f ca="1">TblMili[[#This Row],[Networth (2)]]</f>
        <v>33895.800000000003</v>
      </c>
      <c r="H78" s="97">
        <f ca="1">OFFSET(TblProd[[#This Row],[Platinum]],-1,0)+OFFSET(TblProd[[#This Row],[Plat/hr]],-1,0) - TblProd[[#This Row],[Expenses Platinum]] + IF(TblProd[[#This Row],[Plat Bonus]],TblPop[[#This Row],[Peasants]]*4) + SUM(TblConstr[[#This Row],[Dest Hom]:[Dest Doc]])*TblConstr[[#This Row],[CPA Platinum -DB]]*tech_3_3_2*TblTech[[#This Row],[3-3]]</f>
        <v>41111</v>
      </c>
      <c r="I78" s="97">
        <f ca="1">OFFSET(TblProd[[#This Row],[Food]],-1,0)+OFFSET(TblProd[[#This Row],[Food/hr]],-1,0)+ROUNDUP((TblConstr[[#This Row],[Farms]]*80+TblConstr[[#This Row],[Docks]]*35)*(1+OFFSET(TblProd[[#This Row],[Bonus Food/hr]],-1,0)),0)</f>
        <v>3263</v>
      </c>
      <c r="J78" s="97">
        <f ca="1">OFFSET(TblProd[[#This Row],[Lumber]],-1,0)+OFFSET(TblProd[[#This Row],[Lumber/hr]],-1,0) - TblProd[[#This Row],[Expenses Lumber]] + SUM(TblConstr[[#This Row],[Dest Hom]:[Dest Doc]])*TblConstr[[#This Row],[CPA Lumber -DB]]*tech_3_3_2*TblTech[[#This Row],[3-3]]</f>
        <v>16005</v>
      </c>
      <c r="K78" s="97">
        <f ca="1">OFFSET(TblProd[[#This Row],[Mana]],-1,0)+OFFSET(TblProd[[#This Row],[Mana/hr]],-1,0)- TblProd[[#This Row],[Expenses Mana]]</f>
        <v>3522.5</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30.649999999999991</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8" s="97">
        <f ca="1">MAX(3750,_xlfn.CEILING.MATH(TblProd[[#This Row],[Land]]*2.5+OFFSET(TblTech[[#This Row],[Sum of tech]],-1,0)*150))</f>
        <v>3750</v>
      </c>
      <c r="R78" s="145"/>
      <c r="S78" s="97">
        <f ca="1">ROUNDDOWN(TblProd[[#This Row],[Raw Plat/hr]]*(1+TblProd[[#This Row],[Bonus Plat/hr]]),0)</f>
        <v>46570</v>
      </c>
      <c r="T78" s="97">
        <f ca="1">ROUND(TblProd[[#This Row],[Raw Food/hr]]*(1+TblProd[[#This Row],[Bonus Food/hr]])-TblProd[[#This Row],[Food decay]]-TblProd[[#This Row],[Food eaten]],0)</f>
        <v>105</v>
      </c>
      <c r="U78" s="97">
        <f ca="1">ROUND(TblProd[[#This Row],[Raw Lumber/hr]]*(1+TblProd[[#This Row],[Bonus Lumber/hr]])-TblProd[[#This Row],[Lumber rot]],0)</f>
        <v>965</v>
      </c>
      <c r="V78" s="97">
        <f ca="1">ROUND(TblProd[[#This Row],[Raw Mana/hr]]*(1+TblProd[[#This Row],[Bonus Mana/hr]])-TblProd[[#This Row],[Mana drain]],0)</f>
        <v>655</v>
      </c>
      <c r="W78" s="97">
        <f ca="1">ROUNDDOWN(TblProd[[#This Row],[Raw Ore/hr]]*(1+TblProd[[#This Row],[Bonux Ore/hr]]),0)</f>
        <v>0</v>
      </c>
      <c r="X78" s="97">
        <f ca="1">ROUNDDOWN(TblProd[[#This Row],[Raw Gems/hr]]*(1+TblProd[[#This Row],[Bonus Gems/hr]]),0)</f>
        <v>0</v>
      </c>
      <c r="Y78" s="158">
        <f ca="1">OFFSET(TblConstr[[#This Row],[Tot Doc]],1,0)*dock_boats_hr * (1 + tech_4_1*TblTech[[#This Row],[4-1]])</f>
        <v>1.2000000000000002</v>
      </c>
      <c r="Z78" s="157"/>
      <c r="AA78" s="97">
        <f ca="1">TblPop[[#This Row],[Peasants]]*tax*TblPop[[#This Row],[Employment]] + (Construction!AZ79+Construction!BX79)*(alch_plat+(Magic!AM78&gt;0)*alchemist_flame_bonus)</f>
        <v>42337.100000000006</v>
      </c>
      <c r="AB78" s="97">
        <f ca="1">TblConstr[[#This Row],[Tot Farm]]*farm_food + TblConstr[[#This Row],[Tot Doc]]*dock_food</f>
        <v>3280</v>
      </c>
      <c r="AC78" s="97">
        <f ca="1">TblConstr[[#This Row],[Tot Ly]]*ly_lumber + TblConstr[[#This Row],[Tot Hav]]*fh_lumber</f>
        <v>1250</v>
      </c>
      <c r="AD78" s="97">
        <f ca="1">OFFSET(TblConstr[[#This Row],[Tot Tow]],1,0)*(tower_mana + tech_4_5*TblTech[[#This Row],[4-5]]) + OFFSET(TblConstr[[#This Row],[Tot WG]],1,0)*wg_mana_prod</f>
        <v>725</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0.1</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8" s="159">
        <f ca="1">race_lumber_bonus+ IF(TblMagic[[#This Row],[Active Gaia''s Blessing]]&gt;0,gaias_blessing_lumber)+ tech_1_3*TblTech[[#This Row],[1-3]] + tech_1_6*TblTech[[#This Row],[1-6]] + tech_3_3*TblTech[[#This Row],[3-3]]</f>
        <v>-0.1</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0.15</v>
      </c>
      <c r="AN78" s="145"/>
      <c r="AO78" s="97">
        <f ca="1">TblProd[[#This Row],[Food]]*food_decay * (1 + tech_2_1*TblTech[[#This Row],[2-1]] + tech_2_8*TblTech[[#This Row],[2-8]])</f>
        <v>32.630000000000003</v>
      </c>
      <c r="AP78" s="97">
        <f ca="1">(1+race_food_consumption)*TblPop[[#This Row],[Total]]*food_per_person*(1+tech_1_10*TblTech[[#This Row],[1-10]]+tech_7_5*TblTech[[#This Row],[7-5]])</f>
        <v>3224.75</v>
      </c>
      <c r="AQ78" s="97">
        <f ca="1">TblProd[[#This Row],[Lumber]]*lumber_rot * (1 + tech_2_1*TblTech[[#This Row],[2-1]] + tech_2_8*TblTech[[#This Row],[2-8]] + tech_5_2*TblTech[[#This Row],[5-2]])</f>
        <v>160.05000000000001</v>
      </c>
      <c r="AR78" s="97">
        <f ca="1">TblProd[[#This Row],[Mana]]*mana_drain * (1 + tech_2_1*TblTech[[#This Row],[2-1]] + tech_2_8*TblTech[[#This Row],[2-8]])</f>
        <v>70.45</v>
      </c>
      <c r="AS78" s="157"/>
      <c r="AT78" s="97">
        <f ca="1">TblExplore[[#This Row],[Platinum (2)]]+TblConstr[[#This Row],[Total Plat Cost]]+TblMili[[#This Row],[Plat Cost]]+TblRezone[[#This Row],[Platinum cost]]+TblImps[[#This Row],[P1]]-TblProd[[#This Row],[Bank Plat]]</f>
        <v>18816</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45432.833333333154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41111</v>
      </c>
      <c r="BJ78" s="97">
        <f ca="1">TblProd[[#This Row],[Food]]</f>
        <v>3263</v>
      </c>
      <c r="BK78" s="97">
        <f ca="1">TblProd[[#This Row],[Lumber]]</f>
        <v>16005</v>
      </c>
      <c r="BL78" s="97">
        <f ca="1">TblProd[[#This Row],[Mana]]</f>
        <v>3522.5</v>
      </c>
      <c r="BM78" s="97">
        <f ca="1">TblProd[[#This Row],[Ore]]</f>
        <v>0</v>
      </c>
    </row>
    <row r="79" spans="1:65" x14ac:dyDescent="0.2">
      <c r="A79" s="140">
        <v>4</v>
      </c>
      <c r="B79" s="155">
        <f ca="1">TblImps[[#This Row],[Time]]</f>
        <v>45432.874999999818</v>
      </c>
      <c r="C79" s="156"/>
      <c r="D79" s="157"/>
      <c r="E79" s="97">
        <f ca="1">TblConstr[[#This Row],[Land]]</f>
        <v>700</v>
      </c>
      <c r="F79" s="97">
        <f ca="1">TblPop[[#This Row],[Peasants]]</f>
        <v>9715</v>
      </c>
      <c r="G79" s="97">
        <f ca="1">TblMili[[#This Row],[Networth (2)]]</f>
        <v>34165.800000000003</v>
      </c>
      <c r="H79" s="97">
        <f ca="1">OFFSET(TblProd[[#This Row],[Platinum]],-1,0)+OFFSET(TblProd[[#This Row],[Plat/hr]],-1,0) - TblProd[[#This Row],[Expenses Platinum]] + IF(TblProd[[#This Row],[Plat Bonus]],TblPop[[#This Row],[Peasants]]*4) + SUM(TblConstr[[#This Row],[Dest Hom]:[Dest Doc]])*TblConstr[[#This Row],[CPA Platinum -DB]]*tech_3_3_2*TblTech[[#This Row],[3-3]]</f>
        <v>68865</v>
      </c>
      <c r="I79" s="97">
        <f ca="1">OFFSET(TblProd[[#This Row],[Food]],-1,0)+OFFSET(TblProd[[#This Row],[Food/hr]],-1,0)+ROUNDUP((TblConstr[[#This Row],[Farms]]*80+TblConstr[[#This Row],[Docks]]*35)*(1+OFFSET(TblProd[[#This Row],[Bonus Food/hr]],-1,0)),0)</f>
        <v>3368</v>
      </c>
      <c r="J79" s="97">
        <f ca="1">OFFSET(TblProd[[#This Row],[Lumber]],-1,0)+OFFSET(TblProd[[#This Row],[Lumber/hr]],-1,0) - TblProd[[#This Row],[Expenses Lumber]] + SUM(TblConstr[[#This Row],[Dest Hom]:[Dest Doc]])*TblConstr[[#This Row],[CPA Lumber -DB]]*tech_3_3_2*TblTech[[#This Row],[3-3]]</f>
        <v>16970</v>
      </c>
      <c r="K79" s="97">
        <f ca="1">OFFSET(TblProd[[#This Row],[Mana]],-1,0)+OFFSET(TblProd[[#This Row],[Mana/hr]],-1,0)- TblProd[[#This Row],[Expenses Mana]]</f>
        <v>4177.5</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31.849999999999991</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9" s="97">
        <f ca="1">MAX(3750,_xlfn.CEILING.MATH(TblProd[[#This Row],[Land]]*2.5+OFFSET(TblTech[[#This Row],[Sum of tech]],-1,0)*150))</f>
        <v>3750</v>
      </c>
      <c r="R79" s="145"/>
      <c r="S79" s="97">
        <f ca="1">ROUNDDOWN(TblProd[[#This Row],[Raw Plat/hr]]*(1+TblProd[[#This Row],[Bonus Plat/hr]]),0)</f>
        <v>46398</v>
      </c>
      <c r="T79" s="97">
        <f ca="1">ROUND(TblProd[[#This Row],[Raw Food/hr]]*(1+TblProd[[#This Row],[Bonus Food/hr]])-TblProd[[#This Row],[Food decay]]-TblProd[[#This Row],[Food eaten]],0)</f>
        <v>94</v>
      </c>
      <c r="U79" s="97">
        <f ca="1">ROUND(TblProd[[#This Row],[Raw Lumber/hr]]*(1+TblProd[[#This Row],[Bonus Lumber/hr]])-TblProd[[#This Row],[Lumber rot]],0)</f>
        <v>955</v>
      </c>
      <c r="V79" s="97">
        <f ca="1">ROUND(TblProd[[#This Row],[Raw Mana/hr]]*(1+TblProd[[#This Row],[Bonus Mana/hr]])-TblProd[[#This Row],[Mana drain]],0)</f>
        <v>641</v>
      </c>
      <c r="W79" s="97">
        <f ca="1">ROUNDDOWN(TblProd[[#This Row],[Raw Ore/hr]]*(1+TblProd[[#This Row],[Bonux Ore/hr]]),0)</f>
        <v>0</v>
      </c>
      <c r="X79" s="97">
        <f ca="1">ROUNDDOWN(TblProd[[#This Row],[Raw Gems/hr]]*(1+TblProd[[#This Row],[Bonus Gems/hr]]),0)</f>
        <v>0</v>
      </c>
      <c r="Y79" s="158">
        <f ca="1">OFFSET(TblConstr[[#This Row],[Tot Doc]],1,0)*dock_boats_hr * (1 + tech_4_1*TblTech[[#This Row],[4-1]])</f>
        <v>1.2000000000000002</v>
      </c>
      <c r="Z79" s="157"/>
      <c r="AA79" s="97">
        <f ca="1">TblPop[[#This Row],[Peasants]]*tax*TblPop[[#This Row],[Employment]] + (Construction!AZ80+Construction!BX80)*(alch_plat+(Magic!AM79&gt;0)*alchemist_flame_bonus)</f>
        <v>42180.5</v>
      </c>
      <c r="AB79" s="97">
        <f ca="1">TblConstr[[#This Row],[Tot Farm]]*farm_food + TblConstr[[#This Row],[Tot Doc]]*dock_food</f>
        <v>3280</v>
      </c>
      <c r="AC79" s="97">
        <f ca="1">TblConstr[[#This Row],[Tot Ly]]*ly_lumber + TblConstr[[#This Row],[Tot Hav]]*fh_lumber</f>
        <v>1250</v>
      </c>
      <c r="AD79" s="97">
        <f ca="1">OFFSET(TblConstr[[#This Row],[Tot Tow]],1,0)*(tower_mana + tech_4_5*TblTech[[#This Row],[4-5]]) + OFFSET(TblConstr[[#This Row],[Tot WG]],1,0)*wg_mana_prod</f>
        <v>725</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0.1</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79" s="159">
        <f ca="1">race_lumber_bonus+ IF(TblMagic[[#This Row],[Active Gaia''s Blessing]]&gt;0,gaias_blessing_lumber)+ tech_1_3*TblTech[[#This Row],[1-3]] + tech_1_6*TblTech[[#This Row],[1-6]] + tech_3_3*TblTech[[#This Row],[3-3]]</f>
        <v>-0.1</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0.15</v>
      </c>
      <c r="AN79" s="145"/>
      <c r="AO79" s="97">
        <f ca="1">TblProd[[#This Row],[Food]]*food_decay * (1 + tech_2_1*TblTech[[#This Row],[2-1]] + tech_2_8*TblTech[[#This Row],[2-8]])</f>
        <v>33.68</v>
      </c>
      <c r="AP79" s="97">
        <f ca="1">(1+race_food_consumption)*TblPop[[#This Row],[Total]]*food_per_person*(1+tech_1_10*TblTech[[#This Row],[1-10]]+tech_7_5*TblTech[[#This Row],[7-5]])</f>
        <v>3234.75</v>
      </c>
      <c r="AQ79" s="97">
        <f ca="1">TblProd[[#This Row],[Lumber]]*lumber_rot * (1 + tech_2_1*TblTech[[#This Row],[2-1]] + tech_2_8*TblTech[[#This Row],[2-8]] + tech_5_2*TblTech[[#This Row],[5-2]])</f>
        <v>169.70000000000002</v>
      </c>
      <c r="AR79" s="97">
        <f ca="1">TblProd[[#This Row],[Mana]]*mana_drain * (1 + tech_2_1*TblTech[[#This Row],[2-1]] + tech_2_8*TblTech[[#This Row],[2-8]])</f>
        <v>83.55</v>
      </c>
      <c r="AS79" s="157"/>
      <c r="AT79" s="97">
        <f ca="1">TblExplore[[#This Row],[Platinum (2)]]+TblConstr[[#This Row],[Total Plat Cost]]+TblMili[[#This Row],[Plat Cost]]+TblRezone[[#This Row],[Platinum cost]]+TblImps[[#This Row],[P1]]-TblProd[[#This Row],[Bank Plat]]</f>
        <v>18816</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45432.874999999818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68865</v>
      </c>
      <c r="BJ79" s="97">
        <f ca="1">TblProd[[#This Row],[Food]]</f>
        <v>3368</v>
      </c>
      <c r="BK79" s="97">
        <f ca="1">TblProd[[#This Row],[Lumber]]</f>
        <v>16970</v>
      </c>
      <c r="BL79" s="97">
        <f ca="1">TblProd[[#This Row],[Mana]]</f>
        <v>4177.5</v>
      </c>
      <c r="BM79" s="97">
        <f ca="1">TblProd[[#This Row],[Ore]]</f>
        <v>0</v>
      </c>
    </row>
    <row r="80" spans="1:65" x14ac:dyDescent="0.2">
      <c r="A80" s="140">
        <v>5</v>
      </c>
      <c r="B80" s="155">
        <f ca="1">TblImps[[#This Row],[Time]]</f>
        <v>45432.916666666482</v>
      </c>
      <c r="C80" s="156">
        <v>1</v>
      </c>
      <c r="D80" s="157"/>
      <c r="E80" s="97">
        <f ca="1">TblConstr[[#This Row],[Land]]</f>
        <v>700</v>
      </c>
      <c r="F80" s="97">
        <f ca="1">TblPop[[#This Row],[Peasants]]</f>
        <v>9618</v>
      </c>
      <c r="G80" s="97">
        <f ca="1">TblMili[[#This Row],[Networth (2)]]</f>
        <v>34425.800000000003</v>
      </c>
      <c r="H80" s="97">
        <f ca="1">OFFSET(TblProd[[#This Row],[Platinum]],-1,0)+OFFSET(TblProd[[#This Row],[Plat/hr]],-1,0) - TblProd[[#This Row],[Expenses Platinum]] + IF(TblProd[[#This Row],[Plat Bonus]],TblPop[[#This Row],[Peasants]]*4) + SUM(TblConstr[[#This Row],[Dest Hom]:[Dest Doc]])*TblConstr[[#This Row],[CPA Platinum -DB]]*tech_3_3_2*TblTech[[#This Row],[3-3]]</f>
        <v>153735</v>
      </c>
      <c r="I80" s="97">
        <f ca="1">OFFSET(TblProd[[#This Row],[Food]],-1,0)+OFFSET(TblProd[[#This Row],[Food/hr]],-1,0)+ROUNDUP((TblConstr[[#This Row],[Farms]]*80+TblConstr[[#This Row],[Docks]]*35)*(1+OFFSET(TblProd[[#This Row],[Bonus Food/hr]],-1,0)),0)</f>
        <v>3462</v>
      </c>
      <c r="J80" s="97">
        <f ca="1">OFFSET(TblProd[[#This Row],[Lumber]],-1,0)+OFFSET(TblProd[[#This Row],[Lumber/hr]],-1,0) - TblProd[[#This Row],[Expenses Lumber]] + SUM(TblConstr[[#This Row],[Dest Hom]:[Dest Doc]])*TblConstr[[#This Row],[CPA Lumber -DB]]*tech_3_3_2*TblTech[[#This Row],[3-3]]</f>
        <v>17925</v>
      </c>
      <c r="K80" s="97">
        <f ca="1">OFFSET(TblProd[[#This Row],[Mana]],-1,0)+OFFSET(TblProd[[#This Row],[Mana/hr]],-1,0)- TblProd[[#This Row],[Expenses Mana]]</f>
        <v>4818.5</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33.04999999999999</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0" s="97">
        <f ca="1">MAX(3750,_xlfn.CEILING.MATH(TblProd[[#This Row],[Land]]*2.5+OFFSET(TblTech[[#This Row],[Sum of tech]],-1,0)*150))</f>
        <v>3750</v>
      </c>
      <c r="R80" s="145"/>
      <c r="S80" s="97">
        <f ca="1">ROUNDDOWN(TblProd[[#This Row],[Raw Plat/hr]]*(1+TblProd[[#This Row],[Bonus Plat/hr]]),0)</f>
        <v>46110</v>
      </c>
      <c r="T80" s="97">
        <f ca="1">ROUND(TblProd[[#This Row],[Raw Food/hr]]*(1+TblProd[[#This Row],[Bonus Food/hr]])-TblProd[[#This Row],[Food decay]]-TblProd[[#This Row],[Food eaten]],0)</f>
        <v>93</v>
      </c>
      <c r="U80" s="97">
        <f ca="1">ROUND(TblProd[[#This Row],[Raw Lumber/hr]]*(1+TblProd[[#This Row],[Bonus Lumber/hr]])-TblProd[[#This Row],[Lumber rot]],0)</f>
        <v>946</v>
      </c>
      <c r="V80" s="97">
        <f ca="1">ROUND(TblProd[[#This Row],[Raw Mana/hr]]*(1+TblProd[[#This Row],[Bonus Mana/hr]])-TblProd[[#This Row],[Mana drain]],0)</f>
        <v>629</v>
      </c>
      <c r="W80" s="97">
        <f ca="1">ROUNDDOWN(TblProd[[#This Row],[Raw Ore/hr]]*(1+TblProd[[#This Row],[Bonux Ore/hr]]),0)</f>
        <v>0</v>
      </c>
      <c r="X80" s="97">
        <f ca="1">ROUNDDOWN(TblProd[[#This Row],[Raw Gems/hr]]*(1+TblProd[[#This Row],[Bonus Gems/hr]]),0)</f>
        <v>0</v>
      </c>
      <c r="Y80" s="158">
        <f ca="1">OFFSET(TblConstr[[#This Row],[Tot Doc]],1,0)*dock_boats_hr * (1 + tech_4_1*TblTech[[#This Row],[4-1]])</f>
        <v>1.2000000000000002</v>
      </c>
      <c r="Z80" s="157"/>
      <c r="AA80" s="97">
        <f ca="1">TblPop[[#This Row],[Peasants]]*tax*TblPop[[#This Row],[Employment]] + (Construction!AZ81+Construction!BX81)*(alch_plat+(Magic!AM80&gt;0)*alchemist_flame_bonus)</f>
        <v>41918.600000000006</v>
      </c>
      <c r="AB80" s="97">
        <f ca="1">TblConstr[[#This Row],[Tot Farm]]*farm_food + TblConstr[[#This Row],[Tot Doc]]*dock_food</f>
        <v>3280</v>
      </c>
      <c r="AC80" s="97">
        <f ca="1">TblConstr[[#This Row],[Tot Ly]]*ly_lumber + TblConstr[[#This Row],[Tot Hav]]*fh_lumber</f>
        <v>1250</v>
      </c>
      <c r="AD80" s="97">
        <f ca="1">OFFSET(TblConstr[[#This Row],[Tot Tow]],1,0)*(tower_mana + tech_4_5*TblTech[[#This Row],[4-5]]) + OFFSET(TblConstr[[#This Row],[Tot WG]],1,0)*wg_mana_prod</f>
        <v>725</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0.1</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0" s="159">
        <f ca="1">race_lumber_bonus+ IF(TblMagic[[#This Row],[Active Gaia''s Blessing]]&gt;0,gaias_blessing_lumber)+ tech_1_3*TblTech[[#This Row],[1-3]] + tech_1_6*TblTech[[#This Row],[1-6]] + tech_3_3*TblTech[[#This Row],[3-3]]</f>
        <v>-0.1</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0.15</v>
      </c>
      <c r="AN80" s="145"/>
      <c r="AO80" s="97">
        <f ca="1">TblProd[[#This Row],[Food]]*food_decay * (1 + tech_2_1*TblTech[[#This Row],[2-1]] + tech_2_8*TblTech[[#This Row],[2-8]])</f>
        <v>34.619999999999997</v>
      </c>
      <c r="AP80" s="97">
        <f ca="1">(1+race_food_consumption)*TblPop[[#This Row],[Total]]*food_per_person*(1+tech_1_10*TblTech[[#This Row],[1-10]]+tech_7_5*TblTech[[#This Row],[7-5]])</f>
        <v>3234.75</v>
      </c>
      <c r="AQ80" s="97">
        <f ca="1">TblProd[[#This Row],[Lumber]]*lumber_rot * (1 + tech_2_1*TblTech[[#This Row],[2-1]] + tech_2_8*TblTech[[#This Row],[2-8]] + tech_5_2*TblTech[[#This Row],[5-2]])</f>
        <v>179.25</v>
      </c>
      <c r="AR80" s="97">
        <f ca="1">TblProd[[#This Row],[Mana]]*mana_drain * (1 + tech_2_1*TblTech[[#This Row],[2-1]] + tech_2_8*TblTech[[#This Row],[2-8]])</f>
        <v>96.37</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45432.916666666482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153735</v>
      </c>
      <c r="BJ80" s="97">
        <f ca="1">TblProd[[#This Row],[Food]]</f>
        <v>3462</v>
      </c>
      <c r="BK80" s="97">
        <f ca="1">TblProd[[#This Row],[Lumber]]</f>
        <v>17925</v>
      </c>
      <c r="BL80" s="97">
        <f ca="1">TblProd[[#This Row],[Mana]]</f>
        <v>4818.5</v>
      </c>
      <c r="BM80" s="97">
        <f ca="1">TblProd[[#This Row],[Ore]]</f>
        <v>0</v>
      </c>
    </row>
    <row r="81" spans="1:65" x14ac:dyDescent="0.2">
      <c r="A81" s="140">
        <v>6</v>
      </c>
      <c r="B81" s="155">
        <f ca="1">TblImps[[#This Row],[Time]]</f>
        <v>45432.958333333147</v>
      </c>
      <c r="C81" s="156"/>
      <c r="D81" s="157"/>
      <c r="E81" s="97">
        <f ca="1">TblConstr[[#This Row],[Land]]</f>
        <v>700</v>
      </c>
      <c r="F81" s="97">
        <f ca="1">TblPop[[#This Row],[Peasants]]</f>
        <v>9522</v>
      </c>
      <c r="G81" s="97">
        <f ca="1">TblMili[[#This Row],[Networth (2)]]</f>
        <v>34425.800000000003</v>
      </c>
      <c r="H81" s="97">
        <f ca="1">OFFSET(TblProd[[#This Row],[Platinum]],-1,0)+OFFSET(TblProd[[#This Row],[Plat/hr]],-1,0) - TblProd[[#This Row],[Expenses Platinum]] + IF(TblProd[[#This Row],[Plat Bonus]],TblPop[[#This Row],[Peasants]]*4) + SUM(TblConstr[[#This Row],[Dest Hom]:[Dest Doc]])*TblConstr[[#This Row],[CPA Platinum -DB]]*tech_3_3_2*TblTech[[#This Row],[3-3]]</f>
        <v>199845</v>
      </c>
      <c r="I81" s="97">
        <f ca="1">OFFSET(TblProd[[#This Row],[Food]],-1,0)+OFFSET(TblProd[[#This Row],[Food/hr]],-1,0)+ROUNDUP((TblConstr[[#This Row],[Farms]]*80+TblConstr[[#This Row],[Docks]]*35)*(1+OFFSET(TblProd[[#This Row],[Bonus Food/hr]],-1,0)),0)</f>
        <v>3555</v>
      </c>
      <c r="J81" s="97">
        <f ca="1">OFFSET(TblProd[[#This Row],[Lumber]],-1,0)+OFFSET(TblProd[[#This Row],[Lumber/hr]],-1,0) - TblProd[[#This Row],[Expenses Lumber]] + SUM(TblConstr[[#This Row],[Dest Hom]:[Dest Doc]])*TblConstr[[#This Row],[CPA Lumber -DB]]*tech_3_3_2*TblTech[[#This Row],[3-3]]</f>
        <v>18871</v>
      </c>
      <c r="K81" s="97">
        <f ca="1">OFFSET(TblProd[[#This Row],[Mana]],-1,0)+OFFSET(TblProd[[#This Row],[Mana/hr]],-1,0)- TblProd[[#This Row],[Expenses Mana]]</f>
        <v>5447.5</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34.249999999999993</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1" s="97">
        <f ca="1">MAX(3750,_xlfn.CEILING.MATH(TblProd[[#This Row],[Land]]*2.5+OFFSET(TblTech[[#This Row],[Sum of tech]],-1,0)*150))</f>
        <v>3750</v>
      </c>
      <c r="R81" s="145"/>
      <c r="S81" s="97">
        <f ca="1">ROUNDDOWN(TblProd[[#This Row],[Raw Plat/hr]]*(1+TblProd[[#This Row],[Bonus Plat/hr]]),0)</f>
        <v>45825</v>
      </c>
      <c r="T81" s="97">
        <f ca="1">ROUND(TblProd[[#This Row],[Raw Food/hr]]*(1+TblProd[[#This Row],[Bonus Food/hr]])-TblProd[[#This Row],[Food decay]]-TblProd[[#This Row],[Food eaten]],0)</f>
        <v>92</v>
      </c>
      <c r="U81" s="97">
        <f ca="1">ROUND(TblProd[[#This Row],[Raw Lumber/hr]]*(1+TblProd[[#This Row],[Bonus Lumber/hr]])-TblProd[[#This Row],[Lumber rot]],0)</f>
        <v>936</v>
      </c>
      <c r="V81" s="97">
        <f ca="1">ROUND(TblProd[[#This Row],[Raw Mana/hr]]*(1+TblProd[[#This Row],[Bonus Mana/hr]])-TblProd[[#This Row],[Mana drain]],0)</f>
        <v>616</v>
      </c>
      <c r="W81" s="97">
        <f ca="1">ROUNDDOWN(TblProd[[#This Row],[Raw Ore/hr]]*(1+TblProd[[#This Row],[Bonux Ore/hr]]),0)</f>
        <v>0</v>
      </c>
      <c r="X81" s="97">
        <f ca="1">ROUNDDOWN(TblProd[[#This Row],[Raw Gems/hr]]*(1+TblProd[[#This Row],[Bonus Gems/hr]]),0)</f>
        <v>0</v>
      </c>
      <c r="Y81" s="158">
        <f ca="1">OFFSET(TblConstr[[#This Row],[Tot Doc]],1,0)*dock_boats_hr * (1 + tech_4_1*TblTech[[#This Row],[4-1]])</f>
        <v>1.2000000000000002</v>
      </c>
      <c r="Z81" s="157"/>
      <c r="AA81" s="97">
        <f ca="1">TblPop[[#This Row],[Peasants]]*tax*TblPop[[#This Row],[Employment]] + (Construction!AZ82+Construction!BX82)*(alch_plat+(Magic!AM81&gt;0)*alchemist_flame_bonus)</f>
        <v>41659.4</v>
      </c>
      <c r="AB81" s="97">
        <f ca="1">TblConstr[[#This Row],[Tot Farm]]*farm_food + TblConstr[[#This Row],[Tot Doc]]*dock_food</f>
        <v>3280</v>
      </c>
      <c r="AC81" s="97">
        <f ca="1">TblConstr[[#This Row],[Tot Ly]]*ly_lumber + TblConstr[[#This Row],[Tot Hav]]*fh_lumber</f>
        <v>1250</v>
      </c>
      <c r="AD81" s="97">
        <f ca="1">OFFSET(TblConstr[[#This Row],[Tot Tow]],1,0)*(tower_mana + tech_4_5*TblTech[[#This Row],[4-5]]) + OFFSET(TblConstr[[#This Row],[Tot WG]],1,0)*wg_mana_prod</f>
        <v>725</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0.1</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1" s="159">
        <f ca="1">race_lumber_bonus+ IF(TblMagic[[#This Row],[Active Gaia''s Blessing]]&gt;0,gaias_blessing_lumber)+ tech_1_3*TblTech[[#This Row],[1-3]] + tech_1_6*TblTech[[#This Row],[1-6]] + tech_3_3*TblTech[[#This Row],[3-3]]</f>
        <v>-0.1</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0.15</v>
      </c>
      <c r="AN81" s="145"/>
      <c r="AO81" s="97">
        <f ca="1">TblProd[[#This Row],[Food]]*food_decay * (1 + tech_2_1*TblTech[[#This Row],[2-1]] + tech_2_8*TblTech[[#This Row],[2-8]])</f>
        <v>35.550000000000004</v>
      </c>
      <c r="AP81" s="97">
        <f ca="1">(1+race_food_consumption)*TblPop[[#This Row],[Total]]*food_per_person*(1+tech_1_10*TblTech[[#This Row],[1-10]]+tech_7_5*TblTech[[#This Row],[7-5]])</f>
        <v>3234.75</v>
      </c>
      <c r="AQ81" s="97">
        <f ca="1">TblProd[[#This Row],[Lumber]]*lumber_rot * (1 + tech_2_1*TblTech[[#This Row],[2-1]] + tech_2_8*TblTech[[#This Row],[2-8]] + tech_5_2*TblTech[[#This Row],[5-2]])</f>
        <v>188.71</v>
      </c>
      <c r="AR81" s="97">
        <f ca="1">TblProd[[#This Row],[Mana]]*mana_drain * (1 + tech_2_1*TblTech[[#This Row],[2-1]] + tech_2_8*TblTech[[#This Row],[2-8]])</f>
        <v>108.95</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45432.958333333147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199845</v>
      </c>
      <c r="BJ81" s="97">
        <f ca="1">TblProd[[#This Row],[Food]]</f>
        <v>3555</v>
      </c>
      <c r="BK81" s="97">
        <f ca="1">TblProd[[#This Row],[Lumber]]</f>
        <v>18871</v>
      </c>
      <c r="BL81" s="97">
        <f ca="1">TblProd[[#This Row],[Mana]]</f>
        <v>5447.5</v>
      </c>
      <c r="BM81" s="97">
        <f ca="1">TblProd[[#This Row],[Ore]]</f>
        <v>0</v>
      </c>
    </row>
    <row r="82" spans="1:65" x14ac:dyDescent="0.2">
      <c r="A82" s="140">
        <v>7</v>
      </c>
      <c r="B82" s="155">
        <f ca="1">TblImps[[#This Row],[Time]]</f>
        <v>45432.999999999811</v>
      </c>
      <c r="C82" s="156"/>
      <c r="D82" s="157"/>
      <c r="E82" s="97">
        <f ca="1">TblConstr[[#This Row],[Land]]</f>
        <v>700</v>
      </c>
      <c r="F82" s="97">
        <f ca="1">TblPop[[#This Row],[Peasants]]</f>
        <v>9427</v>
      </c>
      <c r="G82" s="97">
        <f ca="1">TblMili[[#This Row],[Networth (2)]]</f>
        <v>35026.1</v>
      </c>
      <c r="H82" s="97">
        <f ca="1">OFFSET(TblProd[[#This Row],[Platinum]],-1,0)+OFFSET(TblProd[[#This Row],[Plat/hr]],-1,0) - TblProd[[#This Row],[Expenses Platinum]] + IF(TblProd[[#This Row],[Plat Bonus]],TblPop[[#This Row],[Peasants]]*4) + SUM(TblConstr[[#This Row],[Dest Hom]:[Dest Doc]])*TblConstr[[#This Row],[CPA Platinum -DB]]*tech_3_3_2*TblTech[[#This Row],[3-3]]</f>
        <v>245670</v>
      </c>
      <c r="I82" s="97">
        <f ca="1">OFFSET(TblProd[[#This Row],[Food]],-1,0)+OFFSET(TblProd[[#This Row],[Food/hr]],-1,0)+ROUNDUP((TblConstr[[#This Row],[Farms]]*80+TblConstr[[#This Row],[Docks]]*35)*(1+OFFSET(TblProd[[#This Row],[Bonus Food/hr]],-1,0)),0)</f>
        <v>3647</v>
      </c>
      <c r="J82" s="97">
        <f ca="1">OFFSET(TblProd[[#This Row],[Lumber]],-1,0)+OFFSET(TblProd[[#This Row],[Lumber/hr]],-1,0) - TblProd[[#This Row],[Expenses Lumber]] + SUM(TblConstr[[#This Row],[Dest Hom]:[Dest Doc]])*TblConstr[[#This Row],[CPA Lumber -DB]]*tech_3_3_2*TblTech[[#This Row],[3-3]]</f>
        <v>19807</v>
      </c>
      <c r="K82" s="97">
        <f ca="1">OFFSET(TblProd[[#This Row],[Mana]],-1,0)+OFFSET(TblProd[[#This Row],[Mana/hr]],-1,0)- TblProd[[#This Row],[Expenses Mana]]</f>
        <v>6063.5</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35.449999999999996</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2" s="97">
        <f ca="1">MAX(3750,_xlfn.CEILING.MATH(TblProd[[#This Row],[Land]]*2.5+OFFSET(TblTech[[#This Row],[Sum of tech]],-1,0)*150))</f>
        <v>3750</v>
      </c>
      <c r="R82" s="145"/>
      <c r="S82" s="97">
        <f ca="1">ROUNDDOWN(TblProd[[#This Row],[Raw Plat/hr]]*(1+TblProd[[#This Row],[Bonus Plat/hr]]),0)</f>
        <v>45543</v>
      </c>
      <c r="T82" s="97">
        <f ca="1">ROUND(TblProd[[#This Row],[Raw Food/hr]]*(1+TblProd[[#This Row],[Bonus Food/hr]])-TblProd[[#This Row],[Food decay]]-TblProd[[#This Row],[Food eaten]],0)</f>
        <v>91</v>
      </c>
      <c r="U82" s="97">
        <f ca="1">ROUND(TblProd[[#This Row],[Raw Lumber/hr]]*(1+TblProd[[#This Row],[Bonus Lumber/hr]])-TblProd[[#This Row],[Lumber rot]],0)</f>
        <v>927</v>
      </c>
      <c r="V82" s="97">
        <f ca="1">ROUND(TblProd[[#This Row],[Raw Mana/hr]]*(1+TblProd[[#This Row],[Bonus Mana/hr]])-TblProd[[#This Row],[Mana drain]],0)</f>
        <v>604</v>
      </c>
      <c r="W82" s="97">
        <f ca="1">ROUNDDOWN(TblProd[[#This Row],[Raw Ore/hr]]*(1+TblProd[[#This Row],[Bonux Ore/hr]]),0)</f>
        <v>0</v>
      </c>
      <c r="X82" s="97">
        <f ca="1">ROUNDDOWN(TblProd[[#This Row],[Raw Gems/hr]]*(1+TblProd[[#This Row],[Bonus Gems/hr]]),0)</f>
        <v>0</v>
      </c>
      <c r="Y82" s="158">
        <f ca="1">OFFSET(TblConstr[[#This Row],[Tot Doc]],1,0)*dock_boats_hr * (1 + tech_4_1*TblTech[[#This Row],[4-1]])</f>
        <v>1.2000000000000002</v>
      </c>
      <c r="Z82" s="157"/>
      <c r="AA82" s="97">
        <f ca="1">TblPop[[#This Row],[Peasants]]*tax*TblPop[[#This Row],[Employment]] + (Construction!AZ83+Construction!BX83)*(alch_plat+(Magic!AM82&gt;0)*alchemist_flame_bonus)</f>
        <v>41402.9</v>
      </c>
      <c r="AB82" s="97">
        <f ca="1">TblConstr[[#This Row],[Tot Farm]]*farm_food + TblConstr[[#This Row],[Tot Doc]]*dock_food</f>
        <v>3280</v>
      </c>
      <c r="AC82" s="97">
        <f ca="1">TblConstr[[#This Row],[Tot Ly]]*ly_lumber + TblConstr[[#This Row],[Tot Hav]]*fh_lumber</f>
        <v>1250</v>
      </c>
      <c r="AD82" s="97">
        <f ca="1">OFFSET(TblConstr[[#This Row],[Tot Tow]],1,0)*(tower_mana + tech_4_5*TblTech[[#This Row],[4-5]]) + OFFSET(TblConstr[[#This Row],[Tot WG]],1,0)*wg_mana_prod</f>
        <v>725</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0.1</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2" s="159">
        <f ca="1">race_lumber_bonus+ IF(TblMagic[[#This Row],[Active Gaia''s Blessing]]&gt;0,gaias_blessing_lumber)+ tech_1_3*TblTech[[#This Row],[1-3]] + tech_1_6*TblTech[[#This Row],[1-6]] + tech_3_3*TblTech[[#This Row],[3-3]]</f>
        <v>-0.1</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0.15</v>
      </c>
      <c r="AN82" s="145"/>
      <c r="AO82" s="97">
        <f ca="1">TblProd[[#This Row],[Food]]*food_decay * (1 + tech_2_1*TblTech[[#This Row],[2-1]] + tech_2_8*TblTech[[#This Row],[2-8]])</f>
        <v>36.47</v>
      </c>
      <c r="AP82" s="97">
        <f ca="1">(1+race_food_consumption)*TblPop[[#This Row],[Total]]*food_per_person*(1+tech_1_10*TblTech[[#This Row],[1-10]]+tech_7_5*TblTech[[#This Row],[7-5]])</f>
        <v>3234.75</v>
      </c>
      <c r="AQ82" s="97">
        <f ca="1">TblProd[[#This Row],[Lumber]]*lumber_rot * (1 + tech_2_1*TblTech[[#This Row],[2-1]] + tech_2_8*TblTech[[#This Row],[2-8]] + tech_5_2*TblTech[[#This Row],[5-2]])</f>
        <v>198.07</v>
      </c>
      <c r="AR82" s="97">
        <f ca="1">TblProd[[#This Row],[Mana]]*mana_drain * (1 + tech_2_1*TblTech[[#This Row],[2-1]] + tech_2_8*TblTech[[#This Row],[2-8]])</f>
        <v>121.27</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45432.999999999811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245670</v>
      </c>
      <c r="BJ82" s="97">
        <f ca="1">TblProd[[#This Row],[Food]]</f>
        <v>3647</v>
      </c>
      <c r="BK82" s="97">
        <f ca="1">TblProd[[#This Row],[Lumber]]</f>
        <v>19807</v>
      </c>
      <c r="BL82" s="97">
        <f ca="1">TblProd[[#This Row],[Mana]]</f>
        <v>6063.5</v>
      </c>
      <c r="BM82" s="97">
        <f ca="1">TblProd[[#This Row],[Ore]]</f>
        <v>0</v>
      </c>
    </row>
    <row r="83" spans="1:65" x14ac:dyDescent="0.2">
      <c r="A83" s="140">
        <v>8</v>
      </c>
      <c r="B83" s="155">
        <f ca="1">TblImps[[#This Row],[Time]]</f>
        <v>45433.041666666475</v>
      </c>
      <c r="C83" s="156"/>
      <c r="D83" s="157"/>
      <c r="E83" s="97">
        <f ca="1">TblConstr[[#This Row],[Land]]</f>
        <v>700</v>
      </c>
      <c r="F83" s="97">
        <f ca="1">TblPop[[#This Row],[Peasants]]</f>
        <v>9333</v>
      </c>
      <c r="G83" s="97">
        <f ca="1">TblMili[[#This Row],[Networth (2)]]</f>
        <v>35564.300000000003</v>
      </c>
      <c r="H83" s="97">
        <f ca="1">OFFSET(TblProd[[#This Row],[Platinum]],-1,0)+OFFSET(TblProd[[#This Row],[Plat/hr]],-1,0) - TblProd[[#This Row],[Expenses Platinum]] + IF(TblProd[[#This Row],[Plat Bonus]],TblPop[[#This Row],[Peasants]]*4) + SUM(TblConstr[[#This Row],[Dest Hom]:[Dest Doc]])*TblConstr[[#This Row],[CPA Platinum -DB]]*tech_3_3_2*TblTech[[#This Row],[3-3]]</f>
        <v>291213</v>
      </c>
      <c r="I83" s="97">
        <f ca="1">OFFSET(TblProd[[#This Row],[Food]],-1,0)+OFFSET(TblProd[[#This Row],[Food/hr]],-1,0)+ROUNDUP((TblConstr[[#This Row],[Farms]]*80+TblConstr[[#This Row],[Docks]]*35)*(1+OFFSET(TblProd[[#This Row],[Bonus Food/hr]],-1,0)),0)</f>
        <v>3738</v>
      </c>
      <c r="J83" s="97">
        <f ca="1">OFFSET(TblProd[[#This Row],[Lumber]],-1,0)+OFFSET(TblProd[[#This Row],[Lumber/hr]],-1,0) - TblProd[[#This Row],[Expenses Lumber]] + SUM(TblConstr[[#This Row],[Dest Hom]:[Dest Doc]])*TblConstr[[#This Row],[CPA Lumber -DB]]*tech_3_3_2*TblTech[[#This Row],[3-3]]</f>
        <v>20734</v>
      </c>
      <c r="K83" s="97">
        <f ca="1">OFFSET(TblProd[[#This Row],[Mana]],-1,0)+OFFSET(TblProd[[#This Row],[Mana/hr]],-1,0)- TblProd[[#This Row],[Expenses Mana]]</f>
        <v>6667.5</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36.65</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3" s="97">
        <f ca="1">MAX(3750,_xlfn.CEILING.MATH(TblProd[[#This Row],[Land]]*2.5+OFFSET(TblTech[[#This Row],[Sum of tech]],-1,0)*150))</f>
        <v>3750</v>
      </c>
      <c r="R83" s="145"/>
      <c r="S83" s="97">
        <f ca="1">ROUNDDOWN(TblProd[[#This Row],[Raw Plat/hr]]*(1+TblProd[[#This Row],[Bonus Plat/hr]]),0)</f>
        <v>45264</v>
      </c>
      <c r="T83" s="97">
        <f ca="1">ROUND(TblProd[[#This Row],[Raw Food/hr]]*(1+TblProd[[#This Row],[Bonus Food/hr]])-TblProd[[#This Row],[Food decay]]-TblProd[[#This Row],[Food eaten]],0)</f>
        <v>90</v>
      </c>
      <c r="U83" s="97">
        <f ca="1">ROUND(TblProd[[#This Row],[Raw Lumber/hr]]*(1+TblProd[[#This Row],[Bonus Lumber/hr]])-TblProd[[#This Row],[Lumber rot]],0)</f>
        <v>918</v>
      </c>
      <c r="V83" s="97">
        <f ca="1">ROUND(TblProd[[#This Row],[Raw Mana/hr]]*(1+TblProd[[#This Row],[Bonus Mana/hr]])-TblProd[[#This Row],[Mana drain]],0)</f>
        <v>592</v>
      </c>
      <c r="W83" s="97">
        <f ca="1">ROUNDDOWN(TblProd[[#This Row],[Raw Ore/hr]]*(1+TblProd[[#This Row],[Bonux Ore/hr]]),0)</f>
        <v>0</v>
      </c>
      <c r="X83" s="97">
        <f ca="1">ROUNDDOWN(TblProd[[#This Row],[Raw Gems/hr]]*(1+TblProd[[#This Row],[Bonus Gems/hr]]),0)</f>
        <v>0</v>
      </c>
      <c r="Y83" s="158">
        <f ca="1">OFFSET(TblConstr[[#This Row],[Tot Doc]],1,0)*dock_boats_hr * (1 + tech_4_1*TblTech[[#This Row],[4-1]])</f>
        <v>1.2000000000000002</v>
      </c>
      <c r="Z83" s="157"/>
      <c r="AA83" s="97">
        <f ca="1">TblPop[[#This Row],[Peasants]]*tax*TblPop[[#This Row],[Employment]] + (Construction!AZ84+Construction!BX84)*(alch_plat+(Magic!AM83&gt;0)*alchemist_flame_bonus)</f>
        <v>41149.100000000006</v>
      </c>
      <c r="AB83" s="97">
        <f ca="1">TblConstr[[#This Row],[Tot Farm]]*farm_food + TblConstr[[#This Row],[Tot Doc]]*dock_food</f>
        <v>3280</v>
      </c>
      <c r="AC83" s="97">
        <f ca="1">TblConstr[[#This Row],[Tot Ly]]*ly_lumber + TblConstr[[#This Row],[Tot Hav]]*fh_lumber</f>
        <v>1250</v>
      </c>
      <c r="AD83" s="97">
        <f ca="1">OFFSET(TblConstr[[#This Row],[Tot Tow]],1,0)*(tower_mana + tech_4_5*TblTech[[#This Row],[4-5]]) + OFFSET(TblConstr[[#This Row],[Tot WG]],1,0)*wg_mana_prod</f>
        <v>725</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0.1</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3" s="159">
        <f ca="1">race_lumber_bonus+ IF(TblMagic[[#This Row],[Active Gaia''s Blessing]]&gt;0,gaias_blessing_lumber)+ tech_1_3*TblTech[[#This Row],[1-3]] + tech_1_6*TblTech[[#This Row],[1-6]] + tech_3_3*TblTech[[#This Row],[3-3]]</f>
        <v>-0.1</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0.15</v>
      </c>
      <c r="AN83" s="145"/>
      <c r="AO83" s="97">
        <f ca="1">TblProd[[#This Row],[Food]]*food_decay * (1 + tech_2_1*TblTech[[#This Row],[2-1]] + tech_2_8*TblTech[[#This Row],[2-8]])</f>
        <v>37.380000000000003</v>
      </c>
      <c r="AP83" s="97">
        <f ca="1">(1+race_food_consumption)*TblPop[[#This Row],[Total]]*food_per_person*(1+tech_1_10*TblTech[[#This Row],[1-10]]+tech_7_5*TblTech[[#This Row],[7-5]])</f>
        <v>3234.75</v>
      </c>
      <c r="AQ83" s="97">
        <f ca="1">TblProd[[#This Row],[Lumber]]*lumber_rot * (1 + tech_2_1*TblTech[[#This Row],[2-1]] + tech_2_8*TblTech[[#This Row],[2-8]] + tech_5_2*TblTech[[#This Row],[5-2]])</f>
        <v>207.34</v>
      </c>
      <c r="AR83" s="97">
        <f ca="1">TblProd[[#This Row],[Mana]]*mana_drain * (1 + tech_2_1*TblTech[[#This Row],[2-1]] + tech_2_8*TblTech[[#This Row],[2-8]])</f>
        <v>133.35</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45433.041666666475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291213</v>
      </c>
      <c r="BJ83" s="97">
        <f ca="1">TblProd[[#This Row],[Food]]</f>
        <v>3738</v>
      </c>
      <c r="BK83" s="97">
        <f ca="1">TblProd[[#This Row],[Lumber]]</f>
        <v>20734</v>
      </c>
      <c r="BL83" s="97">
        <f ca="1">TblProd[[#This Row],[Mana]]</f>
        <v>6667.5</v>
      </c>
      <c r="BM83" s="97">
        <f ca="1">TblProd[[#This Row],[Ore]]</f>
        <v>0</v>
      </c>
    </row>
    <row r="84" spans="1:65" x14ac:dyDescent="0.2">
      <c r="A84" s="140">
        <v>9</v>
      </c>
      <c r="B84" s="155">
        <f ca="1">TblImps[[#This Row],[Time]]</f>
        <v>45433.083333333139</v>
      </c>
      <c r="C84" s="156"/>
      <c r="D84" s="157"/>
      <c r="E84" s="97">
        <f ca="1">TblConstr[[#This Row],[Land]]</f>
        <v>700</v>
      </c>
      <c r="F84" s="97">
        <f ca="1">TblPop[[#This Row],[Peasants]]</f>
        <v>9240</v>
      </c>
      <c r="G84" s="97">
        <f ca="1">TblMili[[#This Row],[Networth (2)]]</f>
        <v>36630.35</v>
      </c>
      <c r="H84" s="97">
        <f ca="1">OFFSET(TblProd[[#This Row],[Platinum]],-1,0)+OFFSET(TblProd[[#This Row],[Plat/hr]],-1,0) - TblProd[[#This Row],[Expenses Platinum]] + IF(TblProd[[#This Row],[Plat Bonus]],TblPop[[#This Row],[Peasants]]*4) + SUM(TblConstr[[#This Row],[Dest Hom]:[Dest Doc]])*TblConstr[[#This Row],[CPA Platinum -DB]]*tech_3_3_2*TblTech[[#This Row],[3-3]]</f>
        <v>336477</v>
      </c>
      <c r="I84" s="97">
        <f ca="1">OFFSET(TblProd[[#This Row],[Food]],-1,0)+OFFSET(TblProd[[#This Row],[Food/hr]],-1,0)+ROUNDUP((TblConstr[[#This Row],[Farms]]*80+TblConstr[[#This Row],[Docks]]*35)*(1+OFFSET(TblProd[[#This Row],[Bonus Food/hr]],-1,0)),0)</f>
        <v>3828</v>
      </c>
      <c r="J84" s="97">
        <f ca="1">OFFSET(TblProd[[#This Row],[Lumber]],-1,0)+OFFSET(TblProd[[#This Row],[Lumber/hr]],-1,0) - TblProd[[#This Row],[Expenses Lumber]] + SUM(TblConstr[[#This Row],[Dest Hom]:[Dest Doc]])*TblConstr[[#This Row],[CPA Lumber -DB]]*tech_3_3_2*TblTech[[#This Row],[3-3]]</f>
        <v>21652</v>
      </c>
      <c r="K84" s="97">
        <f ca="1">OFFSET(TblProd[[#This Row],[Mana]],-1,0)+OFFSET(TblProd[[#This Row],[Mana/hr]],-1,0)- TblProd[[#This Row],[Expenses Mana]]</f>
        <v>7259.5</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37.85</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4" s="97">
        <f ca="1">MAX(3750,_xlfn.CEILING.MATH(TblProd[[#This Row],[Land]]*2.5+OFFSET(TblTech[[#This Row],[Sum of tech]],-1,0)*150))</f>
        <v>3750</v>
      </c>
      <c r="R84" s="145"/>
      <c r="S84" s="97">
        <f ca="1">ROUNDDOWN(TblProd[[#This Row],[Raw Plat/hr]]*(1+TblProd[[#This Row],[Bonus Plat/hr]]),0)</f>
        <v>44987</v>
      </c>
      <c r="T84" s="97">
        <f ca="1">ROUND(TblProd[[#This Row],[Raw Food/hr]]*(1+TblProd[[#This Row],[Bonus Food/hr]])-TblProd[[#This Row],[Food decay]]-TblProd[[#This Row],[Food eaten]],0)</f>
        <v>89</v>
      </c>
      <c r="U84" s="97">
        <f ca="1">ROUND(TblProd[[#This Row],[Raw Lumber/hr]]*(1+TblProd[[#This Row],[Bonus Lumber/hr]])-TblProd[[#This Row],[Lumber rot]],0)</f>
        <v>908</v>
      </c>
      <c r="V84" s="97">
        <f ca="1">ROUND(TblProd[[#This Row],[Raw Mana/hr]]*(1+TblProd[[#This Row],[Bonus Mana/hr]])-TblProd[[#This Row],[Mana drain]],0)</f>
        <v>580</v>
      </c>
      <c r="W84" s="97">
        <f ca="1">ROUNDDOWN(TblProd[[#This Row],[Raw Ore/hr]]*(1+TblProd[[#This Row],[Bonux Ore/hr]]),0)</f>
        <v>0</v>
      </c>
      <c r="X84" s="97">
        <f ca="1">ROUNDDOWN(TblProd[[#This Row],[Raw Gems/hr]]*(1+TblProd[[#This Row],[Bonus Gems/hr]]),0)</f>
        <v>0</v>
      </c>
      <c r="Y84" s="158">
        <f ca="1">OFFSET(TblConstr[[#This Row],[Tot Doc]],1,0)*dock_boats_hr * (1 + tech_4_1*TblTech[[#This Row],[4-1]])</f>
        <v>1.2000000000000002</v>
      </c>
      <c r="Z84" s="157"/>
      <c r="AA84" s="97">
        <f ca="1">TblPop[[#This Row],[Peasants]]*tax*TblPop[[#This Row],[Employment]] + (Construction!AZ85+Construction!BX85)*(alch_plat+(Magic!AM84&gt;0)*alchemist_flame_bonus)</f>
        <v>40898</v>
      </c>
      <c r="AB84" s="97">
        <f ca="1">TblConstr[[#This Row],[Tot Farm]]*farm_food + TblConstr[[#This Row],[Tot Doc]]*dock_food</f>
        <v>3280</v>
      </c>
      <c r="AC84" s="97">
        <f ca="1">TblConstr[[#This Row],[Tot Ly]]*ly_lumber + TblConstr[[#This Row],[Tot Hav]]*fh_lumber</f>
        <v>1250</v>
      </c>
      <c r="AD84" s="97">
        <f ca="1">OFFSET(TblConstr[[#This Row],[Tot Tow]],1,0)*(tower_mana + tech_4_5*TblTech[[#This Row],[4-5]]) + OFFSET(TblConstr[[#This Row],[Tot WG]],1,0)*wg_mana_prod</f>
        <v>725</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0.1</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4" s="159">
        <f ca="1">race_lumber_bonus+ IF(TblMagic[[#This Row],[Active Gaia''s Blessing]]&gt;0,gaias_blessing_lumber)+ tech_1_3*TblTech[[#This Row],[1-3]] + tech_1_6*TblTech[[#This Row],[1-6]] + tech_3_3*TblTech[[#This Row],[3-3]]</f>
        <v>-0.1</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0.15</v>
      </c>
      <c r="AN84" s="145"/>
      <c r="AO84" s="97">
        <f ca="1">TblProd[[#This Row],[Food]]*food_decay * (1 + tech_2_1*TblTech[[#This Row],[2-1]] + tech_2_8*TblTech[[#This Row],[2-8]])</f>
        <v>38.28</v>
      </c>
      <c r="AP84" s="97">
        <f ca="1">(1+race_food_consumption)*TblPop[[#This Row],[Total]]*food_per_person*(1+tech_1_10*TblTech[[#This Row],[1-10]]+tech_7_5*TblTech[[#This Row],[7-5]])</f>
        <v>3234.75</v>
      </c>
      <c r="AQ84" s="97">
        <f ca="1">TblProd[[#This Row],[Lumber]]*lumber_rot * (1 + tech_2_1*TblTech[[#This Row],[2-1]] + tech_2_8*TblTech[[#This Row],[2-8]] + tech_5_2*TblTech[[#This Row],[5-2]])</f>
        <v>216.52</v>
      </c>
      <c r="AR84" s="97">
        <f ca="1">TblProd[[#This Row],[Mana]]*mana_drain * (1 + tech_2_1*TblTech[[#This Row],[2-1]] + tech_2_8*TblTech[[#This Row],[2-8]])</f>
        <v>145.19</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45433.083333333139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336477</v>
      </c>
      <c r="BJ84" s="97">
        <f ca="1">TblProd[[#This Row],[Food]]</f>
        <v>3828</v>
      </c>
      <c r="BK84" s="97">
        <f ca="1">TblProd[[#This Row],[Lumber]]</f>
        <v>21652</v>
      </c>
      <c r="BL84" s="97">
        <f ca="1">TblProd[[#This Row],[Mana]]</f>
        <v>7259.5</v>
      </c>
      <c r="BM84" s="97">
        <f ca="1">TblProd[[#This Row],[Ore]]</f>
        <v>0</v>
      </c>
    </row>
    <row r="85" spans="1:65" x14ac:dyDescent="0.2">
      <c r="A85" s="140">
        <v>10</v>
      </c>
      <c r="B85" s="155">
        <f ca="1">TblImps[[#This Row],[Time]]</f>
        <v>45433.124999999804</v>
      </c>
      <c r="C85" s="156"/>
      <c r="D85" s="157"/>
      <c r="E85" s="97">
        <f ca="1">TblConstr[[#This Row],[Land]]</f>
        <v>700</v>
      </c>
      <c r="F85" s="97">
        <f ca="1">TblPop[[#This Row],[Peasants]]</f>
        <v>9148</v>
      </c>
      <c r="G85" s="97">
        <f ca="1">TblMili[[#This Row],[Networth (2)]]</f>
        <v>37686.050000000003</v>
      </c>
      <c r="H85" s="97">
        <f ca="1">OFFSET(TblProd[[#This Row],[Platinum]],-1,0)+OFFSET(TblProd[[#This Row],[Plat/hr]],-1,0) - TblProd[[#This Row],[Expenses Platinum]] + IF(TblProd[[#This Row],[Plat Bonus]],TblPop[[#This Row],[Peasants]]*4) + SUM(TblConstr[[#This Row],[Dest Hom]:[Dest Doc]])*TblConstr[[#This Row],[CPA Platinum -DB]]*tech_3_3_2*TblTech[[#This Row],[3-3]]</f>
        <v>381464</v>
      </c>
      <c r="I85" s="97">
        <f ca="1">OFFSET(TblProd[[#This Row],[Food]],-1,0)+OFFSET(TblProd[[#This Row],[Food/hr]],-1,0)+ROUNDUP((TblConstr[[#This Row],[Farms]]*80+TblConstr[[#This Row],[Docks]]*35)*(1+OFFSET(TblProd[[#This Row],[Bonus Food/hr]],-1,0)),0)</f>
        <v>3917</v>
      </c>
      <c r="J85" s="97">
        <f ca="1">OFFSET(TblProd[[#This Row],[Lumber]],-1,0)+OFFSET(TblProd[[#This Row],[Lumber/hr]],-1,0) - TblProd[[#This Row],[Expenses Lumber]] + SUM(TblConstr[[#This Row],[Dest Hom]:[Dest Doc]])*TblConstr[[#This Row],[CPA Lumber -DB]]*tech_3_3_2*TblTech[[#This Row],[3-3]]</f>
        <v>22560</v>
      </c>
      <c r="K85" s="97">
        <f ca="1">OFFSET(TblProd[[#This Row],[Mana]],-1,0)+OFFSET(TblProd[[#This Row],[Mana/hr]],-1,0)- TblProd[[#This Row],[Expenses Mana]]</f>
        <v>7839.5</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39.050000000000004</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5" s="97">
        <f ca="1">MAX(3750,_xlfn.CEILING.MATH(TblProd[[#This Row],[Land]]*2.5+OFFSET(TblTech[[#This Row],[Sum of tech]],-1,0)*150))</f>
        <v>3750</v>
      </c>
      <c r="R85" s="145"/>
      <c r="S85" s="97">
        <f ca="1">ROUNDDOWN(TblProd[[#This Row],[Raw Plat/hr]]*(1+TblProd[[#This Row],[Bonus Plat/hr]]),0)</f>
        <v>44714</v>
      </c>
      <c r="T85" s="97">
        <f ca="1">ROUND(TblProd[[#This Row],[Raw Food/hr]]*(1+TblProd[[#This Row],[Bonus Food/hr]])-TblProd[[#This Row],[Food decay]]-TblProd[[#This Row],[Food eaten]],0)</f>
        <v>88</v>
      </c>
      <c r="U85" s="97">
        <f ca="1">ROUND(TblProd[[#This Row],[Raw Lumber/hr]]*(1+TblProd[[#This Row],[Bonus Lumber/hr]])-TblProd[[#This Row],[Lumber rot]],0)</f>
        <v>899</v>
      </c>
      <c r="V85" s="97">
        <f ca="1">ROUND(TblProd[[#This Row],[Raw Mana/hr]]*(1+TblProd[[#This Row],[Bonus Mana/hr]])-TblProd[[#This Row],[Mana drain]],0)</f>
        <v>568</v>
      </c>
      <c r="W85" s="97">
        <f ca="1">ROUNDDOWN(TblProd[[#This Row],[Raw Ore/hr]]*(1+TblProd[[#This Row],[Bonux Ore/hr]]),0)</f>
        <v>0</v>
      </c>
      <c r="X85" s="97">
        <f ca="1">ROUNDDOWN(TblProd[[#This Row],[Raw Gems/hr]]*(1+TblProd[[#This Row],[Bonus Gems/hr]]),0)</f>
        <v>0</v>
      </c>
      <c r="Y85" s="158">
        <f ca="1">OFFSET(TblConstr[[#This Row],[Tot Doc]],1,0)*dock_boats_hr * (1 + tech_4_1*TblTech[[#This Row],[4-1]])</f>
        <v>1.2000000000000002</v>
      </c>
      <c r="Z85" s="157"/>
      <c r="AA85" s="97">
        <f ca="1">TblPop[[#This Row],[Peasants]]*tax*TblPop[[#This Row],[Employment]] + (Construction!AZ86+Construction!BX86)*(alch_plat+(Magic!AM85&gt;0)*alchemist_flame_bonus)</f>
        <v>40649.600000000006</v>
      </c>
      <c r="AB85" s="97">
        <f ca="1">TblConstr[[#This Row],[Tot Farm]]*farm_food + TblConstr[[#This Row],[Tot Doc]]*dock_food</f>
        <v>3280</v>
      </c>
      <c r="AC85" s="97">
        <f ca="1">TblConstr[[#This Row],[Tot Ly]]*ly_lumber + TblConstr[[#This Row],[Tot Hav]]*fh_lumber</f>
        <v>1250</v>
      </c>
      <c r="AD85" s="97">
        <f ca="1">OFFSET(TblConstr[[#This Row],[Tot Tow]],1,0)*(tower_mana + tech_4_5*TblTech[[#This Row],[4-5]]) + OFFSET(TblConstr[[#This Row],[Tot WG]],1,0)*wg_mana_prod</f>
        <v>725</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0.1</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5" s="159">
        <f ca="1">race_lumber_bonus+ IF(TblMagic[[#This Row],[Active Gaia''s Blessing]]&gt;0,gaias_blessing_lumber)+ tech_1_3*TblTech[[#This Row],[1-3]] + tech_1_6*TblTech[[#This Row],[1-6]] + tech_3_3*TblTech[[#This Row],[3-3]]</f>
        <v>-0.1</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0.15</v>
      </c>
      <c r="AN85" s="145"/>
      <c r="AO85" s="97">
        <f ca="1">TblProd[[#This Row],[Food]]*food_decay * (1 + tech_2_1*TblTech[[#This Row],[2-1]] + tech_2_8*TblTech[[#This Row],[2-8]])</f>
        <v>39.17</v>
      </c>
      <c r="AP85" s="97">
        <f ca="1">(1+race_food_consumption)*TblPop[[#This Row],[Total]]*food_per_person*(1+tech_1_10*TblTech[[#This Row],[1-10]]+tech_7_5*TblTech[[#This Row],[7-5]])</f>
        <v>3234.75</v>
      </c>
      <c r="AQ85" s="97">
        <f ca="1">TblProd[[#This Row],[Lumber]]*lumber_rot * (1 + tech_2_1*TblTech[[#This Row],[2-1]] + tech_2_8*TblTech[[#This Row],[2-8]] + tech_5_2*TblTech[[#This Row],[5-2]])</f>
        <v>225.6</v>
      </c>
      <c r="AR85" s="97">
        <f ca="1">TblProd[[#This Row],[Mana]]*mana_drain * (1 + tech_2_1*TblTech[[#This Row],[2-1]] + tech_2_8*TblTech[[#This Row],[2-8]])</f>
        <v>156.79</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45433.124999999804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381464</v>
      </c>
      <c r="BJ85" s="97">
        <f ca="1">TblProd[[#This Row],[Food]]</f>
        <v>3917</v>
      </c>
      <c r="BK85" s="97">
        <f ca="1">TblProd[[#This Row],[Lumber]]</f>
        <v>22560</v>
      </c>
      <c r="BL85" s="97">
        <f ca="1">TblProd[[#This Row],[Mana]]</f>
        <v>7839.5</v>
      </c>
      <c r="BM85" s="97">
        <f ca="1">TblProd[[#This Row],[Ore]]</f>
        <v>0</v>
      </c>
    </row>
    <row r="86" spans="1:65" x14ac:dyDescent="0.2">
      <c r="A86" s="140">
        <v>11</v>
      </c>
      <c r="B86" s="155">
        <f ca="1">TblImps[[#This Row],[Time]]</f>
        <v>45433.166666666468</v>
      </c>
      <c r="C86" s="156"/>
      <c r="D86" s="157"/>
      <c r="E86" s="97">
        <f ca="1">TblConstr[[#This Row],[Land]]</f>
        <v>700</v>
      </c>
      <c r="F86" s="97">
        <f ca="1">TblPop[[#This Row],[Peasants]]</f>
        <v>9057</v>
      </c>
      <c r="G86" s="97">
        <f ca="1">TblMili[[#This Row],[Networth (2)]]</f>
        <v>38971.4</v>
      </c>
      <c r="H86" s="97">
        <f ca="1">OFFSET(TblProd[[#This Row],[Platinum]],-1,0)+OFFSET(TblProd[[#This Row],[Plat/hr]],-1,0) - TblProd[[#This Row],[Expenses Platinum]] + IF(TblProd[[#This Row],[Plat Bonus]],TblPop[[#This Row],[Peasants]]*4) + SUM(TblConstr[[#This Row],[Dest Hom]:[Dest Doc]])*TblConstr[[#This Row],[CPA Platinum -DB]]*tech_3_3_2*TblTech[[#This Row],[3-3]]</f>
        <v>426178</v>
      </c>
      <c r="I86" s="97">
        <f ca="1">OFFSET(TblProd[[#This Row],[Food]],-1,0)+OFFSET(TblProd[[#This Row],[Food/hr]],-1,0)+ROUNDUP((TblConstr[[#This Row],[Farms]]*80+TblConstr[[#This Row],[Docks]]*35)*(1+OFFSET(TblProd[[#This Row],[Bonus Food/hr]],-1,0)),0)</f>
        <v>4005</v>
      </c>
      <c r="J86" s="97">
        <f ca="1">OFFSET(TblProd[[#This Row],[Lumber]],-1,0)+OFFSET(TblProd[[#This Row],[Lumber/hr]],-1,0) - TblProd[[#This Row],[Expenses Lumber]] + SUM(TblConstr[[#This Row],[Dest Hom]:[Dest Doc]])*TblConstr[[#This Row],[CPA Lumber -DB]]*tech_3_3_2*TblTech[[#This Row],[3-3]]</f>
        <v>23459</v>
      </c>
      <c r="K86" s="97">
        <f ca="1">OFFSET(TblProd[[#This Row],[Mana]],-1,0)+OFFSET(TblProd[[#This Row],[Mana/hr]],-1,0)- TblProd[[#This Row],[Expenses Mana]]</f>
        <v>8407.5</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40.250000000000007</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6" s="97">
        <f ca="1">MAX(3750,_xlfn.CEILING.MATH(TblProd[[#This Row],[Land]]*2.5+OFFSET(TblTech[[#This Row],[Sum of tech]],-1,0)*150))</f>
        <v>3750</v>
      </c>
      <c r="R86" s="145"/>
      <c r="S86" s="97">
        <f ca="1">ROUNDDOWN(TblProd[[#This Row],[Raw Plat/hr]]*(1+TblProd[[#This Row],[Bonus Plat/hr]]),0)</f>
        <v>44444</v>
      </c>
      <c r="T86" s="97">
        <f ca="1">ROUND(TblProd[[#This Row],[Raw Food/hr]]*(1+TblProd[[#This Row],[Bonus Food/hr]])-TblProd[[#This Row],[Food decay]]-TblProd[[#This Row],[Food eaten]],0)</f>
        <v>87</v>
      </c>
      <c r="U86" s="97">
        <f ca="1">ROUND(TblProd[[#This Row],[Raw Lumber/hr]]*(1+TblProd[[#This Row],[Bonus Lumber/hr]])-TblProd[[#This Row],[Lumber rot]],0)</f>
        <v>890</v>
      </c>
      <c r="V86" s="97">
        <f ca="1">ROUND(TblProd[[#This Row],[Raw Mana/hr]]*(1+TblProd[[#This Row],[Bonus Mana/hr]])-TblProd[[#This Row],[Mana drain]],0)</f>
        <v>557</v>
      </c>
      <c r="W86" s="97">
        <f ca="1">ROUNDDOWN(TblProd[[#This Row],[Raw Ore/hr]]*(1+TblProd[[#This Row],[Bonux Ore/hr]]),0)</f>
        <v>0</v>
      </c>
      <c r="X86" s="97">
        <f ca="1">ROUNDDOWN(TblProd[[#This Row],[Raw Gems/hr]]*(1+TblProd[[#This Row],[Bonus Gems/hr]]),0)</f>
        <v>0</v>
      </c>
      <c r="Y86" s="158">
        <f ca="1">OFFSET(TblConstr[[#This Row],[Tot Doc]],1,0)*dock_boats_hr * (1 + tech_4_1*TblTech[[#This Row],[4-1]])</f>
        <v>1.2000000000000002</v>
      </c>
      <c r="Z86" s="157"/>
      <c r="AA86" s="97">
        <f ca="1">TblPop[[#This Row],[Peasants]]*tax*TblPop[[#This Row],[Employment]] + (Construction!AZ87+Construction!BX87)*(alch_plat+(Magic!AM86&gt;0)*alchemist_flame_bonus)</f>
        <v>40403.9</v>
      </c>
      <c r="AB86" s="97">
        <f ca="1">TblConstr[[#This Row],[Tot Farm]]*farm_food + TblConstr[[#This Row],[Tot Doc]]*dock_food</f>
        <v>3280</v>
      </c>
      <c r="AC86" s="97">
        <f ca="1">TblConstr[[#This Row],[Tot Ly]]*ly_lumber + TblConstr[[#This Row],[Tot Hav]]*fh_lumber</f>
        <v>1250</v>
      </c>
      <c r="AD86" s="97">
        <f ca="1">OFFSET(TblConstr[[#This Row],[Tot Tow]],1,0)*(tower_mana + tech_4_5*TblTech[[#This Row],[4-5]]) + OFFSET(TblConstr[[#This Row],[Tot WG]],1,0)*wg_mana_prod</f>
        <v>725</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0.1</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6" s="159">
        <f ca="1">race_lumber_bonus+ IF(TblMagic[[#This Row],[Active Gaia''s Blessing]]&gt;0,gaias_blessing_lumber)+ tech_1_3*TblTech[[#This Row],[1-3]] + tech_1_6*TblTech[[#This Row],[1-6]] + tech_3_3*TblTech[[#This Row],[3-3]]</f>
        <v>-0.1</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0.15</v>
      </c>
      <c r="AN86" s="145"/>
      <c r="AO86" s="97">
        <f ca="1">TblProd[[#This Row],[Food]]*food_decay * (1 + tech_2_1*TblTech[[#This Row],[2-1]] + tech_2_8*TblTech[[#This Row],[2-8]])</f>
        <v>40.050000000000004</v>
      </c>
      <c r="AP86" s="97">
        <f ca="1">(1+race_food_consumption)*TblPop[[#This Row],[Total]]*food_per_person*(1+tech_1_10*TblTech[[#This Row],[1-10]]+tech_7_5*TblTech[[#This Row],[7-5]])</f>
        <v>3234.75</v>
      </c>
      <c r="AQ86" s="97">
        <f ca="1">TblProd[[#This Row],[Lumber]]*lumber_rot * (1 + tech_2_1*TblTech[[#This Row],[2-1]] + tech_2_8*TblTech[[#This Row],[2-8]] + tech_5_2*TblTech[[#This Row],[5-2]])</f>
        <v>234.59</v>
      </c>
      <c r="AR86" s="97">
        <f ca="1">TblProd[[#This Row],[Mana]]*mana_drain * (1 + tech_2_1*TblTech[[#This Row],[2-1]] + tech_2_8*TblTech[[#This Row],[2-8]])</f>
        <v>168.15</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45433.166666666468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426178</v>
      </c>
      <c r="BJ86" s="97">
        <f ca="1">TblProd[[#This Row],[Food]]</f>
        <v>4005</v>
      </c>
      <c r="BK86" s="97">
        <f ca="1">TblProd[[#This Row],[Lumber]]</f>
        <v>23459</v>
      </c>
      <c r="BL86" s="97">
        <f ca="1">TblProd[[#This Row],[Mana]]</f>
        <v>8407.5</v>
      </c>
      <c r="BM86" s="97">
        <f ca="1">TblProd[[#This Row],[Ore]]</f>
        <v>0</v>
      </c>
    </row>
    <row r="87" spans="1:65" x14ac:dyDescent="0.2">
      <c r="A87" s="140">
        <v>12</v>
      </c>
      <c r="B87" s="155">
        <f ca="1">TblImps[[#This Row],[Time]]</f>
        <v>45433.208333333132</v>
      </c>
      <c r="C87" s="156"/>
      <c r="D87" s="157"/>
      <c r="E87" s="97">
        <f ca="1">TblConstr[[#This Row],[Land]]</f>
        <v>700</v>
      </c>
      <c r="F87" s="97">
        <f ca="1">TblPop[[#This Row],[Peasants]]</f>
        <v>8966</v>
      </c>
      <c r="G87" s="97">
        <f ca="1">TblMili[[#This Row],[Networth (2)]]</f>
        <v>40496.400000000001</v>
      </c>
      <c r="H87" s="97">
        <f ca="1">OFFSET(TblProd[[#This Row],[Platinum]],-1,0)+OFFSET(TblProd[[#This Row],[Plat/hr]],-1,0) - TblProd[[#This Row],[Expenses Platinum]] + IF(TblProd[[#This Row],[Plat Bonus]],TblPop[[#This Row],[Peasants]]*4) + SUM(TblConstr[[#This Row],[Dest Hom]:[Dest Doc]])*TblConstr[[#This Row],[CPA Platinum -DB]]*tech_3_3_2*TblTech[[#This Row],[3-3]]</f>
        <v>470622</v>
      </c>
      <c r="I87" s="97">
        <f ca="1">OFFSET(TblProd[[#This Row],[Food]],-1,0)+OFFSET(TblProd[[#This Row],[Food/hr]],-1,0)+ROUNDUP((TblConstr[[#This Row],[Farms]]*80+TblConstr[[#This Row],[Docks]]*35)*(1+OFFSET(TblProd[[#This Row],[Bonus Food/hr]],-1,0)),0)</f>
        <v>4092</v>
      </c>
      <c r="J87" s="97">
        <f ca="1">OFFSET(TblProd[[#This Row],[Lumber]],-1,0)+OFFSET(TblProd[[#This Row],[Lumber/hr]],-1,0) - TblProd[[#This Row],[Expenses Lumber]] + SUM(TblConstr[[#This Row],[Dest Hom]:[Dest Doc]])*TblConstr[[#This Row],[CPA Lumber -DB]]*tech_3_3_2*TblTech[[#This Row],[3-3]]</f>
        <v>24349</v>
      </c>
      <c r="K87" s="97">
        <f ca="1">OFFSET(TblProd[[#This Row],[Mana]],-1,0)+OFFSET(TblProd[[#This Row],[Mana/hr]],-1,0)- TblProd[[#This Row],[Expenses Mana]]</f>
        <v>8964.5</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41.45000000000001</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7" s="97">
        <f ca="1">MAX(3750,_xlfn.CEILING.MATH(TblProd[[#This Row],[Land]]*2.5+OFFSET(TblTech[[#This Row],[Sum of tech]],-1,0)*150))</f>
        <v>3750</v>
      </c>
      <c r="R87" s="145"/>
      <c r="S87" s="97">
        <f ca="1">ROUNDDOWN(TblProd[[#This Row],[Raw Plat/hr]]*(1+TblProd[[#This Row],[Bonus Plat/hr]]),0)</f>
        <v>44174</v>
      </c>
      <c r="T87" s="97">
        <f ca="1">ROUND(TblProd[[#This Row],[Raw Food/hr]]*(1+TblProd[[#This Row],[Bonus Food/hr]])-TblProd[[#This Row],[Food decay]]-TblProd[[#This Row],[Food eaten]],0)</f>
        <v>86</v>
      </c>
      <c r="U87" s="97">
        <f ca="1">ROUND(TblProd[[#This Row],[Raw Lumber/hr]]*(1+TblProd[[#This Row],[Bonus Lumber/hr]])-TblProd[[#This Row],[Lumber rot]],0)</f>
        <v>882</v>
      </c>
      <c r="V87" s="97">
        <f ca="1">ROUND(TblProd[[#This Row],[Raw Mana/hr]]*(1+TblProd[[#This Row],[Bonus Mana/hr]])-TblProd[[#This Row],[Mana drain]],0)</f>
        <v>546</v>
      </c>
      <c r="W87" s="97">
        <f ca="1">ROUNDDOWN(TblProd[[#This Row],[Raw Ore/hr]]*(1+TblProd[[#This Row],[Bonux Ore/hr]]),0)</f>
        <v>0</v>
      </c>
      <c r="X87" s="97">
        <f ca="1">ROUNDDOWN(TblProd[[#This Row],[Raw Gems/hr]]*(1+TblProd[[#This Row],[Bonus Gems/hr]]),0)</f>
        <v>0</v>
      </c>
      <c r="Y87" s="158">
        <f ca="1">OFFSET(TblConstr[[#This Row],[Tot Doc]],1,0)*dock_boats_hr * (1 + tech_4_1*TblTech[[#This Row],[4-1]])</f>
        <v>1.2000000000000002</v>
      </c>
      <c r="Z87" s="157"/>
      <c r="AA87" s="97">
        <f ca="1">TblPop[[#This Row],[Peasants]]*tax*TblPop[[#This Row],[Employment]] + (Construction!AZ88+Construction!BX88)*(alch_plat+(Magic!AM87&gt;0)*alchemist_flame_bonus)</f>
        <v>40158.199999999997</v>
      </c>
      <c r="AB87" s="97">
        <f ca="1">TblConstr[[#This Row],[Tot Farm]]*farm_food + TblConstr[[#This Row],[Tot Doc]]*dock_food</f>
        <v>3280</v>
      </c>
      <c r="AC87" s="97">
        <f ca="1">TblConstr[[#This Row],[Tot Ly]]*ly_lumber + TblConstr[[#This Row],[Tot Hav]]*fh_lumber</f>
        <v>1250</v>
      </c>
      <c r="AD87" s="97">
        <f ca="1">OFFSET(TblConstr[[#This Row],[Tot Tow]],1,0)*(tower_mana + tech_4_5*TblTech[[#This Row],[4-5]]) + OFFSET(TblConstr[[#This Row],[Tot WG]],1,0)*wg_mana_prod</f>
        <v>725</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0.1</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7" s="159">
        <f ca="1">race_lumber_bonus+ IF(TblMagic[[#This Row],[Active Gaia''s Blessing]]&gt;0,gaias_blessing_lumber)+ tech_1_3*TblTech[[#This Row],[1-3]] + tech_1_6*TblTech[[#This Row],[1-6]] + tech_3_3*TblTech[[#This Row],[3-3]]</f>
        <v>-0.1</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0.15</v>
      </c>
      <c r="AN87" s="145"/>
      <c r="AO87" s="97">
        <f ca="1">TblProd[[#This Row],[Food]]*food_decay * (1 + tech_2_1*TblTech[[#This Row],[2-1]] + tech_2_8*TblTech[[#This Row],[2-8]])</f>
        <v>40.92</v>
      </c>
      <c r="AP87" s="97">
        <f ca="1">(1+race_food_consumption)*TblPop[[#This Row],[Total]]*food_per_person*(1+tech_1_10*TblTech[[#This Row],[1-10]]+tech_7_5*TblTech[[#This Row],[7-5]])</f>
        <v>3234.75</v>
      </c>
      <c r="AQ87" s="97">
        <f ca="1">TblProd[[#This Row],[Lumber]]*lumber_rot * (1 + tech_2_1*TblTech[[#This Row],[2-1]] + tech_2_8*TblTech[[#This Row],[2-8]] + tech_5_2*TblTech[[#This Row],[5-2]])</f>
        <v>243.49</v>
      </c>
      <c r="AR87" s="97">
        <f ca="1">TblProd[[#This Row],[Mana]]*mana_drain * (1 + tech_2_1*TblTech[[#This Row],[2-1]] + tech_2_8*TblTech[[#This Row],[2-8]])</f>
        <v>179.29</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45433.208333333132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470622</v>
      </c>
      <c r="BJ87" s="97">
        <f ca="1">TblProd[[#This Row],[Food]]</f>
        <v>4092</v>
      </c>
      <c r="BK87" s="97">
        <f ca="1">TblProd[[#This Row],[Lumber]]</f>
        <v>24349</v>
      </c>
      <c r="BL87" s="97">
        <f ca="1">TblProd[[#This Row],[Mana]]</f>
        <v>8964.5</v>
      </c>
      <c r="BM87" s="97">
        <f ca="1">TblProd[[#This Row],[Ore]]</f>
        <v>0</v>
      </c>
    </row>
    <row r="88" spans="1:65" x14ac:dyDescent="0.2">
      <c r="A88" s="140">
        <v>13</v>
      </c>
      <c r="B88" s="155">
        <f ca="1">TblImps[[#This Row],[Time]]</f>
        <v>45433.249999999796</v>
      </c>
      <c r="C88" s="156"/>
      <c r="D88" s="157"/>
      <c r="E88" s="97">
        <f ca="1">TblConstr[[#This Row],[Land]]</f>
        <v>700</v>
      </c>
      <c r="F88" s="97">
        <f ca="1">TblPop[[#This Row],[Peasants]]</f>
        <v>8876</v>
      </c>
      <c r="G88" s="97">
        <f ca="1">TblMili[[#This Row],[Networth (2)]]</f>
        <v>41954.8</v>
      </c>
      <c r="H88" s="97">
        <f ca="1">OFFSET(TblProd[[#This Row],[Platinum]],-1,0)+OFFSET(TblProd[[#This Row],[Plat/hr]],-1,0) - TblProd[[#This Row],[Expenses Platinum]] + IF(TblProd[[#This Row],[Plat Bonus]],TblPop[[#This Row],[Peasants]]*4) + SUM(TblConstr[[#This Row],[Dest Hom]:[Dest Doc]])*TblConstr[[#This Row],[CPA Platinum -DB]]*tech_3_3_2*TblTech[[#This Row],[3-3]]</f>
        <v>514796</v>
      </c>
      <c r="I88" s="97">
        <f ca="1">OFFSET(TblProd[[#This Row],[Food]],-1,0)+OFFSET(TblProd[[#This Row],[Food/hr]],-1,0)+ROUNDUP((TblConstr[[#This Row],[Farms]]*80+TblConstr[[#This Row],[Docks]]*35)*(1+OFFSET(TblProd[[#This Row],[Bonus Food/hr]],-1,0)),0)</f>
        <v>4178</v>
      </c>
      <c r="J88" s="97">
        <f ca="1">OFFSET(TblProd[[#This Row],[Lumber]],-1,0)+OFFSET(TblProd[[#This Row],[Lumber/hr]],-1,0) - TblProd[[#This Row],[Expenses Lumber]] + SUM(TblConstr[[#This Row],[Dest Hom]:[Dest Doc]])*TblConstr[[#This Row],[CPA Lumber -DB]]*tech_3_3_2*TblTech[[#This Row],[3-3]]</f>
        <v>25231</v>
      </c>
      <c r="K88" s="97">
        <f ca="1">OFFSET(TblProd[[#This Row],[Mana]],-1,0)+OFFSET(TblProd[[#This Row],[Mana/hr]],-1,0)- TblProd[[#This Row],[Expenses Mana]]</f>
        <v>2510.5</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42.650000000000013</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8" s="97">
        <f ca="1">MAX(3750,_xlfn.CEILING.MATH(TblProd[[#This Row],[Land]]*2.5+OFFSET(TblTech[[#This Row],[Sum of tech]],-1,0)*150))</f>
        <v>3750</v>
      </c>
      <c r="R88" s="145"/>
      <c r="S88" s="97">
        <f ca="1">ROUNDDOWN(TblProd[[#This Row],[Raw Plat/hr]]*(1+TblProd[[#This Row],[Bonus Plat/hr]]),0)</f>
        <v>43906</v>
      </c>
      <c r="T88" s="97">
        <f ca="1">ROUND(TblProd[[#This Row],[Raw Food/hr]]*(1+TblProd[[#This Row],[Bonus Food/hr]])-TblProd[[#This Row],[Food decay]]-TblProd[[#This Row],[Food eaten]],0)</f>
        <v>85</v>
      </c>
      <c r="U88" s="97">
        <f ca="1">ROUND(TblProd[[#This Row],[Raw Lumber/hr]]*(1+TblProd[[#This Row],[Bonus Lumber/hr]])-TblProd[[#This Row],[Lumber rot]],0)</f>
        <v>873</v>
      </c>
      <c r="V88" s="97">
        <f ca="1">ROUND(TblProd[[#This Row],[Raw Mana/hr]]*(1+TblProd[[#This Row],[Bonus Mana/hr]])-TblProd[[#This Row],[Mana drain]],0)</f>
        <v>675</v>
      </c>
      <c r="W88" s="97">
        <f ca="1">ROUNDDOWN(TblProd[[#This Row],[Raw Ore/hr]]*(1+TblProd[[#This Row],[Bonux Ore/hr]]),0)</f>
        <v>0</v>
      </c>
      <c r="X88" s="97">
        <f ca="1">ROUNDDOWN(TblProd[[#This Row],[Raw Gems/hr]]*(1+TblProd[[#This Row],[Bonus Gems/hr]]),0)</f>
        <v>0</v>
      </c>
      <c r="Y88" s="158">
        <f ca="1">OFFSET(TblConstr[[#This Row],[Tot Doc]],1,0)*dock_boats_hr * (1 + tech_4_1*TblTech[[#This Row],[4-1]])</f>
        <v>1.2000000000000002</v>
      </c>
      <c r="Z88" s="157"/>
      <c r="AA88" s="97">
        <f ca="1">TblPop[[#This Row],[Peasants]]*tax*TblPop[[#This Row],[Employment]] + (Construction!AZ89+Construction!BX89)*(alch_plat+(Magic!AM88&gt;0)*alchemist_flame_bonus)</f>
        <v>39915.199999999997</v>
      </c>
      <c r="AB88" s="97">
        <f ca="1">TblConstr[[#This Row],[Tot Farm]]*farm_food + TblConstr[[#This Row],[Tot Doc]]*dock_food</f>
        <v>3280</v>
      </c>
      <c r="AC88" s="97">
        <f ca="1">TblConstr[[#This Row],[Tot Ly]]*ly_lumber + TblConstr[[#This Row],[Tot Hav]]*fh_lumber</f>
        <v>1250</v>
      </c>
      <c r="AD88" s="97">
        <f ca="1">OFFSET(TblConstr[[#This Row],[Tot Tow]],1,0)*(tower_mana + tech_4_5*TblTech[[#This Row],[4-5]]) + OFFSET(TblConstr[[#This Row],[Tot WG]],1,0)*wg_mana_prod</f>
        <v>725</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0.1</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8" s="159">
        <f ca="1">race_lumber_bonus+ IF(TblMagic[[#This Row],[Active Gaia''s Blessing]]&gt;0,gaias_blessing_lumber)+ tech_1_3*TblTech[[#This Row],[1-3]] + tech_1_6*TblTech[[#This Row],[1-6]] + tech_3_3*TblTech[[#This Row],[3-3]]</f>
        <v>-0.1</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0.15</v>
      </c>
      <c r="AN88" s="145"/>
      <c r="AO88" s="97">
        <f ca="1">TblProd[[#This Row],[Food]]*food_decay * (1 + tech_2_1*TblTech[[#This Row],[2-1]] + tech_2_8*TblTech[[#This Row],[2-8]])</f>
        <v>41.78</v>
      </c>
      <c r="AP88" s="97">
        <f ca="1">(1+race_food_consumption)*TblPop[[#This Row],[Total]]*food_per_person*(1+tech_1_10*TblTech[[#This Row],[1-10]]+tech_7_5*TblTech[[#This Row],[7-5]])</f>
        <v>3234.75</v>
      </c>
      <c r="AQ88" s="97">
        <f ca="1">TblProd[[#This Row],[Lumber]]*lumber_rot * (1 + tech_2_1*TblTech[[#This Row],[2-1]] + tech_2_8*TblTech[[#This Row],[2-8]] + tech_5_2*TblTech[[#This Row],[5-2]])</f>
        <v>252.31</v>
      </c>
      <c r="AR88" s="97">
        <f ca="1">TblProd[[#This Row],[Mana]]*mana_drain * (1 + tech_2_1*TblTech[[#This Row],[2-1]] + tech_2_8*TblTech[[#This Row],[2-8]])</f>
        <v>50.21</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7000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45433.249999999796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514796</v>
      </c>
      <c r="BJ88" s="97">
        <f ca="1">TblProd[[#This Row],[Food]]</f>
        <v>4178</v>
      </c>
      <c r="BK88" s="97">
        <f ca="1">TblProd[[#This Row],[Lumber]]</f>
        <v>25231</v>
      </c>
      <c r="BL88" s="97">
        <f ca="1">TblProd[[#This Row],[Mana]]</f>
        <v>2510.5</v>
      </c>
      <c r="BM88" s="97">
        <f ca="1">TblProd[[#This Row],[Ore]]</f>
        <v>0</v>
      </c>
    </row>
    <row r="89" spans="1:65" x14ac:dyDescent="0.2">
      <c r="A89" s="140">
        <v>14</v>
      </c>
      <c r="B89" s="155">
        <f ca="1">TblImps[[#This Row],[Time]]</f>
        <v>45433.291666666461</v>
      </c>
      <c r="C89" s="156"/>
      <c r="D89" s="157"/>
      <c r="E89" s="97">
        <f ca="1">TblConstr[[#This Row],[Land]]</f>
        <v>700</v>
      </c>
      <c r="F89" s="97">
        <f ca="1">TblPop[[#This Row],[Peasants]]</f>
        <v>8787</v>
      </c>
      <c r="G89" s="97">
        <f ca="1">TblMili[[#This Row],[Networth (2)]]</f>
        <v>42359.8</v>
      </c>
      <c r="H89" s="97">
        <f ca="1">OFFSET(TblProd[[#This Row],[Platinum]],-1,0)+OFFSET(TblProd[[#This Row],[Plat/hr]],-1,0) - TblProd[[#This Row],[Expenses Platinum]] + IF(TblProd[[#This Row],[Plat Bonus]],TblPop[[#This Row],[Peasants]]*4) + SUM(TblConstr[[#This Row],[Dest Hom]:[Dest Doc]])*TblConstr[[#This Row],[CPA Platinum -DB]]*tech_3_3_2*TblTech[[#This Row],[3-3]]</f>
        <v>558702</v>
      </c>
      <c r="I89" s="97">
        <f ca="1">OFFSET(TblProd[[#This Row],[Food]],-1,0)+OFFSET(TblProd[[#This Row],[Food/hr]],-1,0)+ROUNDUP((TblConstr[[#This Row],[Farms]]*80+TblConstr[[#This Row],[Docks]]*35)*(1+OFFSET(TblProd[[#This Row],[Bonus Food/hr]],-1,0)),0)</f>
        <v>4263</v>
      </c>
      <c r="J89" s="97">
        <f ca="1">OFFSET(TblProd[[#This Row],[Lumber]],-1,0)+OFFSET(TblProd[[#This Row],[Lumber/hr]],-1,0) - TblProd[[#This Row],[Expenses Lumber]] + SUM(TblConstr[[#This Row],[Dest Hom]:[Dest Doc]])*TblConstr[[#This Row],[CPA Lumber -DB]]*tech_3_3_2*TblTech[[#This Row],[3-3]]</f>
        <v>26104</v>
      </c>
      <c r="K89" s="97">
        <f ca="1">OFFSET(TblProd[[#This Row],[Mana]],-1,0)+OFFSET(TblProd[[#This Row],[Mana/hr]],-1,0)- TblProd[[#This Row],[Expenses Mana]]</f>
        <v>3185.5</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43.850000000000016</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9" s="97">
        <f ca="1">MAX(3750,_xlfn.CEILING.MATH(TblProd[[#This Row],[Land]]*2.5+OFFSET(TblTech[[#This Row],[Sum of tech]],-1,0)*150))</f>
        <v>3750</v>
      </c>
      <c r="R89" s="145"/>
      <c r="S89" s="97">
        <f ca="1">ROUNDDOWN(TblProd[[#This Row],[Raw Plat/hr]]*(1+TblProd[[#This Row],[Bonus Plat/hr]]),0)</f>
        <v>43642</v>
      </c>
      <c r="T89" s="97">
        <f ca="1">ROUND(TblProd[[#This Row],[Raw Food/hr]]*(1+TblProd[[#This Row],[Bonus Food/hr]])-TblProd[[#This Row],[Food decay]]-TblProd[[#This Row],[Food eaten]],0)</f>
        <v>85</v>
      </c>
      <c r="U89" s="97">
        <f ca="1">ROUND(TblProd[[#This Row],[Raw Lumber/hr]]*(1+TblProd[[#This Row],[Bonus Lumber/hr]])-TblProd[[#This Row],[Lumber rot]],0)</f>
        <v>864</v>
      </c>
      <c r="V89" s="97">
        <f ca="1">ROUND(TblProd[[#This Row],[Raw Mana/hr]]*(1+TblProd[[#This Row],[Bonus Mana/hr]])-TblProd[[#This Row],[Mana drain]],0)</f>
        <v>661</v>
      </c>
      <c r="W89" s="97">
        <f ca="1">ROUNDDOWN(TblProd[[#This Row],[Raw Ore/hr]]*(1+TblProd[[#This Row],[Bonux Ore/hr]]),0)</f>
        <v>0</v>
      </c>
      <c r="X89" s="97">
        <f ca="1">ROUNDDOWN(TblProd[[#This Row],[Raw Gems/hr]]*(1+TblProd[[#This Row],[Bonus Gems/hr]]),0)</f>
        <v>0</v>
      </c>
      <c r="Y89" s="158">
        <f ca="1">OFFSET(TblConstr[[#This Row],[Tot Doc]],1,0)*dock_boats_hr * (1 + tech_4_1*TblTech[[#This Row],[4-1]])</f>
        <v>1.2000000000000002</v>
      </c>
      <c r="Z89" s="157"/>
      <c r="AA89" s="97">
        <f ca="1">TblPop[[#This Row],[Peasants]]*tax*TblPop[[#This Row],[Employment]] + (Construction!AZ90+Construction!BX90)*(alch_plat+(Magic!AM89&gt;0)*alchemist_flame_bonus)</f>
        <v>39674.9</v>
      </c>
      <c r="AB89" s="97">
        <f ca="1">TblConstr[[#This Row],[Tot Farm]]*farm_food + TblConstr[[#This Row],[Tot Doc]]*dock_food</f>
        <v>3280</v>
      </c>
      <c r="AC89" s="97">
        <f ca="1">TblConstr[[#This Row],[Tot Ly]]*ly_lumber + TblConstr[[#This Row],[Tot Hav]]*fh_lumber</f>
        <v>1250</v>
      </c>
      <c r="AD89" s="97">
        <f ca="1">OFFSET(TblConstr[[#This Row],[Tot Tow]],1,0)*(tower_mana + tech_4_5*TblTech[[#This Row],[4-5]]) + OFFSET(TblConstr[[#This Row],[Tot WG]],1,0)*wg_mana_prod</f>
        <v>725</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0.1</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89" s="159">
        <f ca="1">race_lumber_bonus+ IF(TblMagic[[#This Row],[Active Gaia''s Blessing]]&gt;0,gaias_blessing_lumber)+ tech_1_3*TblTech[[#This Row],[1-3]] + tech_1_6*TblTech[[#This Row],[1-6]] + tech_3_3*TblTech[[#This Row],[3-3]]</f>
        <v>-0.1</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0.15</v>
      </c>
      <c r="AN89" s="145"/>
      <c r="AO89" s="97">
        <f ca="1">TblProd[[#This Row],[Food]]*food_decay * (1 + tech_2_1*TblTech[[#This Row],[2-1]] + tech_2_8*TblTech[[#This Row],[2-8]])</f>
        <v>42.63</v>
      </c>
      <c r="AP89" s="97">
        <f ca="1">(1+race_food_consumption)*TblPop[[#This Row],[Total]]*food_per_person*(1+tech_1_10*TblTech[[#This Row],[1-10]]+tech_7_5*TblTech[[#This Row],[7-5]])</f>
        <v>3234.75</v>
      </c>
      <c r="AQ89" s="97">
        <f ca="1">TblProd[[#This Row],[Lumber]]*lumber_rot * (1 + tech_2_1*TblTech[[#This Row],[2-1]] + tech_2_8*TblTech[[#This Row],[2-8]] + tech_5_2*TblTech[[#This Row],[5-2]])</f>
        <v>261.04000000000002</v>
      </c>
      <c r="AR89" s="97">
        <f ca="1">TblProd[[#This Row],[Mana]]*mana_drain * (1 + tech_2_1*TblTech[[#This Row],[2-1]] + tech_2_8*TblTech[[#This Row],[2-8]])</f>
        <v>63.71</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45433.291666666461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558702</v>
      </c>
      <c r="BJ89" s="97">
        <f ca="1">TblProd[[#This Row],[Food]]</f>
        <v>4263</v>
      </c>
      <c r="BK89" s="97">
        <f ca="1">TblProd[[#This Row],[Lumber]]</f>
        <v>26104</v>
      </c>
      <c r="BL89" s="97">
        <f ca="1">TblProd[[#This Row],[Mana]]</f>
        <v>3185.5</v>
      </c>
      <c r="BM89" s="97">
        <f ca="1">TblProd[[#This Row],[Ore]]</f>
        <v>0</v>
      </c>
    </row>
    <row r="90" spans="1:65" x14ac:dyDescent="0.2">
      <c r="A90" s="140">
        <v>15</v>
      </c>
      <c r="B90" s="155">
        <f ca="1">TblImps[[#This Row],[Time]]</f>
        <v>45433.333333333125</v>
      </c>
      <c r="C90" s="156"/>
      <c r="D90" s="157"/>
      <c r="E90" s="97">
        <f ca="1">TblConstr[[#This Row],[Land]]</f>
        <v>700</v>
      </c>
      <c r="F90" s="97">
        <f ca="1">TblPop[[#This Row],[Peasants]]</f>
        <v>8699</v>
      </c>
      <c r="G90" s="97">
        <f ca="1">TblMili[[#This Row],[Networth (2)]]</f>
        <v>42359.8</v>
      </c>
      <c r="H90" s="97">
        <f ca="1">OFFSET(TblProd[[#This Row],[Platinum]],-1,0)+OFFSET(TblProd[[#This Row],[Plat/hr]],-1,0) - TblProd[[#This Row],[Expenses Platinum]] + IF(TblProd[[#This Row],[Plat Bonus]],TblPop[[#This Row],[Peasants]]*4) + SUM(TblConstr[[#This Row],[Dest Hom]:[Dest Doc]])*TblConstr[[#This Row],[CPA Platinum -DB]]*tech_3_3_2*TblTech[[#This Row],[3-3]]</f>
        <v>602344</v>
      </c>
      <c r="I90" s="97">
        <f ca="1">OFFSET(TblProd[[#This Row],[Food]],-1,0)+OFFSET(TblProd[[#This Row],[Food/hr]],-1,0)+ROUNDUP((TblConstr[[#This Row],[Farms]]*80+TblConstr[[#This Row],[Docks]]*35)*(1+OFFSET(TblProd[[#This Row],[Bonus Food/hr]],-1,0)),0)</f>
        <v>4348</v>
      </c>
      <c r="J90" s="97">
        <f ca="1">OFFSET(TblProd[[#This Row],[Lumber]],-1,0)+OFFSET(TblProd[[#This Row],[Lumber/hr]],-1,0) - TblProd[[#This Row],[Expenses Lumber]] + SUM(TblConstr[[#This Row],[Dest Hom]:[Dest Doc]])*TblConstr[[#This Row],[CPA Lumber -DB]]*tech_3_3_2*TblTech[[#This Row],[3-3]]</f>
        <v>26968</v>
      </c>
      <c r="K90" s="97">
        <f ca="1">OFFSET(TblProd[[#This Row],[Mana]],-1,0)+OFFSET(TblProd[[#This Row],[Mana/hr]],-1,0)- TblProd[[#This Row],[Expenses Mana]]</f>
        <v>3846.5</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45.050000000000018</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0" s="97">
        <f ca="1">MAX(3750,_xlfn.CEILING.MATH(TblProd[[#This Row],[Land]]*2.5+OFFSET(TblTech[[#This Row],[Sum of tech]],-1,0)*150))</f>
        <v>3750</v>
      </c>
      <c r="R90" s="145"/>
      <c r="S90" s="97">
        <f ca="1">ROUNDDOWN(TblProd[[#This Row],[Raw Plat/hr]]*(1+TblProd[[#This Row],[Bonus Plat/hr]]),0)</f>
        <v>43381</v>
      </c>
      <c r="T90" s="97">
        <f ca="1">ROUND(TblProd[[#This Row],[Raw Food/hr]]*(1+TblProd[[#This Row],[Bonus Food/hr]])-TblProd[[#This Row],[Food decay]]-TblProd[[#This Row],[Food eaten]],0)</f>
        <v>84</v>
      </c>
      <c r="U90" s="97">
        <f ca="1">ROUND(TblProd[[#This Row],[Raw Lumber/hr]]*(1+TblProd[[#This Row],[Bonus Lumber/hr]])-TblProd[[#This Row],[Lumber rot]],0)</f>
        <v>855</v>
      </c>
      <c r="V90" s="97">
        <f ca="1">ROUND(TblProd[[#This Row],[Raw Mana/hr]]*(1+TblProd[[#This Row],[Bonus Mana/hr]])-TblProd[[#This Row],[Mana drain]],0)</f>
        <v>648</v>
      </c>
      <c r="W90" s="97">
        <f ca="1">ROUNDDOWN(TblProd[[#This Row],[Raw Ore/hr]]*(1+TblProd[[#This Row],[Bonux Ore/hr]]),0)</f>
        <v>0</v>
      </c>
      <c r="X90" s="97">
        <f ca="1">ROUNDDOWN(TblProd[[#This Row],[Raw Gems/hr]]*(1+TblProd[[#This Row],[Bonus Gems/hr]]),0)</f>
        <v>0</v>
      </c>
      <c r="Y90" s="158">
        <f ca="1">OFFSET(TblConstr[[#This Row],[Tot Doc]],1,0)*dock_boats_hr * (1 + tech_4_1*TblTech[[#This Row],[4-1]])</f>
        <v>1.2000000000000002</v>
      </c>
      <c r="Z90" s="157"/>
      <c r="AA90" s="97">
        <f ca="1">TblPop[[#This Row],[Peasants]]*tax*TblPop[[#This Row],[Employment]] + (Construction!AZ91+Construction!BX91)*(alch_plat+(Magic!AM90&gt;0)*alchemist_flame_bonus)</f>
        <v>39437.300000000003</v>
      </c>
      <c r="AB90" s="97">
        <f ca="1">TblConstr[[#This Row],[Tot Farm]]*farm_food + TblConstr[[#This Row],[Tot Doc]]*dock_food</f>
        <v>3280</v>
      </c>
      <c r="AC90" s="97">
        <f ca="1">TblConstr[[#This Row],[Tot Ly]]*ly_lumber + TblConstr[[#This Row],[Tot Hav]]*fh_lumber</f>
        <v>1250</v>
      </c>
      <c r="AD90" s="97">
        <f ca="1">OFFSET(TblConstr[[#This Row],[Tot Tow]],1,0)*(tower_mana + tech_4_5*TblTech[[#This Row],[4-5]]) + OFFSET(TblConstr[[#This Row],[Tot WG]],1,0)*wg_mana_prod</f>
        <v>725</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0.1</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0" s="159">
        <f ca="1">race_lumber_bonus+ IF(TblMagic[[#This Row],[Active Gaia''s Blessing]]&gt;0,gaias_blessing_lumber)+ tech_1_3*TblTech[[#This Row],[1-3]] + tech_1_6*TblTech[[#This Row],[1-6]] + tech_3_3*TblTech[[#This Row],[3-3]]</f>
        <v>-0.1</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0.15</v>
      </c>
      <c r="AN90" s="145"/>
      <c r="AO90" s="97">
        <f ca="1">TblProd[[#This Row],[Food]]*food_decay * (1 + tech_2_1*TblTech[[#This Row],[2-1]] + tech_2_8*TblTech[[#This Row],[2-8]])</f>
        <v>43.480000000000004</v>
      </c>
      <c r="AP90" s="97">
        <f ca="1">(1+race_food_consumption)*TblPop[[#This Row],[Total]]*food_per_person*(1+tech_1_10*TblTech[[#This Row],[1-10]]+tech_7_5*TblTech[[#This Row],[7-5]])</f>
        <v>3234.75</v>
      </c>
      <c r="AQ90" s="97">
        <f ca="1">TblProd[[#This Row],[Lumber]]*lumber_rot * (1 + tech_2_1*TblTech[[#This Row],[2-1]] + tech_2_8*TblTech[[#This Row],[2-8]] + tech_5_2*TblTech[[#This Row],[5-2]])</f>
        <v>269.68</v>
      </c>
      <c r="AR90" s="97">
        <f ca="1">TblProd[[#This Row],[Mana]]*mana_drain * (1 + tech_2_1*TblTech[[#This Row],[2-1]] + tech_2_8*TblTech[[#This Row],[2-8]])</f>
        <v>76.930000000000007</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45433.333333333125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602344</v>
      </c>
      <c r="BJ90" s="97">
        <f ca="1">TblProd[[#This Row],[Food]]</f>
        <v>4348</v>
      </c>
      <c r="BK90" s="97">
        <f ca="1">TblProd[[#This Row],[Lumber]]</f>
        <v>26968</v>
      </c>
      <c r="BL90" s="97">
        <f ca="1">TblProd[[#This Row],[Mana]]</f>
        <v>3846.5</v>
      </c>
      <c r="BM90" s="97">
        <f ca="1">TblProd[[#This Row],[Ore]]</f>
        <v>0</v>
      </c>
    </row>
    <row r="91" spans="1:65" x14ac:dyDescent="0.2">
      <c r="A91" s="140">
        <v>16</v>
      </c>
      <c r="B91" s="155">
        <f ca="1">TblImps[[#This Row],[Time]]</f>
        <v>45433.374999999789</v>
      </c>
      <c r="C91" s="156"/>
      <c r="D91" s="157"/>
      <c r="E91" s="97">
        <f ca="1">TblConstr[[#This Row],[Land]]</f>
        <v>700</v>
      </c>
      <c r="F91" s="97">
        <f ca="1">TblPop[[#This Row],[Peasants]]</f>
        <v>8612</v>
      </c>
      <c r="G91" s="97">
        <f ca="1">TblMili[[#This Row],[Networth (2)]]</f>
        <v>42359.8</v>
      </c>
      <c r="H91" s="97">
        <f ca="1">OFFSET(TblProd[[#This Row],[Platinum]],-1,0)+OFFSET(TblProd[[#This Row],[Plat/hr]],-1,0) - TblProd[[#This Row],[Expenses Platinum]] + IF(TblProd[[#This Row],[Plat Bonus]],TblPop[[#This Row],[Peasants]]*4) + SUM(TblConstr[[#This Row],[Dest Hom]:[Dest Doc]])*TblConstr[[#This Row],[CPA Platinum -DB]]*tech_3_3_2*TblTech[[#This Row],[3-3]]</f>
        <v>645725</v>
      </c>
      <c r="I91" s="97">
        <f ca="1">OFFSET(TblProd[[#This Row],[Food]],-1,0)+OFFSET(TblProd[[#This Row],[Food/hr]],-1,0)+ROUNDUP((TblConstr[[#This Row],[Farms]]*80+TblConstr[[#This Row],[Docks]]*35)*(1+OFFSET(TblProd[[#This Row],[Bonus Food/hr]],-1,0)),0)</f>
        <v>4432</v>
      </c>
      <c r="J91" s="97">
        <f ca="1">OFFSET(TblProd[[#This Row],[Lumber]],-1,0)+OFFSET(TblProd[[#This Row],[Lumber/hr]],-1,0) - TblProd[[#This Row],[Expenses Lumber]] + SUM(TblConstr[[#This Row],[Dest Hom]:[Dest Doc]])*TblConstr[[#This Row],[CPA Lumber -DB]]*tech_3_3_2*TblTech[[#This Row],[3-3]]</f>
        <v>27823</v>
      </c>
      <c r="K91" s="97">
        <f ca="1">OFFSET(TblProd[[#This Row],[Mana]],-1,0)+OFFSET(TblProd[[#This Row],[Mana/hr]],-1,0)- TblProd[[#This Row],[Expenses Mana]]</f>
        <v>4494.5</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46.250000000000021</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1" s="97">
        <f ca="1">MAX(3750,_xlfn.CEILING.MATH(TblProd[[#This Row],[Land]]*2.5+OFFSET(TblTech[[#This Row],[Sum of tech]],-1,0)*150))</f>
        <v>3750</v>
      </c>
      <c r="R91" s="145"/>
      <c r="S91" s="97">
        <f ca="1">ROUNDDOWN(TblProd[[#This Row],[Raw Plat/hr]]*(1+TblProd[[#This Row],[Bonus Plat/hr]]),0)</f>
        <v>43122</v>
      </c>
      <c r="T91" s="97">
        <f ca="1">ROUND(TblProd[[#This Row],[Raw Food/hr]]*(1+TblProd[[#This Row],[Bonus Food/hr]])-TblProd[[#This Row],[Food decay]]-TblProd[[#This Row],[Food eaten]],0)</f>
        <v>83</v>
      </c>
      <c r="U91" s="97">
        <f ca="1">ROUND(TblProd[[#This Row],[Raw Lumber/hr]]*(1+TblProd[[#This Row],[Bonus Lumber/hr]])-TblProd[[#This Row],[Lumber rot]],0)</f>
        <v>847</v>
      </c>
      <c r="V91" s="97">
        <f ca="1">ROUND(TblProd[[#This Row],[Raw Mana/hr]]*(1+TblProd[[#This Row],[Bonus Mana/hr]])-TblProd[[#This Row],[Mana drain]],0)</f>
        <v>635</v>
      </c>
      <c r="W91" s="97">
        <f ca="1">ROUNDDOWN(TblProd[[#This Row],[Raw Ore/hr]]*(1+TblProd[[#This Row],[Bonux Ore/hr]]),0)</f>
        <v>0</v>
      </c>
      <c r="X91" s="97">
        <f ca="1">ROUNDDOWN(TblProd[[#This Row],[Raw Gems/hr]]*(1+TblProd[[#This Row],[Bonus Gems/hr]]),0)</f>
        <v>0</v>
      </c>
      <c r="Y91" s="158">
        <f ca="1">OFFSET(TblConstr[[#This Row],[Tot Doc]],1,0)*dock_boats_hr * (1 + tech_4_1*TblTech[[#This Row],[4-1]])</f>
        <v>1.2000000000000002</v>
      </c>
      <c r="Z91" s="157"/>
      <c r="AA91" s="97">
        <f ca="1">TblPop[[#This Row],[Peasants]]*tax*TblPop[[#This Row],[Employment]] + (Construction!AZ92+Construction!BX92)*(alch_plat+(Magic!AM91&gt;0)*alchemist_flame_bonus)</f>
        <v>39202.400000000001</v>
      </c>
      <c r="AB91" s="97">
        <f ca="1">TblConstr[[#This Row],[Tot Farm]]*farm_food + TblConstr[[#This Row],[Tot Doc]]*dock_food</f>
        <v>3280</v>
      </c>
      <c r="AC91" s="97">
        <f ca="1">TblConstr[[#This Row],[Tot Ly]]*ly_lumber + TblConstr[[#This Row],[Tot Hav]]*fh_lumber</f>
        <v>1250</v>
      </c>
      <c r="AD91" s="97">
        <f ca="1">OFFSET(TblConstr[[#This Row],[Tot Tow]],1,0)*(tower_mana + tech_4_5*TblTech[[#This Row],[4-5]]) + OFFSET(TblConstr[[#This Row],[Tot WG]],1,0)*wg_mana_prod</f>
        <v>725</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0.1</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1" s="159">
        <f ca="1">race_lumber_bonus+ IF(TblMagic[[#This Row],[Active Gaia''s Blessing]]&gt;0,gaias_blessing_lumber)+ tech_1_3*TblTech[[#This Row],[1-3]] + tech_1_6*TblTech[[#This Row],[1-6]] + tech_3_3*TblTech[[#This Row],[3-3]]</f>
        <v>-0.1</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0.15</v>
      </c>
      <c r="AN91" s="145"/>
      <c r="AO91" s="97">
        <f ca="1">TblProd[[#This Row],[Food]]*food_decay * (1 + tech_2_1*TblTech[[#This Row],[2-1]] + tech_2_8*TblTech[[#This Row],[2-8]])</f>
        <v>44.32</v>
      </c>
      <c r="AP91" s="97">
        <f ca="1">(1+race_food_consumption)*TblPop[[#This Row],[Total]]*food_per_person*(1+tech_1_10*TblTech[[#This Row],[1-10]]+tech_7_5*TblTech[[#This Row],[7-5]])</f>
        <v>3234.75</v>
      </c>
      <c r="AQ91" s="97">
        <f ca="1">TblProd[[#This Row],[Lumber]]*lumber_rot * (1 + tech_2_1*TblTech[[#This Row],[2-1]] + tech_2_8*TblTech[[#This Row],[2-8]] + tech_5_2*TblTech[[#This Row],[5-2]])</f>
        <v>278.23</v>
      </c>
      <c r="AR91" s="97">
        <f ca="1">TblProd[[#This Row],[Mana]]*mana_drain * (1 + tech_2_1*TblTech[[#This Row],[2-1]] + tech_2_8*TblTech[[#This Row],[2-8]])</f>
        <v>89.89</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45433.374999999789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645725</v>
      </c>
      <c r="BJ91" s="97">
        <f ca="1">TblProd[[#This Row],[Food]]</f>
        <v>4432</v>
      </c>
      <c r="BK91" s="97">
        <f ca="1">TblProd[[#This Row],[Lumber]]</f>
        <v>27823</v>
      </c>
      <c r="BL91" s="97">
        <f ca="1">TblProd[[#This Row],[Mana]]</f>
        <v>4494.5</v>
      </c>
      <c r="BM91" s="97">
        <f ca="1">TblProd[[#This Row],[Ore]]</f>
        <v>0</v>
      </c>
    </row>
    <row r="92" spans="1:65" x14ac:dyDescent="0.2">
      <c r="A92" s="140">
        <v>17</v>
      </c>
      <c r="B92" s="155">
        <f ca="1">TblImps[[#This Row],[Time]]</f>
        <v>45433.416666666453</v>
      </c>
      <c r="C92" s="156"/>
      <c r="D92" s="157"/>
      <c r="E92" s="97">
        <f ca="1">TblConstr[[#This Row],[Land]]</f>
        <v>700</v>
      </c>
      <c r="F92" s="97">
        <f ca="1">TblPop[[#This Row],[Peasants]]</f>
        <v>8526</v>
      </c>
      <c r="G92" s="97">
        <f ca="1">TblMili[[#This Row],[Networth (2)]]</f>
        <v>42359.8</v>
      </c>
      <c r="H92" s="97">
        <f ca="1">OFFSET(TblProd[[#This Row],[Platinum]],-1,0)+OFFSET(TblProd[[#This Row],[Plat/hr]],-1,0) - TblProd[[#This Row],[Expenses Platinum]] + IF(TblProd[[#This Row],[Plat Bonus]],TblPop[[#This Row],[Peasants]]*4) + SUM(TblConstr[[#This Row],[Dest Hom]:[Dest Doc]])*TblConstr[[#This Row],[CPA Platinum -DB]]*tech_3_3_2*TblTech[[#This Row],[3-3]]</f>
        <v>688847</v>
      </c>
      <c r="I92" s="97">
        <f ca="1">OFFSET(TblProd[[#This Row],[Food]],-1,0)+OFFSET(TblProd[[#This Row],[Food/hr]],-1,0)+ROUNDUP((TblConstr[[#This Row],[Farms]]*80+TblConstr[[#This Row],[Docks]]*35)*(1+OFFSET(TblProd[[#This Row],[Bonus Food/hr]],-1,0)),0)</f>
        <v>4515</v>
      </c>
      <c r="J92" s="97">
        <f ca="1">OFFSET(TblProd[[#This Row],[Lumber]],-1,0)+OFFSET(TblProd[[#This Row],[Lumber/hr]],-1,0) - TblProd[[#This Row],[Expenses Lumber]] + SUM(TblConstr[[#This Row],[Dest Hom]:[Dest Doc]])*TblConstr[[#This Row],[CPA Lumber -DB]]*tech_3_3_2*TblTech[[#This Row],[3-3]]</f>
        <v>28670</v>
      </c>
      <c r="K92" s="97">
        <f ca="1">OFFSET(TblProd[[#This Row],[Mana]],-1,0)+OFFSET(TblProd[[#This Row],[Mana/hr]],-1,0)- TblProd[[#This Row],[Expenses Mana]]</f>
        <v>5129.5</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47.450000000000024</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2" s="97">
        <f ca="1">MAX(3750,_xlfn.CEILING.MATH(TblProd[[#This Row],[Land]]*2.5+OFFSET(TblTech[[#This Row],[Sum of tech]],-1,0)*150))</f>
        <v>3750</v>
      </c>
      <c r="R92" s="145"/>
      <c r="S92" s="97">
        <f ca="1">ROUNDDOWN(TblProd[[#This Row],[Raw Plat/hr]]*(1+TblProd[[#This Row],[Bonus Plat/hr]]),0)</f>
        <v>42867</v>
      </c>
      <c r="T92" s="97">
        <f ca="1">ROUND(TblProd[[#This Row],[Raw Food/hr]]*(1+TblProd[[#This Row],[Bonus Food/hr]])-TblProd[[#This Row],[Food decay]]-TblProd[[#This Row],[Food eaten]],0)</f>
        <v>82</v>
      </c>
      <c r="U92" s="97">
        <f ca="1">ROUND(TblProd[[#This Row],[Raw Lumber/hr]]*(1+TblProd[[#This Row],[Bonus Lumber/hr]])-TblProd[[#This Row],[Lumber rot]],0)</f>
        <v>838</v>
      </c>
      <c r="V92" s="97">
        <f ca="1">ROUND(TblProd[[#This Row],[Raw Mana/hr]]*(1+TblProd[[#This Row],[Bonus Mana/hr]])-TblProd[[#This Row],[Mana drain]],0)</f>
        <v>622</v>
      </c>
      <c r="W92" s="97">
        <f ca="1">ROUNDDOWN(TblProd[[#This Row],[Raw Ore/hr]]*(1+TblProd[[#This Row],[Bonux Ore/hr]]),0)</f>
        <v>0</v>
      </c>
      <c r="X92" s="97">
        <f ca="1">ROUNDDOWN(TblProd[[#This Row],[Raw Gems/hr]]*(1+TblProd[[#This Row],[Bonus Gems/hr]]),0)</f>
        <v>0</v>
      </c>
      <c r="Y92" s="158">
        <f ca="1">OFFSET(TblConstr[[#This Row],[Tot Doc]],1,0)*dock_boats_hr * (1 + tech_4_1*TblTech[[#This Row],[4-1]])</f>
        <v>1.2000000000000002</v>
      </c>
      <c r="Z92" s="157"/>
      <c r="AA92" s="97">
        <f ca="1">TblPop[[#This Row],[Peasants]]*tax*TblPop[[#This Row],[Employment]] + (Construction!AZ93+Construction!BX93)*(alch_plat+(Magic!AM92&gt;0)*alchemist_flame_bonus)</f>
        <v>38970.199999999997</v>
      </c>
      <c r="AB92" s="97">
        <f ca="1">TblConstr[[#This Row],[Tot Farm]]*farm_food + TblConstr[[#This Row],[Tot Doc]]*dock_food</f>
        <v>3280</v>
      </c>
      <c r="AC92" s="97">
        <f ca="1">TblConstr[[#This Row],[Tot Ly]]*ly_lumber + TblConstr[[#This Row],[Tot Hav]]*fh_lumber</f>
        <v>1250</v>
      </c>
      <c r="AD92" s="97">
        <f ca="1">OFFSET(TblConstr[[#This Row],[Tot Tow]],1,0)*(tower_mana + tech_4_5*TblTech[[#This Row],[4-5]]) + OFFSET(TblConstr[[#This Row],[Tot WG]],1,0)*wg_mana_prod</f>
        <v>725</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0.1</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2" s="159">
        <f ca="1">race_lumber_bonus+ IF(TblMagic[[#This Row],[Active Gaia''s Blessing]]&gt;0,gaias_blessing_lumber)+ tech_1_3*TblTech[[#This Row],[1-3]] + tech_1_6*TblTech[[#This Row],[1-6]] + tech_3_3*TblTech[[#This Row],[3-3]]</f>
        <v>-0.1</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0.15</v>
      </c>
      <c r="AN92" s="145"/>
      <c r="AO92" s="97">
        <f ca="1">TblProd[[#This Row],[Food]]*food_decay * (1 + tech_2_1*TblTech[[#This Row],[2-1]] + tech_2_8*TblTech[[#This Row],[2-8]])</f>
        <v>45.15</v>
      </c>
      <c r="AP92" s="97">
        <f ca="1">(1+race_food_consumption)*TblPop[[#This Row],[Total]]*food_per_person*(1+tech_1_10*TblTech[[#This Row],[1-10]]+tech_7_5*TblTech[[#This Row],[7-5]])</f>
        <v>3234.75</v>
      </c>
      <c r="AQ92" s="97">
        <f ca="1">TblProd[[#This Row],[Lumber]]*lumber_rot * (1 + tech_2_1*TblTech[[#This Row],[2-1]] + tech_2_8*TblTech[[#This Row],[2-8]] + tech_5_2*TblTech[[#This Row],[5-2]])</f>
        <v>286.7</v>
      </c>
      <c r="AR92" s="97">
        <f ca="1">TblProd[[#This Row],[Mana]]*mana_drain * (1 + tech_2_1*TblTech[[#This Row],[2-1]] + tech_2_8*TblTech[[#This Row],[2-8]])</f>
        <v>102.59</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45433.416666666453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688847</v>
      </c>
      <c r="BJ92" s="97">
        <f ca="1">TblProd[[#This Row],[Food]]</f>
        <v>4515</v>
      </c>
      <c r="BK92" s="97">
        <f ca="1">TblProd[[#This Row],[Lumber]]</f>
        <v>28670</v>
      </c>
      <c r="BL92" s="97">
        <f ca="1">TblProd[[#This Row],[Mana]]</f>
        <v>5129.5</v>
      </c>
      <c r="BM92" s="97">
        <f ca="1">TblProd[[#This Row],[Ore]]</f>
        <v>0</v>
      </c>
    </row>
    <row r="93" spans="1:65" x14ac:dyDescent="0.2">
      <c r="A93" s="140">
        <v>18</v>
      </c>
      <c r="B93" s="155">
        <f ca="1">TblImps[[#This Row],[Time]]</f>
        <v>45433.458333333117</v>
      </c>
      <c r="C93" s="156"/>
      <c r="D93" s="157"/>
      <c r="E93" s="97">
        <f ca="1">TblConstr[[#This Row],[Land]]</f>
        <v>700</v>
      </c>
      <c r="F93" s="97">
        <f ca="1">TblPop[[#This Row],[Peasants]]</f>
        <v>8441</v>
      </c>
      <c r="G93" s="97">
        <f ca="1">TblMili[[#This Row],[Networth (2)]]</f>
        <v>42359.8</v>
      </c>
      <c r="H93" s="97">
        <f ca="1">OFFSET(TblProd[[#This Row],[Platinum]],-1,0)+OFFSET(TblProd[[#This Row],[Plat/hr]],-1,0) - TblProd[[#This Row],[Expenses Platinum]] + IF(TblProd[[#This Row],[Plat Bonus]],TblPop[[#This Row],[Peasants]]*4) + SUM(TblConstr[[#This Row],[Dest Hom]:[Dest Doc]])*TblConstr[[#This Row],[CPA Platinum -DB]]*tech_3_3_2*TblTech[[#This Row],[3-3]]</f>
        <v>731714</v>
      </c>
      <c r="I93" s="97">
        <f ca="1">OFFSET(TblProd[[#This Row],[Food]],-1,0)+OFFSET(TblProd[[#This Row],[Food/hr]],-1,0)+ROUNDUP((TblConstr[[#This Row],[Farms]]*80+TblConstr[[#This Row],[Docks]]*35)*(1+OFFSET(TblProd[[#This Row],[Bonus Food/hr]],-1,0)),0)</f>
        <v>4597</v>
      </c>
      <c r="J93" s="97">
        <f ca="1">OFFSET(TblProd[[#This Row],[Lumber]],-1,0)+OFFSET(TblProd[[#This Row],[Lumber/hr]],-1,0) - TblProd[[#This Row],[Expenses Lumber]] + SUM(TblConstr[[#This Row],[Dest Hom]:[Dest Doc]])*TblConstr[[#This Row],[CPA Lumber -DB]]*tech_3_3_2*TblTech[[#This Row],[3-3]]</f>
        <v>29508</v>
      </c>
      <c r="K93" s="97">
        <f ca="1">OFFSET(TblProd[[#This Row],[Mana]],-1,0)+OFFSET(TblProd[[#This Row],[Mana/hr]],-1,0)- TblProd[[#This Row],[Expenses Mana]]</f>
        <v>5751.5</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48.650000000000027</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3" s="97">
        <f ca="1">MAX(3750,_xlfn.CEILING.MATH(TblProd[[#This Row],[Land]]*2.5+OFFSET(TblTech[[#This Row],[Sum of tech]],-1,0)*150))</f>
        <v>3750</v>
      </c>
      <c r="R93" s="145"/>
      <c r="S93" s="97">
        <f ca="1">ROUNDDOWN(TblProd[[#This Row],[Raw Plat/hr]]*(1+TblProd[[#This Row],[Bonus Plat/hr]]),0)</f>
        <v>42614</v>
      </c>
      <c r="T93" s="97">
        <f ca="1">ROUND(TblProd[[#This Row],[Raw Food/hr]]*(1+TblProd[[#This Row],[Bonus Food/hr]])-TblProd[[#This Row],[Food decay]]-TblProd[[#This Row],[Food eaten]],0)</f>
        <v>81</v>
      </c>
      <c r="U93" s="97">
        <f ca="1">ROUND(TblProd[[#This Row],[Raw Lumber/hr]]*(1+TblProd[[#This Row],[Bonus Lumber/hr]])-TblProd[[#This Row],[Lumber rot]],0)</f>
        <v>830</v>
      </c>
      <c r="V93" s="97">
        <f ca="1">ROUND(TblProd[[#This Row],[Raw Mana/hr]]*(1+TblProd[[#This Row],[Bonus Mana/hr]])-TblProd[[#This Row],[Mana drain]],0)</f>
        <v>610</v>
      </c>
      <c r="W93" s="97">
        <f ca="1">ROUNDDOWN(TblProd[[#This Row],[Raw Ore/hr]]*(1+TblProd[[#This Row],[Bonux Ore/hr]]),0)</f>
        <v>0</v>
      </c>
      <c r="X93" s="97">
        <f ca="1">ROUNDDOWN(TblProd[[#This Row],[Raw Gems/hr]]*(1+TblProd[[#This Row],[Bonus Gems/hr]]),0)</f>
        <v>0</v>
      </c>
      <c r="Y93" s="158">
        <f ca="1">OFFSET(TblConstr[[#This Row],[Tot Doc]],1,0)*dock_boats_hr * (1 + tech_4_1*TblTech[[#This Row],[4-1]])</f>
        <v>1.2000000000000002</v>
      </c>
      <c r="Z93" s="157"/>
      <c r="AA93" s="97">
        <f ca="1">TblPop[[#This Row],[Peasants]]*tax*TblPop[[#This Row],[Employment]] + (Construction!AZ94+Construction!BX94)*(alch_plat+(Magic!AM93&gt;0)*alchemist_flame_bonus)</f>
        <v>38740.699999999997</v>
      </c>
      <c r="AB93" s="97">
        <f ca="1">TblConstr[[#This Row],[Tot Farm]]*farm_food + TblConstr[[#This Row],[Tot Doc]]*dock_food</f>
        <v>3280</v>
      </c>
      <c r="AC93" s="97">
        <f ca="1">TblConstr[[#This Row],[Tot Ly]]*ly_lumber + TblConstr[[#This Row],[Tot Hav]]*fh_lumber</f>
        <v>1250</v>
      </c>
      <c r="AD93" s="97">
        <f ca="1">OFFSET(TblConstr[[#This Row],[Tot Tow]],1,0)*(tower_mana + tech_4_5*TblTech[[#This Row],[4-5]]) + OFFSET(TblConstr[[#This Row],[Tot WG]],1,0)*wg_mana_prod</f>
        <v>725</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0.1</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3" s="159">
        <f ca="1">race_lumber_bonus+ IF(TblMagic[[#This Row],[Active Gaia''s Blessing]]&gt;0,gaias_blessing_lumber)+ tech_1_3*TblTech[[#This Row],[1-3]] + tech_1_6*TblTech[[#This Row],[1-6]] + tech_3_3*TblTech[[#This Row],[3-3]]</f>
        <v>-0.1</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0.15</v>
      </c>
      <c r="AN93" s="145"/>
      <c r="AO93" s="97">
        <f ca="1">TblProd[[#This Row],[Food]]*food_decay * (1 + tech_2_1*TblTech[[#This Row],[2-1]] + tech_2_8*TblTech[[#This Row],[2-8]])</f>
        <v>45.97</v>
      </c>
      <c r="AP93" s="97">
        <f ca="1">(1+race_food_consumption)*TblPop[[#This Row],[Total]]*food_per_person*(1+tech_1_10*TblTech[[#This Row],[1-10]]+tech_7_5*TblTech[[#This Row],[7-5]])</f>
        <v>3234.75</v>
      </c>
      <c r="AQ93" s="97">
        <f ca="1">TblProd[[#This Row],[Lumber]]*lumber_rot * (1 + tech_2_1*TblTech[[#This Row],[2-1]] + tech_2_8*TblTech[[#This Row],[2-8]] + tech_5_2*TblTech[[#This Row],[5-2]])</f>
        <v>295.08</v>
      </c>
      <c r="AR93" s="97">
        <f ca="1">TblProd[[#This Row],[Mana]]*mana_drain * (1 + tech_2_1*TblTech[[#This Row],[2-1]] + tech_2_8*TblTech[[#This Row],[2-8]])</f>
        <v>115.03</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45433.458333333117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731714</v>
      </c>
      <c r="BJ93" s="97">
        <f ca="1">TblProd[[#This Row],[Food]]</f>
        <v>4597</v>
      </c>
      <c r="BK93" s="97">
        <f ca="1">TblProd[[#This Row],[Lumber]]</f>
        <v>29508</v>
      </c>
      <c r="BL93" s="97">
        <f ca="1">TblProd[[#This Row],[Mana]]</f>
        <v>5751.5</v>
      </c>
      <c r="BM93" s="97">
        <f ca="1">TblProd[[#This Row],[Ore]]</f>
        <v>0</v>
      </c>
    </row>
    <row r="94" spans="1:65" x14ac:dyDescent="0.2">
      <c r="A94" s="140">
        <v>19</v>
      </c>
      <c r="B94" s="155">
        <f ca="1">TblImps[[#This Row],[Time]]</f>
        <v>45433.499999999782</v>
      </c>
      <c r="C94" s="156"/>
      <c r="D94" s="157"/>
      <c r="E94" s="97">
        <f ca="1">TblConstr[[#This Row],[Land]]</f>
        <v>700</v>
      </c>
      <c r="F94" s="97">
        <f ca="1">TblPop[[#This Row],[Peasants]]</f>
        <v>8357</v>
      </c>
      <c r="G94" s="97">
        <f ca="1">TblMili[[#This Row],[Networth (2)]]</f>
        <v>42359.8</v>
      </c>
      <c r="H94" s="97">
        <f ca="1">OFFSET(TblProd[[#This Row],[Platinum]],-1,0)+OFFSET(TblProd[[#This Row],[Plat/hr]],-1,0) - TblProd[[#This Row],[Expenses Platinum]] + IF(TblProd[[#This Row],[Plat Bonus]],TblPop[[#This Row],[Peasants]]*4) + SUM(TblConstr[[#This Row],[Dest Hom]:[Dest Doc]])*TblConstr[[#This Row],[CPA Platinum -DB]]*tech_3_3_2*TblTech[[#This Row],[3-3]]</f>
        <v>774328</v>
      </c>
      <c r="I94" s="97">
        <f ca="1">OFFSET(TblProd[[#This Row],[Food]],-1,0)+OFFSET(TblProd[[#This Row],[Food/hr]],-1,0)+ROUNDUP((TblConstr[[#This Row],[Farms]]*80+TblConstr[[#This Row],[Docks]]*35)*(1+OFFSET(TblProd[[#This Row],[Bonus Food/hr]],-1,0)),0)</f>
        <v>4678</v>
      </c>
      <c r="J94" s="97">
        <f ca="1">OFFSET(TblProd[[#This Row],[Lumber]],-1,0)+OFFSET(TblProd[[#This Row],[Lumber/hr]],-1,0) - TblProd[[#This Row],[Expenses Lumber]] + SUM(TblConstr[[#This Row],[Dest Hom]:[Dest Doc]])*TblConstr[[#This Row],[CPA Lumber -DB]]*tech_3_3_2*TblTech[[#This Row],[3-3]]</f>
        <v>30338</v>
      </c>
      <c r="K94" s="97">
        <f ca="1">OFFSET(TblProd[[#This Row],[Mana]],-1,0)+OFFSET(TblProd[[#This Row],[Mana/hr]],-1,0)- TblProd[[#This Row],[Expenses Mana]]</f>
        <v>6361.5</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49.85000000000003</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4" s="97">
        <f ca="1">MAX(3750,_xlfn.CEILING.MATH(TblProd[[#This Row],[Land]]*2.5+OFFSET(TblTech[[#This Row],[Sum of tech]],-1,0)*150))</f>
        <v>3750</v>
      </c>
      <c r="R94" s="145"/>
      <c r="S94" s="97">
        <f ca="1">ROUNDDOWN(TblProd[[#This Row],[Raw Plat/hr]]*(1+TblProd[[#This Row],[Bonus Plat/hr]]),0)</f>
        <v>42365</v>
      </c>
      <c r="T94" s="97">
        <f ca="1">ROUND(TblProd[[#This Row],[Raw Food/hr]]*(1+TblProd[[#This Row],[Bonus Food/hr]])-TblProd[[#This Row],[Food decay]]-TblProd[[#This Row],[Food eaten]],0)</f>
        <v>80</v>
      </c>
      <c r="U94" s="97">
        <f ca="1">ROUND(TblProd[[#This Row],[Raw Lumber/hr]]*(1+TblProd[[#This Row],[Bonus Lumber/hr]])-TblProd[[#This Row],[Lumber rot]],0)</f>
        <v>822</v>
      </c>
      <c r="V94" s="97">
        <f ca="1">ROUND(TblProd[[#This Row],[Raw Mana/hr]]*(1+TblProd[[#This Row],[Bonus Mana/hr]])-TblProd[[#This Row],[Mana drain]],0)</f>
        <v>598</v>
      </c>
      <c r="W94" s="97">
        <f ca="1">ROUNDDOWN(TblProd[[#This Row],[Raw Ore/hr]]*(1+TblProd[[#This Row],[Bonux Ore/hr]]),0)</f>
        <v>0</v>
      </c>
      <c r="X94" s="97">
        <f ca="1">ROUNDDOWN(TblProd[[#This Row],[Raw Gems/hr]]*(1+TblProd[[#This Row],[Bonus Gems/hr]]),0)</f>
        <v>0</v>
      </c>
      <c r="Y94" s="158">
        <f ca="1">OFFSET(TblConstr[[#This Row],[Tot Doc]],1,0)*dock_boats_hr * (1 + tech_4_1*TblTech[[#This Row],[4-1]])</f>
        <v>1.2000000000000002</v>
      </c>
      <c r="Z94" s="157"/>
      <c r="AA94" s="97">
        <f ca="1">TblPop[[#This Row],[Peasants]]*tax*TblPop[[#This Row],[Employment]] + (Construction!AZ95+Construction!BX95)*(alch_plat+(Magic!AM94&gt;0)*alchemist_flame_bonus)</f>
        <v>38513.9</v>
      </c>
      <c r="AB94" s="97">
        <f ca="1">TblConstr[[#This Row],[Tot Farm]]*farm_food + TblConstr[[#This Row],[Tot Doc]]*dock_food</f>
        <v>3280</v>
      </c>
      <c r="AC94" s="97">
        <f ca="1">TblConstr[[#This Row],[Tot Ly]]*ly_lumber + TblConstr[[#This Row],[Tot Hav]]*fh_lumber</f>
        <v>1250</v>
      </c>
      <c r="AD94" s="97">
        <f ca="1">OFFSET(TblConstr[[#This Row],[Tot Tow]],1,0)*(tower_mana + tech_4_5*TblTech[[#This Row],[4-5]]) + OFFSET(TblConstr[[#This Row],[Tot WG]],1,0)*wg_mana_prod</f>
        <v>725</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0.1</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4" s="159">
        <f ca="1">race_lumber_bonus+ IF(TblMagic[[#This Row],[Active Gaia''s Blessing]]&gt;0,gaias_blessing_lumber)+ tech_1_3*TblTech[[#This Row],[1-3]] + tech_1_6*TblTech[[#This Row],[1-6]] + tech_3_3*TblTech[[#This Row],[3-3]]</f>
        <v>-0.1</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0.15</v>
      </c>
      <c r="AN94" s="145"/>
      <c r="AO94" s="97">
        <f ca="1">TblProd[[#This Row],[Food]]*food_decay * (1 + tech_2_1*TblTech[[#This Row],[2-1]] + tech_2_8*TblTech[[#This Row],[2-8]])</f>
        <v>46.78</v>
      </c>
      <c r="AP94" s="97">
        <f ca="1">(1+race_food_consumption)*TblPop[[#This Row],[Total]]*food_per_person*(1+tech_1_10*TblTech[[#This Row],[1-10]]+tech_7_5*TblTech[[#This Row],[7-5]])</f>
        <v>3234.75</v>
      </c>
      <c r="AQ94" s="97">
        <f ca="1">TblProd[[#This Row],[Lumber]]*lumber_rot * (1 + tech_2_1*TblTech[[#This Row],[2-1]] + tech_2_8*TblTech[[#This Row],[2-8]] + tech_5_2*TblTech[[#This Row],[5-2]])</f>
        <v>303.38</v>
      </c>
      <c r="AR94" s="97">
        <f ca="1">TblProd[[#This Row],[Mana]]*mana_drain * (1 + tech_2_1*TblTech[[#This Row],[2-1]] + tech_2_8*TblTech[[#This Row],[2-8]])</f>
        <v>127.23</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45433.499999999782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774328</v>
      </c>
      <c r="BJ94" s="97">
        <f ca="1">TblProd[[#This Row],[Food]]</f>
        <v>4678</v>
      </c>
      <c r="BK94" s="97">
        <f ca="1">TblProd[[#This Row],[Lumber]]</f>
        <v>30338</v>
      </c>
      <c r="BL94" s="97">
        <f ca="1">TblProd[[#This Row],[Mana]]</f>
        <v>6361.5</v>
      </c>
      <c r="BM94" s="97">
        <f ca="1">TblProd[[#This Row],[Ore]]</f>
        <v>0</v>
      </c>
    </row>
    <row r="95" spans="1:65" x14ac:dyDescent="0.2">
      <c r="A95" s="140">
        <v>20</v>
      </c>
      <c r="B95" s="155">
        <f ca="1">TblImps[[#This Row],[Time]]</f>
        <v>45433.541666666446</v>
      </c>
      <c r="C95" s="156"/>
      <c r="D95" s="157"/>
      <c r="E95" s="97">
        <f ca="1">TblConstr[[#This Row],[Land]]</f>
        <v>700</v>
      </c>
      <c r="F95" s="97">
        <f ca="1">TblPop[[#This Row],[Peasants]]</f>
        <v>8273</v>
      </c>
      <c r="G95" s="97">
        <f ca="1">TblMili[[#This Row],[Networth (2)]]</f>
        <v>42359.8</v>
      </c>
      <c r="H95" s="97">
        <f ca="1">OFFSET(TblProd[[#This Row],[Platinum]],-1,0)+OFFSET(TblProd[[#This Row],[Plat/hr]],-1,0) - TblProd[[#This Row],[Expenses Platinum]] + IF(TblProd[[#This Row],[Plat Bonus]],TblPop[[#This Row],[Peasants]]*4) + SUM(TblConstr[[#This Row],[Dest Hom]:[Dest Doc]])*TblConstr[[#This Row],[CPA Platinum -DB]]*tech_3_3_2*TblTech[[#This Row],[3-3]]</f>
        <v>816693</v>
      </c>
      <c r="I95" s="97">
        <f ca="1">OFFSET(TblProd[[#This Row],[Food]],-1,0)+OFFSET(TblProd[[#This Row],[Food/hr]],-1,0)+ROUNDUP((TblConstr[[#This Row],[Farms]]*80+TblConstr[[#This Row],[Docks]]*35)*(1+OFFSET(TblProd[[#This Row],[Bonus Food/hr]],-1,0)),0)</f>
        <v>4758</v>
      </c>
      <c r="J95" s="97">
        <f ca="1">OFFSET(TblProd[[#This Row],[Lumber]],-1,0)+OFFSET(TblProd[[#This Row],[Lumber/hr]],-1,0) - TblProd[[#This Row],[Expenses Lumber]] + SUM(TblConstr[[#This Row],[Dest Hom]:[Dest Doc]])*TblConstr[[#This Row],[CPA Lumber -DB]]*tech_3_3_2*TblTech[[#This Row],[3-3]]</f>
        <v>31160</v>
      </c>
      <c r="K95" s="97">
        <f ca="1">OFFSET(TblProd[[#This Row],[Mana]],-1,0)+OFFSET(TblProd[[#This Row],[Mana/hr]],-1,0)- TblProd[[#This Row],[Expenses Mana]]</f>
        <v>6959.5</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51.050000000000033</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5" s="97">
        <f ca="1">MAX(3750,_xlfn.CEILING.MATH(TblProd[[#This Row],[Land]]*2.5+OFFSET(TblTech[[#This Row],[Sum of tech]],-1,0)*150))</f>
        <v>3750</v>
      </c>
      <c r="R95" s="145"/>
      <c r="S95" s="97">
        <f ca="1">ROUNDDOWN(TblProd[[#This Row],[Raw Plat/hr]]*(1+TblProd[[#This Row],[Bonus Plat/hr]]),0)</f>
        <v>42115</v>
      </c>
      <c r="T95" s="97">
        <f ca="1">ROUND(TblProd[[#This Row],[Raw Food/hr]]*(1+TblProd[[#This Row],[Bonus Food/hr]])-TblProd[[#This Row],[Food decay]]-TblProd[[#This Row],[Food eaten]],0)</f>
        <v>80</v>
      </c>
      <c r="U95" s="97">
        <f ca="1">ROUND(TblProd[[#This Row],[Raw Lumber/hr]]*(1+TblProd[[#This Row],[Bonus Lumber/hr]])-TblProd[[#This Row],[Lumber rot]],0)</f>
        <v>813</v>
      </c>
      <c r="V95" s="97">
        <f ca="1">ROUND(TblProd[[#This Row],[Raw Mana/hr]]*(1+TblProd[[#This Row],[Bonus Mana/hr]])-TblProd[[#This Row],[Mana drain]],0)</f>
        <v>586</v>
      </c>
      <c r="W95" s="97">
        <f ca="1">ROUNDDOWN(TblProd[[#This Row],[Raw Ore/hr]]*(1+TblProd[[#This Row],[Bonux Ore/hr]]),0)</f>
        <v>0</v>
      </c>
      <c r="X95" s="97">
        <f ca="1">ROUNDDOWN(TblProd[[#This Row],[Raw Gems/hr]]*(1+TblProd[[#This Row],[Bonus Gems/hr]]),0)</f>
        <v>0</v>
      </c>
      <c r="Y95" s="158">
        <f ca="1">OFFSET(TblConstr[[#This Row],[Tot Doc]],1,0)*dock_boats_hr * (1 + tech_4_1*TblTech[[#This Row],[4-1]])</f>
        <v>1.2000000000000002</v>
      </c>
      <c r="Z95" s="157"/>
      <c r="AA95" s="97">
        <f ca="1">TblPop[[#This Row],[Peasants]]*tax*TblPop[[#This Row],[Employment]] + (Construction!AZ96+Construction!BX96)*(alch_plat+(Magic!AM95&gt;0)*alchemist_flame_bonus)</f>
        <v>38287.100000000006</v>
      </c>
      <c r="AB95" s="97">
        <f ca="1">TblConstr[[#This Row],[Tot Farm]]*farm_food + TblConstr[[#This Row],[Tot Doc]]*dock_food</f>
        <v>3280</v>
      </c>
      <c r="AC95" s="97">
        <f ca="1">TblConstr[[#This Row],[Tot Ly]]*ly_lumber + TblConstr[[#This Row],[Tot Hav]]*fh_lumber</f>
        <v>1250</v>
      </c>
      <c r="AD95" s="97">
        <f ca="1">OFFSET(TblConstr[[#This Row],[Tot Tow]],1,0)*(tower_mana + tech_4_5*TblTech[[#This Row],[4-5]]) + OFFSET(TblConstr[[#This Row],[Tot WG]],1,0)*wg_mana_prod</f>
        <v>725</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0.1</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5" s="159">
        <f ca="1">race_lumber_bonus+ IF(TblMagic[[#This Row],[Active Gaia''s Blessing]]&gt;0,gaias_blessing_lumber)+ tech_1_3*TblTech[[#This Row],[1-3]] + tech_1_6*TblTech[[#This Row],[1-6]] + tech_3_3*TblTech[[#This Row],[3-3]]</f>
        <v>-0.1</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0.15</v>
      </c>
      <c r="AN95" s="145"/>
      <c r="AO95" s="97">
        <f ca="1">TblProd[[#This Row],[Food]]*food_decay * (1 + tech_2_1*TblTech[[#This Row],[2-1]] + tech_2_8*TblTech[[#This Row],[2-8]])</f>
        <v>47.58</v>
      </c>
      <c r="AP95" s="97">
        <f ca="1">(1+race_food_consumption)*TblPop[[#This Row],[Total]]*food_per_person*(1+tech_1_10*TblTech[[#This Row],[1-10]]+tech_7_5*TblTech[[#This Row],[7-5]])</f>
        <v>3234.75</v>
      </c>
      <c r="AQ95" s="97">
        <f ca="1">TblProd[[#This Row],[Lumber]]*lumber_rot * (1 + tech_2_1*TblTech[[#This Row],[2-1]] + tech_2_8*TblTech[[#This Row],[2-8]] + tech_5_2*TblTech[[#This Row],[5-2]])</f>
        <v>311.60000000000002</v>
      </c>
      <c r="AR95" s="97">
        <f ca="1">TblProd[[#This Row],[Mana]]*mana_drain * (1 + tech_2_1*TblTech[[#This Row],[2-1]] + tech_2_8*TblTech[[#This Row],[2-8]])</f>
        <v>139.19</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45433.541666666446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816693</v>
      </c>
      <c r="BJ95" s="97">
        <f ca="1">TblProd[[#This Row],[Food]]</f>
        <v>4758</v>
      </c>
      <c r="BK95" s="97">
        <f ca="1">TblProd[[#This Row],[Lumber]]</f>
        <v>31160</v>
      </c>
      <c r="BL95" s="97">
        <f ca="1">TblProd[[#This Row],[Mana]]</f>
        <v>6959.5</v>
      </c>
      <c r="BM95" s="97">
        <f ca="1">TblProd[[#This Row],[Ore]]</f>
        <v>0</v>
      </c>
    </row>
    <row r="96" spans="1:65" x14ac:dyDescent="0.2">
      <c r="A96" s="140">
        <v>21</v>
      </c>
      <c r="B96" s="155">
        <f ca="1">TblImps[[#This Row],[Time]]</f>
        <v>45433.58333333311</v>
      </c>
      <c r="C96" s="156"/>
      <c r="D96" s="157"/>
      <c r="E96" s="97">
        <f ca="1">TblConstr[[#This Row],[Land]]</f>
        <v>700</v>
      </c>
      <c r="F96" s="97">
        <f ca="1">TblPop[[#This Row],[Peasants]]</f>
        <v>8190</v>
      </c>
      <c r="G96" s="97">
        <f ca="1">TblMili[[#This Row],[Networth (2)]]</f>
        <v>42359.8</v>
      </c>
      <c r="H96" s="97">
        <f ca="1">OFFSET(TblProd[[#This Row],[Platinum]],-1,0)+OFFSET(TblProd[[#This Row],[Plat/hr]],-1,0) - TblProd[[#This Row],[Expenses Platinum]] + IF(TblProd[[#This Row],[Plat Bonus]],TblPop[[#This Row],[Peasants]]*4) + SUM(TblConstr[[#This Row],[Dest Hom]:[Dest Doc]])*TblConstr[[#This Row],[CPA Platinum -DB]]*tech_3_3_2*TblTech[[#This Row],[3-3]]</f>
        <v>858808</v>
      </c>
      <c r="I96" s="97">
        <f ca="1">OFFSET(TblProd[[#This Row],[Food]],-1,0)+OFFSET(TblProd[[#This Row],[Food/hr]],-1,0)+ROUNDUP((TblConstr[[#This Row],[Farms]]*80+TblConstr[[#This Row],[Docks]]*35)*(1+OFFSET(TblProd[[#This Row],[Bonus Food/hr]],-1,0)),0)</f>
        <v>4838</v>
      </c>
      <c r="J96" s="97">
        <f ca="1">OFFSET(TblProd[[#This Row],[Lumber]],-1,0)+OFFSET(TblProd[[#This Row],[Lumber/hr]],-1,0) - TblProd[[#This Row],[Expenses Lumber]] + SUM(TblConstr[[#This Row],[Dest Hom]:[Dest Doc]])*TblConstr[[#This Row],[CPA Lumber -DB]]*tech_3_3_2*TblTech[[#This Row],[3-3]]</f>
        <v>31973</v>
      </c>
      <c r="K96" s="97">
        <f ca="1">OFFSET(TblProd[[#This Row],[Mana]],-1,0)+OFFSET(TblProd[[#This Row],[Mana/hr]],-1,0)- TblProd[[#This Row],[Expenses Mana]]</f>
        <v>7545.5</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52.250000000000036</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6" s="97">
        <f ca="1">MAX(3750,_xlfn.CEILING.MATH(TblProd[[#This Row],[Land]]*2.5+OFFSET(TblTech[[#This Row],[Sum of tech]],-1,0)*150))</f>
        <v>3750</v>
      </c>
      <c r="R96" s="145"/>
      <c r="S96" s="97">
        <f ca="1">ROUNDDOWN(TblProd[[#This Row],[Raw Plat/hr]]*(1+TblProd[[#This Row],[Bonus Plat/hr]]),0)</f>
        <v>41869</v>
      </c>
      <c r="T96" s="97">
        <f ca="1">ROUND(TblProd[[#This Row],[Raw Food/hr]]*(1+TblProd[[#This Row],[Bonus Food/hr]])-TblProd[[#This Row],[Food decay]]-TblProd[[#This Row],[Food eaten]],0)</f>
        <v>79</v>
      </c>
      <c r="U96" s="97">
        <f ca="1">ROUND(TblProd[[#This Row],[Raw Lumber/hr]]*(1+TblProd[[#This Row],[Bonus Lumber/hr]])-TblProd[[#This Row],[Lumber rot]],0)</f>
        <v>805</v>
      </c>
      <c r="V96" s="97">
        <f ca="1">ROUND(TblProd[[#This Row],[Raw Mana/hr]]*(1+TblProd[[#This Row],[Bonus Mana/hr]])-TblProd[[#This Row],[Mana drain]],0)</f>
        <v>574</v>
      </c>
      <c r="W96" s="97">
        <f ca="1">ROUNDDOWN(TblProd[[#This Row],[Raw Ore/hr]]*(1+TblProd[[#This Row],[Bonux Ore/hr]]),0)</f>
        <v>0</v>
      </c>
      <c r="X96" s="97">
        <f ca="1">ROUNDDOWN(TblProd[[#This Row],[Raw Gems/hr]]*(1+TblProd[[#This Row],[Bonus Gems/hr]]),0)</f>
        <v>0</v>
      </c>
      <c r="Y96" s="158">
        <f ca="1">OFFSET(TblConstr[[#This Row],[Tot Doc]],1,0)*dock_boats_hr * (1 + tech_4_1*TblTech[[#This Row],[4-1]])</f>
        <v>1.2000000000000002</v>
      </c>
      <c r="Z96" s="157"/>
      <c r="AA96" s="97">
        <f ca="1">TblPop[[#This Row],[Peasants]]*tax*TblPop[[#This Row],[Employment]] + (Construction!AZ97+Construction!BX97)*(alch_plat+(Magic!AM96&gt;0)*alchemist_flame_bonus)</f>
        <v>38063</v>
      </c>
      <c r="AB96" s="97">
        <f ca="1">TblConstr[[#This Row],[Tot Farm]]*farm_food + TblConstr[[#This Row],[Tot Doc]]*dock_food</f>
        <v>3280</v>
      </c>
      <c r="AC96" s="97">
        <f ca="1">TblConstr[[#This Row],[Tot Ly]]*ly_lumber + TblConstr[[#This Row],[Tot Hav]]*fh_lumber</f>
        <v>1250</v>
      </c>
      <c r="AD96" s="97">
        <f ca="1">OFFSET(TblConstr[[#This Row],[Tot Tow]],1,0)*(tower_mana + tech_4_5*TblTech[[#This Row],[4-5]]) + OFFSET(TblConstr[[#This Row],[Tot WG]],1,0)*wg_mana_prod</f>
        <v>725</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0.1</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6" s="159">
        <f ca="1">race_lumber_bonus+ IF(TblMagic[[#This Row],[Active Gaia''s Blessing]]&gt;0,gaias_blessing_lumber)+ tech_1_3*TblTech[[#This Row],[1-3]] + tech_1_6*TblTech[[#This Row],[1-6]] + tech_3_3*TblTech[[#This Row],[3-3]]</f>
        <v>-0.1</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0.15</v>
      </c>
      <c r="AN96" s="145"/>
      <c r="AO96" s="97">
        <f ca="1">TblProd[[#This Row],[Food]]*food_decay * (1 + tech_2_1*TblTech[[#This Row],[2-1]] + tech_2_8*TblTech[[#This Row],[2-8]])</f>
        <v>48.38</v>
      </c>
      <c r="AP96" s="97">
        <f ca="1">(1+race_food_consumption)*TblPop[[#This Row],[Total]]*food_per_person*(1+tech_1_10*TblTech[[#This Row],[1-10]]+tech_7_5*TblTech[[#This Row],[7-5]])</f>
        <v>3234.75</v>
      </c>
      <c r="AQ96" s="97">
        <f ca="1">TblProd[[#This Row],[Lumber]]*lumber_rot * (1 + tech_2_1*TblTech[[#This Row],[2-1]] + tech_2_8*TblTech[[#This Row],[2-8]] + tech_5_2*TblTech[[#This Row],[5-2]])</f>
        <v>319.73</v>
      </c>
      <c r="AR96" s="97">
        <f ca="1">TblProd[[#This Row],[Mana]]*mana_drain * (1 + tech_2_1*TblTech[[#This Row],[2-1]] + tech_2_8*TblTech[[#This Row],[2-8]])</f>
        <v>150.91</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45433.58333333311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858808</v>
      </c>
      <c r="BJ96" s="97">
        <f ca="1">TblProd[[#This Row],[Food]]</f>
        <v>4838</v>
      </c>
      <c r="BK96" s="97">
        <f ca="1">TblProd[[#This Row],[Lumber]]</f>
        <v>31973</v>
      </c>
      <c r="BL96" s="97">
        <f ca="1">TblProd[[#This Row],[Mana]]</f>
        <v>7545.5</v>
      </c>
      <c r="BM96" s="97">
        <f ca="1">TblProd[[#This Row],[Ore]]</f>
        <v>0</v>
      </c>
    </row>
    <row r="97" spans="1:65" x14ac:dyDescent="0.2">
      <c r="A97" s="140">
        <v>22</v>
      </c>
      <c r="B97" s="155">
        <f ca="1">TblImps[[#This Row],[Time]]</f>
        <v>45433.624999999774</v>
      </c>
      <c r="C97" s="156"/>
      <c r="D97" s="157"/>
      <c r="E97" s="97">
        <f ca="1">TblConstr[[#This Row],[Land]]</f>
        <v>700</v>
      </c>
      <c r="F97" s="97">
        <f ca="1">TblPop[[#This Row],[Peasants]]</f>
        <v>8108</v>
      </c>
      <c r="G97" s="97">
        <f ca="1">TblMili[[#This Row],[Networth (2)]]</f>
        <v>42359.8</v>
      </c>
      <c r="H97" s="97">
        <f ca="1">OFFSET(TblProd[[#This Row],[Platinum]],-1,0)+OFFSET(TblProd[[#This Row],[Plat/hr]],-1,0) - TblProd[[#This Row],[Expenses Platinum]] + IF(TblProd[[#This Row],[Plat Bonus]],TblPop[[#This Row],[Peasants]]*4) + SUM(TblConstr[[#This Row],[Dest Hom]:[Dest Doc]])*TblConstr[[#This Row],[CPA Platinum -DB]]*tech_3_3_2*TblTech[[#This Row],[3-3]]</f>
        <v>900677</v>
      </c>
      <c r="I97" s="97">
        <f ca="1">OFFSET(TblProd[[#This Row],[Food]],-1,0)+OFFSET(TblProd[[#This Row],[Food/hr]],-1,0)+ROUNDUP((TblConstr[[#This Row],[Farms]]*80+TblConstr[[#This Row],[Docks]]*35)*(1+OFFSET(TblProd[[#This Row],[Bonus Food/hr]],-1,0)),0)</f>
        <v>4917</v>
      </c>
      <c r="J97" s="97">
        <f ca="1">OFFSET(TblProd[[#This Row],[Lumber]],-1,0)+OFFSET(TblProd[[#This Row],[Lumber/hr]],-1,0) - TblProd[[#This Row],[Expenses Lumber]] + SUM(TblConstr[[#This Row],[Dest Hom]:[Dest Doc]])*TblConstr[[#This Row],[CPA Lumber -DB]]*tech_3_3_2*TblTech[[#This Row],[3-3]]</f>
        <v>32778</v>
      </c>
      <c r="K97" s="97">
        <f ca="1">OFFSET(TblProd[[#This Row],[Mana]],-1,0)+OFFSET(TblProd[[#This Row],[Mana/hr]],-1,0)- TblProd[[#This Row],[Expenses Mana]]</f>
        <v>8119.5</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53.450000000000038</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7" s="97">
        <f ca="1">MAX(3750,_xlfn.CEILING.MATH(TblProd[[#This Row],[Land]]*2.5+OFFSET(TblTech[[#This Row],[Sum of tech]],-1,0)*150))</f>
        <v>3750</v>
      </c>
      <c r="R97" s="145"/>
      <c r="S97" s="97">
        <f ca="1">ROUNDDOWN(TblProd[[#This Row],[Raw Plat/hr]]*(1+TblProd[[#This Row],[Bonus Plat/hr]]),0)</f>
        <v>41625</v>
      </c>
      <c r="T97" s="97">
        <f ca="1">ROUND(TblProd[[#This Row],[Raw Food/hr]]*(1+TblProd[[#This Row],[Bonus Food/hr]])-TblProd[[#This Row],[Food decay]]-TblProd[[#This Row],[Food eaten]],0)</f>
        <v>78</v>
      </c>
      <c r="U97" s="97">
        <f ca="1">ROUND(TblProd[[#This Row],[Raw Lumber/hr]]*(1+TblProd[[#This Row],[Bonus Lumber/hr]])-TblProd[[#This Row],[Lumber rot]],0)</f>
        <v>797</v>
      </c>
      <c r="V97" s="97">
        <f ca="1">ROUND(TblProd[[#This Row],[Raw Mana/hr]]*(1+TblProd[[#This Row],[Bonus Mana/hr]])-TblProd[[#This Row],[Mana drain]],0)</f>
        <v>563</v>
      </c>
      <c r="W97" s="97">
        <f ca="1">ROUNDDOWN(TblProd[[#This Row],[Raw Ore/hr]]*(1+TblProd[[#This Row],[Bonux Ore/hr]]),0)</f>
        <v>0</v>
      </c>
      <c r="X97" s="97">
        <f ca="1">ROUNDDOWN(TblProd[[#This Row],[Raw Gems/hr]]*(1+TblProd[[#This Row],[Bonus Gems/hr]]),0)</f>
        <v>0</v>
      </c>
      <c r="Y97" s="158">
        <f ca="1">OFFSET(TblConstr[[#This Row],[Tot Doc]],1,0)*dock_boats_hr * (1 + tech_4_1*TblTech[[#This Row],[4-1]])</f>
        <v>1.2000000000000002</v>
      </c>
      <c r="Z97" s="157"/>
      <c r="AA97" s="97">
        <f ca="1">TblPop[[#This Row],[Peasants]]*tax*TblPop[[#This Row],[Employment]] + (Construction!AZ98+Construction!BX98)*(alch_plat+(Magic!AM97&gt;0)*alchemist_flame_bonus)</f>
        <v>37841.600000000006</v>
      </c>
      <c r="AB97" s="97">
        <f ca="1">TblConstr[[#This Row],[Tot Farm]]*farm_food + TblConstr[[#This Row],[Tot Doc]]*dock_food</f>
        <v>3280</v>
      </c>
      <c r="AC97" s="97">
        <f ca="1">TblConstr[[#This Row],[Tot Ly]]*ly_lumber + TblConstr[[#This Row],[Tot Hav]]*fh_lumber</f>
        <v>1250</v>
      </c>
      <c r="AD97" s="97">
        <f ca="1">OFFSET(TblConstr[[#This Row],[Tot Tow]],1,0)*(tower_mana + tech_4_5*TblTech[[#This Row],[4-5]]) + OFFSET(TblConstr[[#This Row],[Tot WG]],1,0)*wg_mana_prod</f>
        <v>725</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0.1</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7" s="159">
        <f ca="1">race_lumber_bonus+ IF(TblMagic[[#This Row],[Active Gaia''s Blessing]]&gt;0,gaias_blessing_lumber)+ tech_1_3*TblTech[[#This Row],[1-3]] + tech_1_6*TblTech[[#This Row],[1-6]] + tech_3_3*TblTech[[#This Row],[3-3]]</f>
        <v>-0.1</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0.15</v>
      </c>
      <c r="AN97" s="145"/>
      <c r="AO97" s="97">
        <f ca="1">TblProd[[#This Row],[Food]]*food_decay * (1 + tech_2_1*TblTech[[#This Row],[2-1]] + tech_2_8*TblTech[[#This Row],[2-8]])</f>
        <v>49.17</v>
      </c>
      <c r="AP97" s="97">
        <f ca="1">(1+race_food_consumption)*TblPop[[#This Row],[Total]]*food_per_person*(1+tech_1_10*TblTech[[#This Row],[1-10]]+tech_7_5*TblTech[[#This Row],[7-5]])</f>
        <v>3234.75</v>
      </c>
      <c r="AQ97" s="97">
        <f ca="1">TblProd[[#This Row],[Lumber]]*lumber_rot * (1 + tech_2_1*TblTech[[#This Row],[2-1]] + tech_2_8*TblTech[[#This Row],[2-8]] + tech_5_2*TblTech[[#This Row],[5-2]])</f>
        <v>327.78000000000003</v>
      </c>
      <c r="AR97" s="97">
        <f ca="1">TblProd[[#This Row],[Mana]]*mana_drain * (1 + tech_2_1*TblTech[[#This Row],[2-1]] + tech_2_8*TblTech[[#This Row],[2-8]])</f>
        <v>162.39000000000001</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45433.624999999774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900677</v>
      </c>
      <c r="BJ97" s="97">
        <f ca="1">TblProd[[#This Row],[Food]]</f>
        <v>4917</v>
      </c>
      <c r="BK97" s="97">
        <f ca="1">TblProd[[#This Row],[Lumber]]</f>
        <v>32778</v>
      </c>
      <c r="BL97" s="97">
        <f ca="1">TblProd[[#This Row],[Mana]]</f>
        <v>8119.5</v>
      </c>
      <c r="BM97" s="97">
        <f ca="1">TblProd[[#This Row],[Ore]]</f>
        <v>0</v>
      </c>
    </row>
    <row r="98" spans="1:65" x14ac:dyDescent="0.2">
      <c r="A98" s="140">
        <v>23</v>
      </c>
      <c r="B98" s="155">
        <f ca="1">TblImps[[#This Row],[Time]]</f>
        <v>45433.666666666439</v>
      </c>
      <c r="C98" s="156"/>
      <c r="D98" s="157"/>
      <c r="E98" s="97">
        <f ca="1">TblConstr[[#This Row],[Land]]</f>
        <v>700</v>
      </c>
      <c r="F98" s="97">
        <f ca="1">TblPop[[#This Row],[Peasants]]</f>
        <v>8027</v>
      </c>
      <c r="G98" s="97">
        <f ca="1">TblMili[[#This Row],[Networth (2)]]</f>
        <v>42359.8</v>
      </c>
      <c r="H98" s="97">
        <f ca="1">OFFSET(TblProd[[#This Row],[Platinum]],-1,0)+OFFSET(TblProd[[#This Row],[Plat/hr]],-1,0) - TblProd[[#This Row],[Expenses Platinum]] + IF(TblProd[[#This Row],[Plat Bonus]],TblPop[[#This Row],[Peasants]]*4) + SUM(TblConstr[[#This Row],[Dest Hom]:[Dest Doc]])*TblConstr[[#This Row],[CPA Platinum -DB]]*tech_3_3_2*TblTech[[#This Row],[3-3]]</f>
        <v>942302</v>
      </c>
      <c r="I98" s="97">
        <f ca="1">OFFSET(TblProd[[#This Row],[Food]],-1,0)+OFFSET(TblProd[[#This Row],[Food/hr]],-1,0)+ROUNDUP((TblConstr[[#This Row],[Farms]]*80+TblConstr[[#This Row],[Docks]]*35)*(1+OFFSET(TblProd[[#This Row],[Bonus Food/hr]],-1,0)),0)</f>
        <v>4995</v>
      </c>
      <c r="J98" s="97">
        <f ca="1">OFFSET(TblProd[[#This Row],[Lumber]],-1,0)+OFFSET(TblProd[[#This Row],[Lumber/hr]],-1,0) - TblProd[[#This Row],[Expenses Lumber]] + SUM(TblConstr[[#This Row],[Dest Hom]:[Dest Doc]])*TblConstr[[#This Row],[CPA Lumber -DB]]*tech_3_3_2*TblTech[[#This Row],[3-3]]</f>
        <v>33575</v>
      </c>
      <c r="K98" s="97">
        <f ca="1">OFFSET(TblProd[[#This Row],[Mana]],-1,0)+OFFSET(TblProd[[#This Row],[Mana/hr]],-1,0)- TblProd[[#This Row],[Expenses Mana]]</f>
        <v>8682.5</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54.650000000000041</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8" s="97">
        <f ca="1">MAX(3750,_xlfn.CEILING.MATH(TblProd[[#This Row],[Land]]*2.5+OFFSET(TblTech[[#This Row],[Sum of tech]],-1,0)*150))</f>
        <v>3750</v>
      </c>
      <c r="R98" s="145"/>
      <c r="S98" s="97">
        <f ca="1">ROUNDDOWN(TblProd[[#This Row],[Raw Plat/hr]]*(1+TblProd[[#This Row],[Bonus Plat/hr]]),0)</f>
        <v>41385</v>
      </c>
      <c r="T98" s="97">
        <f ca="1">ROUND(TblProd[[#This Row],[Raw Food/hr]]*(1+TblProd[[#This Row],[Bonus Food/hr]])-TblProd[[#This Row],[Food decay]]-TblProd[[#This Row],[Food eaten]],0)</f>
        <v>77</v>
      </c>
      <c r="U98" s="97">
        <f ca="1">ROUND(TblProd[[#This Row],[Raw Lumber/hr]]*(1+TblProd[[#This Row],[Bonus Lumber/hr]])-TblProd[[#This Row],[Lumber rot]],0)</f>
        <v>789</v>
      </c>
      <c r="V98" s="97">
        <f ca="1">ROUND(TblProd[[#This Row],[Raw Mana/hr]]*(1+TblProd[[#This Row],[Bonus Mana/hr]])-TblProd[[#This Row],[Mana drain]],0)</f>
        <v>551</v>
      </c>
      <c r="W98" s="97">
        <f ca="1">ROUNDDOWN(TblProd[[#This Row],[Raw Ore/hr]]*(1+TblProd[[#This Row],[Bonux Ore/hr]]),0)</f>
        <v>0</v>
      </c>
      <c r="X98" s="97">
        <f ca="1">ROUNDDOWN(TblProd[[#This Row],[Raw Gems/hr]]*(1+TblProd[[#This Row],[Bonus Gems/hr]]),0)</f>
        <v>0</v>
      </c>
      <c r="Y98" s="158">
        <f ca="1">OFFSET(TblConstr[[#This Row],[Tot Doc]],1,0)*dock_boats_hr * (1 + tech_4_1*TblTech[[#This Row],[4-1]])</f>
        <v>1.2000000000000002</v>
      </c>
      <c r="Z98" s="157"/>
      <c r="AA98" s="97">
        <f ca="1">TblPop[[#This Row],[Peasants]]*tax*TblPop[[#This Row],[Employment]] + (Construction!AZ99+Construction!BX99)*(alch_plat+(Magic!AM98&gt;0)*alchemist_flame_bonus)</f>
        <v>37622.9</v>
      </c>
      <c r="AB98" s="97">
        <f ca="1">TblConstr[[#This Row],[Tot Farm]]*farm_food + TblConstr[[#This Row],[Tot Doc]]*dock_food</f>
        <v>3280</v>
      </c>
      <c r="AC98" s="97">
        <f ca="1">TblConstr[[#This Row],[Tot Ly]]*ly_lumber + TblConstr[[#This Row],[Tot Hav]]*fh_lumber</f>
        <v>1250</v>
      </c>
      <c r="AD98" s="97">
        <f ca="1">OFFSET(TblConstr[[#This Row],[Tot Tow]],1,0)*(tower_mana + tech_4_5*TblTech[[#This Row],[4-5]]) + OFFSET(TblConstr[[#This Row],[Tot WG]],1,0)*wg_mana_prod</f>
        <v>725</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0.1</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8" s="159">
        <f ca="1">race_lumber_bonus+ IF(TblMagic[[#This Row],[Active Gaia''s Blessing]]&gt;0,gaias_blessing_lumber)+ tech_1_3*TblTech[[#This Row],[1-3]] + tech_1_6*TblTech[[#This Row],[1-6]] + tech_3_3*TblTech[[#This Row],[3-3]]</f>
        <v>-0.1</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0.15</v>
      </c>
      <c r="AN98" s="145"/>
      <c r="AO98" s="97">
        <f ca="1">TblProd[[#This Row],[Food]]*food_decay * (1 + tech_2_1*TblTech[[#This Row],[2-1]] + tech_2_8*TblTech[[#This Row],[2-8]])</f>
        <v>49.95</v>
      </c>
      <c r="AP98" s="97">
        <f ca="1">(1+race_food_consumption)*TblPop[[#This Row],[Total]]*food_per_person*(1+tech_1_10*TblTech[[#This Row],[1-10]]+tech_7_5*TblTech[[#This Row],[7-5]])</f>
        <v>3234.75</v>
      </c>
      <c r="AQ98" s="97">
        <f ca="1">TblProd[[#This Row],[Lumber]]*lumber_rot * (1 + tech_2_1*TblTech[[#This Row],[2-1]] + tech_2_8*TblTech[[#This Row],[2-8]] + tech_5_2*TblTech[[#This Row],[5-2]])</f>
        <v>335.75</v>
      </c>
      <c r="AR98" s="97">
        <f ca="1">TblProd[[#This Row],[Mana]]*mana_drain * (1 + tech_2_1*TblTech[[#This Row],[2-1]] + tech_2_8*TblTech[[#This Row],[2-8]])</f>
        <v>173.65</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45433.666666666439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942302</v>
      </c>
      <c r="BJ98" s="97">
        <f ca="1">TblProd[[#This Row],[Food]]</f>
        <v>4995</v>
      </c>
      <c r="BK98" s="97">
        <f ca="1">TblProd[[#This Row],[Lumber]]</f>
        <v>33575</v>
      </c>
      <c r="BL98" s="97">
        <f ca="1">TblProd[[#This Row],[Mana]]</f>
        <v>8682.5</v>
      </c>
      <c r="BM98" s="97">
        <f ca="1">TblProd[[#This Row],[Ore]]</f>
        <v>0</v>
      </c>
    </row>
    <row r="99" spans="1:65" x14ac:dyDescent="0.2">
      <c r="A99" s="140">
        <v>24</v>
      </c>
      <c r="B99" s="155">
        <f ca="1">TblImps[[#This Row],[Time]]</f>
        <v>45433.708333333103</v>
      </c>
      <c r="C99" s="156"/>
      <c r="D99" s="157"/>
      <c r="E99" s="97">
        <f ca="1">TblConstr[[#This Row],[Land]]</f>
        <v>700</v>
      </c>
      <c r="F99" s="97">
        <f ca="1">TblPop[[#This Row],[Peasants]]</f>
        <v>7947</v>
      </c>
      <c r="G99" s="97">
        <f ca="1">TblMili[[#This Row],[Networth (2)]]</f>
        <v>42359.8</v>
      </c>
      <c r="H99" s="97">
        <f ca="1">OFFSET(TblProd[[#This Row],[Platinum]],-1,0)+OFFSET(TblProd[[#This Row],[Plat/hr]],-1,0) - TblProd[[#This Row],[Expenses Platinum]] + IF(TblProd[[#This Row],[Plat Bonus]],TblPop[[#This Row],[Peasants]]*4) + SUM(TblConstr[[#This Row],[Dest Hom]:[Dest Doc]])*TblConstr[[#This Row],[CPA Platinum -DB]]*tech_3_3_2*TblTech[[#This Row],[3-3]]</f>
        <v>983687</v>
      </c>
      <c r="I99" s="97">
        <f ca="1">OFFSET(TblProd[[#This Row],[Food]],-1,0)+OFFSET(TblProd[[#This Row],[Food/hr]],-1,0)+ROUNDUP((TblConstr[[#This Row],[Farms]]*80+TblConstr[[#This Row],[Docks]]*35)*(1+OFFSET(TblProd[[#This Row],[Bonus Food/hr]],-1,0)),0)</f>
        <v>5072</v>
      </c>
      <c r="J99" s="97">
        <f ca="1">OFFSET(TblProd[[#This Row],[Lumber]],-1,0)+OFFSET(TblProd[[#This Row],[Lumber/hr]],-1,0) - TblProd[[#This Row],[Expenses Lumber]] + SUM(TblConstr[[#This Row],[Dest Hom]:[Dest Doc]])*TblConstr[[#This Row],[CPA Lumber -DB]]*tech_3_3_2*TblTech[[#This Row],[3-3]]</f>
        <v>34364</v>
      </c>
      <c r="K99" s="97">
        <f ca="1">OFFSET(TblProd[[#This Row],[Mana]],-1,0)+OFFSET(TblProd[[#This Row],[Mana/hr]],-1,0)- TblProd[[#This Row],[Expenses Mana]]</f>
        <v>9233.5</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55.850000000000044</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9" s="97">
        <f ca="1">MAX(3750,_xlfn.CEILING.MATH(TblProd[[#This Row],[Land]]*2.5+OFFSET(TblTech[[#This Row],[Sum of tech]],-1,0)*150))</f>
        <v>3750</v>
      </c>
      <c r="R99" s="145"/>
      <c r="S99" s="97">
        <f ca="1">ROUNDDOWN(TblProd[[#This Row],[Raw Plat/hr]]*(1+TblProd[[#This Row],[Bonus Plat/hr]]),0)</f>
        <v>41147</v>
      </c>
      <c r="T99" s="97">
        <f ca="1">ROUND(TblProd[[#This Row],[Raw Food/hr]]*(1+TblProd[[#This Row],[Bonus Food/hr]])-TblProd[[#This Row],[Food decay]]-TblProd[[#This Row],[Food eaten]],0)</f>
        <v>77</v>
      </c>
      <c r="U99" s="97">
        <f ca="1">ROUND(TblProd[[#This Row],[Raw Lumber/hr]]*(1+TblProd[[#This Row],[Bonus Lumber/hr]])-TblProd[[#This Row],[Lumber rot]],0)</f>
        <v>781</v>
      </c>
      <c r="V99" s="97">
        <f ca="1">ROUND(TblProd[[#This Row],[Raw Mana/hr]]*(1+TblProd[[#This Row],[Bonus Mana/hr]])-TblProd[[#This Row],[Mana drain]],0)</f>
        <v>540</v>
      </c>
      <c r="W99" s="97">
        <f ca="1">ROUNDDOWN(TblProd[[#This Row],[Raw Ore/hr]]*(1+TblProd[[#This Row],[Bonux Ore/hr]]),0)</f>
        <v>0</v>
      </c>
      <c r="X99" s="97">
        <f ca="1">ROUNDDOWN(TblProd[[#This Row],[Raw Gems/hr]]*(1+TblProd[[#This Row],[Bonus Gems/hr]]),0)</f>
        <v>0</v>
      </c>
      <c r="Y99" s="158">
        <f ca="1">OFFSET(TblConstr[[#This Row],[Tot Doc]],1,0)*dock_boats_hr * (1 + tech_4_1*TblTech[[#This Row],[4-1]])</f>
        <v>1.2000000000000002</v>
      </c>
      <c r="Z99" s="157"/>
      <c r="AA99" s="97">
        <f ca="1">TblPop[[#This Row],[Peasants]]*tax*TblPop[[#This Row],[Employment]] + (Construction!AZ100+Construction!BX100)*(alch_plat+(Magic!AM99&gt;0)*alchemist_flame_bonus)</f>
        <v>37406.9</v>
      </c>
      <c r="AB99" s="97">
        <f ca="1">TblConstr[[#This Row],[Tot Farm]]*farm_food + TblConstr[[#This Row],[Tot Doc]]*dock_food</f>
        <v>3280</v>
      </c>
      <c r="AC99" s="97">
        <f ca="1">TblConstr[[#This Row],[Tot Ly]]*ly_lumber + TblConstr[[#This Row],[Tot Hav]]*fh_lumber</f>
        <v>1250</v>
      </c>
      <c r="AD99" s="97">
        <f ca="1">OFFSET(TblConstr[[#This Row],[Tot Tow]],1,0)*(tower_mana + tech_4_5*TblTech[[#This Row],[4-5]]) + OFFSET(TblConstr[[#This Row],[Tot WG]],1,0)*wg_mana_prod</f>
        <v>725</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0.1</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99" s="159">
        <f ca="1">race_lumber_bonus+ IF(TblMagic[[#This Row],[Active Gaia''s Blessing]]&gt;0,gaias_blessing_lumber)+ tech_1_3*TblTech[[#This Row],[1-3]] + tech_1_6*TblTech[[#This Row],[1-6]] + tech_3_3*TblTech[[#This Row],[3-3]]</f>
        <v>-0.1</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0.15</v>
      </c>
      <c r="AN99" s="145"/>
      <c r="AO99" s="97">
        <f ca="1">TblProd[[#This Row],[Food]]*food_decay * (1 + tech_2_1*TblTech[[#This Row],[2-1]] + tech_2_8*TblTech[[#This Row],[2-8]])</f>
        <v>50.72</v>
      </c>
      <c r="AP99" s="97">
        <f ca="1">(1+race_food_consumption)*TblPop[[#This Row],[Total]]*food_per_person*(1+tech_1_10*TblTech[[#This Row],[1-10]]+tech_7_5*TblTech[[#This Row],[7-5]])</f>
        <v>3234.75</v>
      </c>
      <c r="AQ99" s="97">
        <f ca="1">TblProd[[#This Row],[Lumber]]*lumber_rot * (1 + tech_2_1*TblTech[[#This Row],[2-1]] + tech_2_8*TblTech[[#This Row],[2-8]] + tech_5_2*TblTech[[#This Row],[5-2]])</f>
        <v>343.64</v>
      </c>
      <c r="AR99" s="97">
        <f ca="1">TblProd[[#This Row],[Mana]]*mana_drain * (1 + tech_2_1*TblTech[[#This Row],[2-1]] + tech_2_8*TblTech[[#This Row],[2-8]])</f>
        <v>184.67000000000002</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45433.708333333103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983687</v>
      </c>
      <c r="BJ99" s="97">
        <f ca="1">TblProd[[#This Row],[Food]]</f>
        <v>5072</v>
      </c>
      <c r="BK99" s="97">
        <f ca="1">TblProd[[#This Row],[Lumber]]</f>
        <v>34364</v>
      </c>
      <c r="BL99" s="97">
        <f ca="1">TblProd[[#This Row],[Mana]]</f>
        <v>9233.5</v>
      </c>
      <c r="BM99" s="97">
        <f ca="1">TblProd[[#This Row],[Ore]]</f>
        <v>0</v>
      </c>
    </row>
    <row r="100" spans="1:65" x14ac:dyDescent="0.2">
      <c r="A100" s="140">
        <v>25</v>
      </c>
      <c r="B100" s="155">
        <f ca="1">TblImps[[#This Row],[Time]]</f>
        <v>45433.749999999767</v>
      </c>
      <c r="C100" s="156"/>
      <c r="D100" s="157"/>
      <c r="E100" s="97">
        <f ca="1">TblConstr[[#This Row],[Land]]</f>
        <v>700</v>
      </c>
      <c r="F100" s="97">
        <f ca="1">TblPop[[#This Row],[Peasants]]</f>
        <v>7868</v>
      </c>
      <c r="G100" s="97">
        <f ca="1">TblMili[[#This Row],[Networth (2)]]</f>
        <v>42359.8</v>
      </c>
      <c r="H100" s="97">
        <f ca="1">OFFSET(TblProd[[#This Row],[Platinum]],-1,0)+OFFSET(TblProd[[#This Row],[Plat/hr]],-1,0) - TblProd[[#This Row],[Expenses Platinum]] + IF(TblProd[[#This Row],[Plat Bonus]],TblPop[[#This Row],[Peasants]]*4) + SUM(TblConstr[[#This Row],[Dest Hom]:[Dest Doc]])*TblConstr[[#This Row],[CPA Platinum -DB]]*tech_3_3_2*TblTech[[#This Row],[3-3]]</f>
        <v>1024834</v>
      </c>
      <c r="I100" s="97">
        <f ca="1">OFFSET(TblProd[[#This Row],[Food]],-1,0)+OFFSET(TblProd[[#This Row],[Food/hr]],-1,0)+ROUNDUP((TblConstr[[#This Row],[Farms]]*80+TblConstr[[#This Row],[Docks]]*35)*(1+OFFSET(TblProd[[#This Row],[Bonus Food/hr]],-1,0)),0)</f>
        <v>5149</v>
      </c>
      <c r="J100" s="97">
        <f ca="1">OFFSET(TblProd[[#This Row],[Lumber]],-1,0)+OFFSET(TblProd[[#This Row],[Lumber/hr]],-1,0) - TblProd[[#This Row],[Expenses Lumber]] + SUM(TblConstr[[#This Row],[Dest Hom]:[Dest Doc]])*TblConstr[[#This Row],[CPA Lumber -DB]]*tech_3_3_2*TblTech[[#This Row],[3-3]]</f>
        <v>35145</v>
      </c>
      <c r="K100" s="97">
        <f ca="1">OFFSET(TblProd[[#This Row],[Mana]],-1,0)+OFFSET(TblProd[[#This Row],[Mana/hr]],-1,0)- TblProd[[#This Row],[Expenses Mana]]</f>
        <v>2773.5</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57.050000000000047</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0" s="97">
        <f ca="1">MAX(3750,_xlfn.CEILING.MATH(TblProd[[#This Row],[Land]]*2.5+OFFSET(TblTech[[#This Row],[Sum of tech]],-1,0)*150))</f>
        <v>3750</v>
      </c>
      <c r="R100" s="145"/>
      <c r="S100" s="97">
        <f ca="1">ROUNDDOWN(TblProd[[#This Row],[Raw Plat/hr]]*(1+TblProd[[#This Row],[Bonus Plat/hr]]),0)</f>
        <v>40912</v>
      </c>
      <c r="T100" s="97">
        <f ca="1">ROUND(TblProd[[#This Row],[Raw Food/hr]]*(1+TblProd[[#This Row],[Bonus Food/hr]])-TblProd[[#This Row],[Food decay]]-TblProd[[#This Row],[Food eaten]],0)</f>
        <v>76</v>
      </c>
      <c r="U100" s="97">
        <f ca="1">ROUND(TblProd[[#This Row],[Raw Lumber/hr]]*(1+TblProd[[#This Row],[Bonus Lumber/hr]])-TblProd[[#This Row],[Lumber rot]],0)</f>
        <v>774</v>
      </c>
      <c r="V100" s="97">
        <f ca="1">ROUND(TblProd[[#This Row],[Raw Mana/hr]]*(1+TblProd[[#This Row],[Bonus Mana/hr]])-TblProd[[#This Row],[Mana drain]],0)</f>
        <v>670</v>
      </c>
      <c r="W100" s="97">
        <f ca="1">ROUNDDOWN(TblProd[[#This Row],[Raw Ore/hr]]*(1+TblProd[[#This Row],[Bonux Ore/hr]]),0)</f>
        <v>0</v>
      </c>
      <c r="X100" s="97">
        <f ca="1">ROUNDDOWN(TblProd[[#This Row],[Raw Gems/hr]]*(1+TblProd[[#This Row],[Bonus Gems/hr]]),0)</f>
        <v>0</v>
      </c>
      <c r="Y100" s="158">
        <f ca="1">OFFSET(TblConstr[[#This Row],[Tot Doc]],1,0)*dock_boats_hr * (1 + tech_4_1*TblTech[[#This Row],[4-1]])</f>
        <v>1.2000000000000002</v>
      </c>
      <c r="Z100" s="157"/>
      <c r="AA100" s="97">
        <f ca="1">TblPop[[#This Row],[Peasants]]*tax*TblPop[[#This Row],[Employment]] + (Construction!AZ101+Construction!BX101)*(alch_plat+(Magic!AM100&gt;0)*alchemist_flame_bonus)</f>
        <v>37193.600000000006</v>
      </c>
      <c r="AB100" s="97">
        <f ca="1">TblConstr[[#This Row],[Tot Farm]]*farm_food + TblConstr[[#This Row],[Tot Doc]]*dock_food</f>
        <v>3280</v>
      </c>
      <c r="AC100" s="97">
        <f ca="1">TblConstr[[#This Row],[Tot Ly]]*ly_lumber + TblConstr[[#This Row],[Tot Hav]]*fh_lumber</f>
        <v>1250</v>
      </c>
      <c r="AD100" s="97">
        <f ca="1">OFFSET(TblConstr[[#This Row],[Tot Tow]],1,0)*(tower_mana + tech_4_5*TblTech[[#This Row],[4-5]]) + OFFSET(TblConstr[[#This Row],[Tot WG]],1,0)*wg_mana_prod</f>
        <v>725</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0.1</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0" s="159">
        <f ca="1">race_lumber_bonus+ IF(TblMagic[[#This Row],[Active Gaia''s Blessing]]&gt;0,gaias_blessing_lumber)+ tech_1_3*TblTech[[#This Row],[1-3]] + tech_1_6*TblTech[[#This Row],[1-6]] + tech_3_3*TblTech[[#This Row],[3-3]]</f>
        <v>-0.1</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0.15</v>
      </c>
      <c r="AN100" s="145"/>
      <c r="AO100" s="97">
        <f ca="1">TblProd[[#This Row],[Food]]*food_decay * (1 + tech_2_1*TblTech[[#This Row],[2-1]] + tech_2_8*TblTech[[#This Row],[2-8]])</f>
        <v>51.49</v>
      </c>
      <c r="AP100" s="97">
        <f ca="1">(1+race_food_consumption)*TblPop[[#This Row],[Total]]*food_per_person*(1+tech_1_10*TblTech[[#This Row],[1-10]]+tech_7_5*TblTech[[#This Row],[7-5]])</f>
        <v>3234.75</v>
      </c>
      <c r="AQ100" s="97">
        <f ca="1">TblProd[[#This Row],[Lumber]]*lumber_rot * (1 + tech_2_1*TblTech[[#This Row],[2-1]] + tech_2_8*TblTech[[#This Row],[2-8]] + tech_5_2*TblTech[[#This Row],[5-2]])</f>
        <v>351.45</v>
      </c>
      <c r="AR100" s="97">
        <f ca="1">TblProd[[#This Row],[Mana]]*mana_drain * (1 + tech_2_1*TblTech[[#This Row],[2-1]] + tech_2_8*TblTech[[#This Row],[2-8]])</f>
        <v>55.47</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7000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45433.749999999767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1024834</v>
      </c>
      <c r="BJ100" s="97">
        <f ca="1">TblProd[[#This Row],[Food]]</f>
        <v>5149</v>
      </c>
      <c r="BK100" s="97">
        <f ca="1">TblProd[[#This Row],[Lumber]]</f>
        <v>35145</v>
      </c>
      <c r="BL100" s="97">
        <f ca="1">TblProd[[#This Row],[Mana]]</f>
        <v>2773.5</v>
      </c>
      <c r="BM100" s="97">
        <f ca="1">TblProd[[#This Row],[Ore]]</f>
        <v>0</v>
      </c>
    </row>
    <row r="101" spans="1:65" x14ac:dyDescent="0.2">
      <c r="A101" s="140">
        <v>26</v>
      </c>
      <c r="B101" s="155">
        <f ca="1">TblImps[[#This Row],[Time]]</f>
        <v>45433.791666666431</v>
      </c>
      <c r="C101" s="156"/>
      <c r="D101" s="157"/>
      <c r="E101" s="97">
        <f ca="1">TblConstr[[#This Row],[Land]]</f>
        <v>700</v>
      </c>
      <c r="F101" s="97">
        <f ca="1">TblPop[[#This Row],[Peasants]]</f>
        <v>7789</v>
      </c>
      <c r="G101" s="97">
        <f ca="1">TblMili[[#This Row],[Networth (2)]]</f>
        <v>42359.8</v>
      </c>
      <c r="H101" s="97">
        <f ca="1">OFFSET(TblProd[[#This Row],[Platinum]],-1,0)+OFFSET(TblProd[[#This Row],[Plat/hr]],-1,0) - TblProd[[#This Row],[Expenses Platinum]] + IF(TblProd[[#This Row],[Plat Bonus]],TblPop[[#This Row],[Peasants]]*4) + SUM(TblConstr[[#This Row],[Dest Hom]:[Dest Doc]])*TblConstr[[#This Row],[CPA Platinum -DB]]*tech_3_3_2*TblTech[[#This Row],[3-3]]</f>
        <v>1065746</v>
      </c>
      <c r="I101" s="97">
        <f ca="1">OFFSET(TblProd[[#This Row],[Food]],-1,0)+OFFSET(TblProd[[#This Row],[Food/hr]],-1,0)+ROUNDUP((TblConstr[[#This Row],[Farms]]*80+TblConstr[[#This Row],[Docks]]*35)*(1+OFFSET(TblProd[[#This Row],[Bonus Food/hr]],-1,0)),0)</f>
        <v>5225</v>
      </c>
      <c r="J101" s="97">
        <f ca="1">OFFSET(TblProd[[#This Row],[Lumber]],-1,0)+OFFSET(TblProd[[#This Row],[Lumber/hr]],-1,0) - TblProd[[#This Row],[Expenses Lumber]] + SUM(TblConstr[[#This Row],[Dest Hom]:[Dest Doc]])*TblConstr[[#This Row],[CPA Lumber -DB]]*tech_3_3_2*TblTech[[#This Row],[3-3]]</f>
        <v>35919</v>
      </c>
      <c r="K101" s="97">
        <f ca="1">OFFSET(TblProd[[#This Row],[Mana]],-1,0)+OFFSET(TblProd[[#This Row],[Mana/hr]],-1,0)- TblProd[[#This Row],[Expenses Mana]]</f>
        <v>3443.5</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58.25000000000005</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1" s="97">
        <f ca="1">MAX(3750,_xlfn.CEILING.MATH(TblProd[[#This Row],[Land]]*2.5+OFFSET(TblTech[[#This Row],[Sum of tech]],-1,0)*150))</f>
        <v>3750</v>
      </c>
      <c r="R101" s="145"/>
      <c r="S101" s="97">
        <f ca="1">ROUNDDOWN(TblProd[[#This Row],[Raw Plat/hr]]*(1+TblProd[[#This Row],[Bonus Plat/hr]]),0)</f>
        <v>40678</v>
      </c>
      <c r="T101" s="97">
        <f ca="1">ROUND(TblProd[[#This Row],[Raw Food/hr]]*(1+TblProd[[#This Row],[Bonus Food/hr]])-TblProd[[#This Row],[Food decay]]-TblProd[[#This Row],[Food eaten]],0)</f>
        <v>75</v>
      </c>
      <c r="U101" s="97">
        <f ca="1">ROUND(TblProd[[#This Row],[Raw Lumber/hr]]*(1+TblProd[[#This Row],[Bonus Lumber/hr]])-TblProd[[#This Row],[Lumber rot]],0)</f>
        <v>766</v>
      </c>
      <c r="V101" s="97">
        <f ca="1">ROUND(TblProd[[#This Row],[Raw Mana/hr]]*(1+TblProd[[#This Row],[Bonus Mana/hr]])-TblProd[[#This Row],[Mana drain]],0)</f>
        <v>656</v>
      </c>
      <c r="W101" s="97">
        <f ca="1">ROUNDDOWN(TblProd[[#This Row],[Raw Ore/hr]]*(1+TblProd[[#This Row],[Bonux Ore/hr]]),0)</f>
        <v>0</v>
      </c>
      <c r="X101" s="97">
        <f ca="1">ROUNDDOWN(TblProd[[#This Row],[Raw Gems/hr]]*(1+TblProd[[#This Row],[Bonus Gems/hr]]),0)</f>
        <v>0</v>
      </c>
      <c r="Y101" s="158">
        <f ca="1">OFFSET(TblConstr[[#This Row],[Tot Doc]],1,0)*dock_boats_hr * (1 + tech_4_1*TblTech[[#This Row],[4-1]])</f>
        <v>1.2000000000000002</v>
      </c>
      <c r="Z101" s="157"/>
      <c r="AA101" s="97">
        <f ca="1">TblPop[[#This Row],[Peasants]]*tax*TblPop[[#This Row],[Employment]] + (Construction!AZ102+Construction!BX102)*(alch_plat+(Magic!AM101&gt;0)*alchemist_flame_bonus)</f>
        <v>36980.300000000003</v>
      </c>
      <c r="AB101" s="97">
        <f ca="1">TblConstr[[#This Row],[Tot Farm]]*farm_food + TblConstr[[#This Row],[Tot Doc]]*dock_food</f>
        <v>3280</v>
      </c>
      <c r="AC101" s="97">
        <f ca="1">TblConstr[[#This Row],[Tot Ly]]*ly_lumber + TblConstr[[#This Row],[Tot Hav]]*fh_lumber</f>
        <v>1250</v>
      </c>
      <c r="AD101" s="97">
        <f ca="1">OFFSET(TblConstr[[#This Row],[Tot Tow]],1,0)*(tower_mana + tech_4_5*TblTech[[#This Row],[4-5]]) + OFFSET(TblConstr[[#This Row],[Tot WG]],1,0)*wg_mana_prod</f>
        <v>725</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0.1</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1" s="159">
        <f ca="1">race_lumber_bonus+ IF(TblMagic[[#This Row],[Active Gaia''s Blessing]]&gt;0,gaias_blessing_lumber)+ tech_1_3*TblTech[[#This Row],[1-3]] + tech_1_6*TblTech[[#This Row],[1-6]] + tech_3_3*TblTech[[#This Row],[3-3]]</f>
        <v>-0.1</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0.15</v>
      </c>
      <c r="AN101" s="145"/>
      <c r="AO101" s="97">
        <f ca="1">TblProd[[#This Row],[Food]]*food_decay * (1 + tech_2_1*TblTech[[#This Row],[2-1]] + tech_2_8*TblTech[[#This Row],[2-8]])</f>
        <v>52.25</v>
      </c>
      <c r="AP101" s="97">
        <f ca="1">(1+race_food_consumption)*TblPop[[#This Row],[Total]]*food_per_person*(1+tech_1_10*TblTech[[#This Row],[1-10]]+tech_7_5*TblTech[[#This Row],[7-5]])</f>
        <v>3234.75</v>
      </c>
      <c r="AQ101" s="97">
        <f ca="1">TblProd[[#This Row],[Lumber]]*lumber_rot * (1 + tech_2_1*TblTech[[#This Row],[2-1]] + tech_2_8*TblTech[[#This Row],[2-8]] + tech_5_2*TblTech[[#This Row],[5-2]])</f>
        <v>359.19</v>
      </c>
      <c r="AR101" s="97">
        <f ca="1">TblProd[[#This Row],[Mana]]*mana_drain * (1 + tech_2_1*TblTech[[#This Row],[2-1]] + tech_2_8*TblTech[[#This Row],[2-8]])</f>
        <v>68.87</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45433.791666666431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1065746</v>
      </c>
      <c r="BJ101" s="97">
        <f ca="1">TblProd[[#This Row],[Food]]</f>
        <v>5225</v>
      </c>
      <c r="BK101" s="97">
        <f ca="1">TblProd[[#This Row],[Lumber]]</f>
        <v>35919</v>
      </c>
      <c r="BL101" s="97">
        <f ca="1">TblProd[[#This Row],[Mana]]</f>
        <v>3443.5</v>
      </c>
      <c r="BM101" s="97">
        <f ca="1">TblProd[[#This Row],[Ore]]</f>
        <v>0</v>
      </c>
    </row>
    <row r="102" spans="1:65" x14ac:dyDescent="0.2">
      <c r="A102" s="140">
        <v>27</v>
      </c>
      <c r="B102" s="155">
        <f ca="1">TblImps[[#This Row],[Time]]</f>
        <v>45433.833333333096</v>
      </c>
      <c r="C102" s="156"/>
      <c r="D102" s="157"/>
      <c r="E102" s="97">
        <f ca="1">TblConstr[[#This Row],[Land]]</f>
        <v>700</v>
      </c>
      <c r="F102" s="97">
        <f ca="1">TblPop[[#This Row],[Peasants]]</f>
        <v>7711</v>
      </c>
      <c r="G102" s="97">
        <f ca="1">TblMili[[#This Row],[Networth (2)]]</f>
        <v>42359.8</v>
      </c>
      <c r="H102" s="97">
        <f ca="1">OFFSET(TblProd[[#This Row],[Platinum]],-1,0)+OFFSET(TblProd[[#This Row],[Plat/hr]],-1,0) - TblProd[[#This Row],[Expenses Platinum]] + IF(TblProd[[#This Row],[Plat Bonus]],TblPop[[#This Row],[Peasants]]*4) + SUM(TblConstr[[#This Row],[Dest Hom]:[Dest Doc]])*TblConstr[[#This Row],[CPA Platinum -DB]]*tech_3_3_2*TblTech[[#This Row],[3-3]]</f>
        <v>1106424</v>
      </c>
      <c r="I102" s="97">
        <f ca="1">OFFSET(TblProd[[#This Row],[Food]],-1,0)+OFFSET(TblProd[[#This Row],[Food/hr]],-1,0)+ROUNDUP((TblConstr[[#This Row],[Farms]]*80+TblConstr[[#This Row],[Docks]]*35)*(1+OFFSET(TblProd[[#This Row],[Bonus Food/hr]],-1,0)),0)</f>
        <v>5300</v>
      </c>
      <c r="J102" s="97">
        <f ca="1">OFFSET(TblProd[[#This Row],[Lumber]],-1,0)+OFFSET(TblProd[[#This Row],[Lumber/hr]],-1,0) - TblProd[[#This Row],[Expenses Lumber]] + SUM(TblConstr[[#This Row],[Dest Hom]:[Dest Doc]])*TblConstr[[#This Row],[CPA Lumber -DB]]*tech_3_3_2*TblTech[[#This Row],[3-3]]</f>
        <v>36685</v>
      </c>
      <c r="K102" s="97">
        <f ca="1">OFFSET(TblProd[[#This Row],[Mana]],-1,0)+OFFSET(TblProd[[#This Row],[Mana/hr]],-1,0)- TblProd[[#This Row],[Expenses Mana]]</f>
        <v>4099.5</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59.450000000000053</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2" s="97">
        <f ca="1">MAX(3750,_xlfn.CEILING.MATH(TblProd[[#This Row],[Land]]*2.5+OFFSET(TblTech[[#This Row],[Sum of tech]],-1,0)*150))</f>
        <v>3750</v>
      </c>
      <c r="R102" s="145"/>
      <c r="S102" s="97">
        <f ca="1">ROUNDDOWN(TblProd[[#This Row],[Raw Plat/hr]]*(1+TblProd[[#This Row],[Bonus Plat/hr]]),0)</f>
        <v>40446</v>
      </c>
      <c r="T102" s="97">
        <f ca="1">ROUND(TblProd[[#This Row],[Raw Food/hr]]*(1+TblProd[[#This Row],[Bonus Food/hr]])-TblProd[[#This Row],[Food decay]]-TblProd[[#This Row],[Food eaten]],0)</f>
        <v>74</v>
      </c>
      <c r="U102" s="97">
        <f ca="1">ROUND(TblProd[[#This Row],[Raw Lumber/hr]]*(1+TblProd[[#This Row],[Bonus Lumber/hr]])-TblProd[[#This Row],[Lumber rot]],0)</f>
        <v>758</v>
      </c>
      <c r="V102" s="97">
        <f ca="1">ROUND(TblProd[[#This Row],[Raw Mana/hr]]*(1+TblProd[[#This Row],[Bonus Mana/hr]])-TblProd[[#This Row],[Mana drain]],0)</f>
        <v>643</v>
      </c>
      <c r="W102" s="97">
        <f ca="1">ROUNDDOWN(TblProd[[#This Row],[Raw Ore/hr]]*(1+TblProd[[#This Row],[Bonux Ore/hr]]),0)</f>
        <v>0</v>
      </c>
      <c r="X102" s="97">
        <f ca="1">ROUNDDOWN(TblProd[[#This Row],[Raw Gems/hr]]*(1+TblProd[[#This Row],[Bonus Gems/hr]]),0)</f>
        <v>0</v>
      </c>
      <c r="Y102" s="158">
        <f ca="1">OFFSET(TblConstr[[#This Row],[Tot Doc]],1,0)*dock_boats_hr * (1 + tech_4_1*TblTech[[#This Row],[4-1]])</f>
        <v>1.2000000000000002</v>
      </c>
      <c r="Z102" s="157"/>
      <c r="AA102" s="97">
        <f ca="1">TblPop[[#This Row],[Peasants]]*tax*TblPop[[#This Row],[Employment]] + (Construction!AZ103+Construction!BX103)*(alch_plat+(Magic!AM102&gt;0)*alchemist_flame_bonus)</f>
        <v>36769.699999999997</v>
      </c>
      <c r="AB102" s="97">
        <f ca="1">TblConstr[[#This Row],[Tot Farm]]*farm_food + TblConstr[[#This Row],[Tot Doc]]*dock_food</f>
        <v>3280</v>
      </c>
      <c r="AC102" s="97">
        <f ca="1">TblConstr[[#This Row],[Tot Ly]]*ly_lumber + TblConstr[[#This Row],[Tot Hav]]*fh_lumber</f>
        <v>1250</v>
      </c>
      <c r="AD102" s="97">
        <f ca="1">OFFSET(TblConstr[[#This Row],[Tot Tow]],1,0)*(tower_mana + tech_4_5*TblTech[[#This Row],[4-5]]) + OFFSET(TblConstr[[#This Row],[Tot WG]],1,0)*wg_mana_prod</f>
        <v>725</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0.1</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2" s="159">
        <f ca="1">race_lumber_bonus+ IF(TblMagic[[#This Row],[Active Gaia''s Blessing]]&gt;0,gaias_blessing_lumber)+ tech_1_3*TblTech[[#This Row],[1-3]] + tech_1_6*TblTech[[#This Row],[1-6]] + tech_3_3*TblTech[[#This Row],[3-3]]</f>
        <v>-0.1</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0.15</v>
      </c>
      <c r="AN102" s="145"/>
      <c r="AO102" s="97">
        <f ca="1">TblProd[[#This Row],[Food]]*food_decay * (1 + tech_2_1*TblTech[[#This Row],[2-1]] + tech_2_8*TblTech[[#This Row],[2-8]])</f>
        <v>53</v>
      </c>
      <c r="AP102" s="97">
        <f ca="1">(1+race_food_consumption)*TblPop[[#This Row],[Total]]*food_per_person*(1+tech_1_10*TblTech[[#This Row],[1-10]]+tech_7_5*TblTech[[#This Row],[7-5]])</f>
        <v>3234.75</v>
      </c>
      <c r="AQ102" s="97">
        <f ca="1">TblProd[[#This Row],[Lumber]]*lumber_rot * (1 + tech_2_1*TblTech[[#This Row],[2-1]] + tech_2_8*TblTech[[#This Row],[2-8]] + tech_5_2*TblTech[[#This Row],[5-2]])</f>
        <v>366.85</v>
      </c>
      <c r="AR102" s="97">
        <f ca="1">TblProd[[#This Row],[Mana]]*mana_drain * (1 + tech_2_1*TblTech[[#This Row],[2-1]] + tech_2_8*TblTech[[#This Row],[2-8]])</f>
        <v>81.99</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45433.833333333096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1106424</v>
      </c>
      <c r="BJ102" s="97">
        <f ca="1">TblProd[[#This Row],[Food]]</f>
        <v>5300</v>
      </c>
      <c r="BK102" s="97">
        <f ca="1">TblProd[[#This Row],[Lumber]]</f>
        <v>36685</v>
      </c>
      <c r="BL102" s="97">
        <f ca="1">TblProd[[#This Row],[Mana]]</f>
        <v>4099.5</v>
      </c>
      <c r="BM102" s="97">
        <f ca="1">TblProd[[#This Row],[Ore]]</f>
        <v>0</v>
      </c>
    </row>
    <row r="103" spans="1:65" x14ac:dyDescent="0.2">
      <c r="A103" s="140">
        <v>28</v>
      </c>
      <c r="B103" s="155">
        <f ca="1">TblImps[[#This Row],[Time]]</f>
        <v>45433.87499999976</v>
      </c>
      <c r="C103" s="156"/>
      <c r="D103" s="157"/>
      <c r="E103" s="97">
        <f ca="1">TblConstr[[#This Row],[Land]]</f>
        <v>700</v>
      </c>
      <c r="F103" s="97">
        <f ca="1">TblPop[[#This Row],[Peasants]]</f>
        <v>7634</v>
      </c>
      <c r="G103" s="97">
        <f ca="1">TblMili[[#This Row],[Networth (2)]]</f>
        <v>42359.8</v>
      </c>
      <c r="H103" s="97">
        <f ca="1">OFFSET(TblProd[[#This Row],[Platinum]],-1,0)+OFFSET(TblProd[[#This Row],[Plat/hr]],-1,0) - TblProd[[#This Row],[Expenses Platinum]] + IF(TblProd[[#This Row],[Plat Bonus]],TblPop[[#This Row],[Peasants]]*4) + SUM(TblConstr[[#This Row],[Dest Hom]:[Dest Doc]])*TblConstr[[#This Row],[CPA Platinum -DB]]*tech_3_3_2*TblTech[[#This Row],[3-3]]</f>
        <v>1146870</v>
      </c>
      <c r="I103" s="97">
        <f ca="1">OFFSET(TblProd[[#This Row],[Food]],-1,0)+OFFSET(TblProd[[#This Row],[Food/hr]],-1,0)+ROUNDUP((TblConstr[[#This Row],[Farms]]*80+TblConstr[[#This Row],[Docks]]*35)*(1+OFFSET(TblProd[[#This Row],[Bonus Food/hr]],-1,0)),0)</f>
        <v>5374</v>
      </c>
      <c r="J103" s="97">
        <f ca="1">OFFSET(TblProd[[#This Row],[Lumber]],-1,0)+OFFSET(TblProd[[#This Row],[Lumber/hr]],-1,0) - TblProd[[#This Row],[Expenses Lumber]] + SUM(TblConstr[[#This Row],[Dest Hom]:[Dest Doc]])*TblConstr[[#This Row],[CPA Lumber -DB]]*tech_3_3_2*TblTech[[#This Row],[3-3]]</f>
        <v>37443</v>
      </c>
      <c r="K103" s="97">
        <f ca="1">OFFSET(TblProd[[#This Row],[Mana]],-1,0)+OFFSET(TblProd[[#This Row],[Mana/hr]],-1,0)- TblProd[[#This Row],[Expenses Mana]]</f>
        <v>4742.5</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60.650000000000055</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3" s="97">
        <f ca="1">MAX(3750,_xlfn.CEILING.MATH(TblProd[[#This Row],[Land]]*2.5+OFFSET(TblTech[[#This Row],[Sum of tech]],-1,0)*150))</f>
        <v>3750</v>
      </c>
      <c r="R103" s="145"/>
      <c r="S103" s="97">
        <f ca="1">ROUNDDOWN(TblProd[[#This Row],[Raw Plat/hr]]*(1+TblProd[[#This Row],[Bonus Plat/hr]]),0)</f>
        <v>40217</v>
      </c>
      <c r="T103" s="97">
        <f ca="1">ROUND(TblProd[[#This Row],[Raw Food/hr]]*(1+TblProd[[#This Row],[Bonus Food/hr]])-TblProd[[#This Row],[Food decay]]-TblProd[[#This Row],[Food eaten]],0)</f>
        <v>74</v>
      </c>
      <c r="U103" s="97">
        <f ca="1">ROUND(TblProd[[#This Row],[Raw Lumber/hr]]*(1+TblProd[[#This Row],[Bonus Lumber/hr]])-TblProd[[#This Row],[Lumber rot]],0)</f>
        <v>751</v>
      </c>
      <c r="V103" s="97">
        <f ca="1">ROUND(TblProd[[#This Row],[Raw Mana/hr]]*(1+TblProd[[#This Row],[Bonus Mana/hr]])-TblProd[[#This Row],[Mana drain]],0)</f>
        <v>630</v>
      </c>
      <c r="W103" s="97">
        <f ca="1">ROUNDDOWN(TblProd[[#This Row],[Raw Ore/hr]]*(1+TblProd[[#This Row],[Bonux Ore/hr]]),0)</f>
        <v>0</v>
      </c>
      <c r="X103" s="97">
        <f ca="1">ROUNDDOWN(TblProd[[#This Row],[Raw Gems/hr]]*(1+TblProd[[#This Row],[Bonus Gems/hr]]),0)</f>
        <v>0</v>
      </c>
      <c r="Y103" s="158">
        <f ca="1">OFFSET(TblConstr[[#This Row],[Tot Doc]],1,0)*dock_boats_hr * (1 + tech_4_1*TblTech[[#This Row],[4-1]])</f>
        <v>1.2000000000000002</v>
      </c>
      <c r="Z103" s="157"/>
      <c r="AA103" s="97">
        <f ca="1">TblPop[[#This Row],[Peasants]]*tax*TblPop[[#This Row],[Employment]] + (Construction!AZ104+Construction!BX104)*(alch_plat+(Magic!AM103&gt;0)*alchemist_flame_bonus)</f>
        <v>36561.800000000003</v>
      </c>
      <c r="AB103" s="97">
        <f ca="1">TblConstr[[#This Row],[Tot Farm]]*farm_food + TblConstr[[#This Row],[Tot Doc]]*dock_food</f>
        <v>3280</v>
      </c>
      <c r="AC103" s="97">
        <f ca="1">TblConstr[[#This Row],[Tot Ly]]*ly_lumber + TblConstr[[#This Row],[Tot Hav]]*fh_lumber</f>
        <v>1250</v>
      </c>
      <c r="AD103" s="97">
        <f ca="1">OFFSET(TblConstr[[#This Row],[Tot Tow]],1,0)*(tower_mana + tech_4_5*TblTech[[#This Row],[4-5]]) + OFFSET(TblConstr[[#This Row],[Tot WG]],1,0)*wg_mana_prod</f>
        <v>725</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0.1</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3" s="159">
        <f ca="1">race_lumber_bonus+ IF(TblMagic[[#This Row],[Active Gaia''s Blessing]]&gt;0,gaias_blessing_lumber)+ tech_1_3*TblTech[[#This Row],[1-3]] + tech_1_6*TblTech[[#This Row],[1-6]] + tech_3_3*TblTech[[#This Row],[3-3]]</f>
        <v>-0.1</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0.15</v>
      </c>
      <c r="AN103" s="145"/>
      <c r="AO103" s="97">
        <f ca="1">TblProd[[#This Row],[Food]]*food_decay * (1 + tech_2_1*TblTech[[#This Row],[2-1]] + tech_2_8*TblTech[[#This Row],[2-8]])</f>
        <v>53.74</v>
      </c>
      <c r="AP103" s="97">
        <f ca="1">(1+race_food_consumption)*TblPop[[#This Row],[Total]]*food_per_person*(1+tech_1_10*TblTech[[#This Row],[1-10]]+tech_7_5*TblTech[[#This Row],[7-5]])</f>
        <v>3234.75</v>
      </c>
      <c r="AQ103" s="97">
        <f ca="1">TblProd[[#This Row],[Lumber]]*lumber_rot * (1 + tech_2_1*TblTech[[#This Row],[2-1]] + tech_2_8*TblTech[[#This Row],[2-8]] + tech_5_2*TblTech[[#This Row],[5-2]])</f>
        <v>374.43</v>
      </c>
      <c r="AR103" s="97">
        <f ca="1">TblProd[[#This Row],[Mana]]*mana_drain * (1 + tech_2_1*TblTech[[#This Row],[2-1]] + tech_2_8*TblTech[[#This Row],[2-8]])</f>
        <v>94.850000000000009</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45433.87499999976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1146870</v>
      </c>
      <c r="BJ103" s="97">
        <f ca="1">TblProd[[#This Row],[Food]]</f>
        <v>5374</v>
      </c>
      <c r="BK103" s="97">
        <f ca="1">TblProd[[#This Row],[Lumber]]</f>
        <v>37443</v>
      </c>
      <c r="BL103" s="97">
        <f ca="1">TblProd[[#This Row],[Mana]]</f>
        <v>4742.5</v>
      </c>
      <c r="BM103" s="97">
        <f ca="1">TblProd[[#This Row],[Ore]]</f>
        <v>0</v>
      </c>
    </row>
    <row r="104" spans="1:65" x14ac:dyDescent="0.2">
      <c r="A104" s="140">
        <v>29</v>
      </c>
      <c r="B104" s="155">
        <f ca="1">TblImps[[#This Row],[Time]]</f>
        <v>45433.916666666424</v>
      </c>
      <c r="C104" s="156"/>
      <c r="D104" s="157"/>
      <c r="E104" s="97">
        <f ca="1">TblConstr[[#This Row],[Land]]</f>
        <v>700</v>
      </c>
      <c r="F104" s="97">
        <f ca="1">TblPop[[#This Row],[Peasants]]</f>
        <v>7558</v>
      </c>
      <c r="G104" s="97">
        <f ca="1">TblMili[[#This Row],[Networth (2)]]</f>
        <v>42359.8</v>
      </c>
      <c r="H104" s="97">
        <f ca="1">OFFSET(TblProd[[#This Row],[Platinum]],-1,0)+OFFSET(TblProd[[#This Row],[Plat/hr]],-1,0) - TblProd[[#This Row],[Expenses Platinum]] + IF(TblProd[[#This Row],[Plat Bonus]],TblPop[[#This Row],[Peasants]]*4) + SUM(TblConstr[[#This Row],[Dest Hom]:[Dest Doc]])*TblConstr[[#This Row],[CPA Platinum -DB]]*tech_3_3_2*TblTech[[#This Row],[3-3]]</f>
        <v>1187087</v>
      </c>
      <c r="I104" s="97">
        <f ca="1">OFFSET(TblProd[[#This Row],[Food]],-1,0)+OFFSET(TblProd[[#This Row],[Food/hr]],-1,0)+ROUNDUP((TblConstr[[#This Row],[Farms]]*80+TblConstr[[#This Row],[Docks]]*35)*(1+OFFSET(TblProd[[#This Row],[Bonus Food/hr]],-1,0)),0)</f>
        <v>5448</v>
      </c>
      <c r="J104" s="97">
        <f ca="1">OFFSET(TblProd[[#This Row],[Lumber]],-1,0)+OFFSET(TblProd[[#This Row],[Lumber/hr]],-1,0) - TblProd[[#This Row],[Expenses Lumber]] + SUM(TblConstr[[#This Row],[Dest Hom]:[Dest Doc]])*TblConstr[[#This Row],[CPA Lumber -DB]]*tech_3_3_2*TblTech[[#This Row],[3-3]]</f>
        <v>38194</v>
      </c>
      <c r="K104" s="97">
        <f ca="1">OFFSET(TblProd[[#This Row],[Mana]],-1,0)+OFFSET(TblProd[[#This Row],[Mana/hr]],-1,0)- TblProd[[#This Row],[Expenses Mana]]</f>
        <v>5372.5</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61.850000000000058</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4" s="97">
        <f ca="1">MAX(3750,_xlfn.CEILING.MATH(TblProd[[#This Row],[Land]]*2.5+OFFSET(TblTech[[#This Row],[Sum of tech]],-1,0)*150))</f>
        <v>3750</v>
      </c>
      <c r="R104" s="145"/>
      <c r="S104" s="97">
        <f ca="1">ROUNDDOWN(TblProd[[#This Row],[Raw Plat/hr]]*(1+TblProd[[#This Row],[Bonus Plat/hr]]),0)</f>
        <v>39992</v>
      </c>
      <c r="T104" s="97">
        <f ca="1">ROUND(TblProd[[#This Row],[Raw Food/hr]]*(1+TblProd[[#This Row],[Bonus Food/hr]])-TblProd[[#This Row],[Food decay]]-TblProd[[#This Row],[Food eaten]],0)</f>
        <v>73</v>
      </c>
      <c r="U104" s="97">
        <f ca="1">ROUND(TblProd[[#This Row],[Raw Lumber/hr]]*(1+TblProd[[#This Row],[Bonus Lumber/hr]])-TblProd[[#This Row],[Lumber rot]],0)</f>
        <v>743</v>
      </c>
      <c r="V104" s="97">
        <f ca="1">ROUND(TblProd[[#This Row],[Raw Mana/hr]]*(1+TblProd[[#This Row],[Bonus Mana/hr]])-TblProd[[#This Row],[Mana drain]],0)</f>
        <v>618</v>
      </c>
      <c r="W104" s="97">
        <f ca="1">ROUNDDOWN(TblProd[[#This Row],[Raw Ore/hr]]*(1+TblProd[[#This Row],[Bonux Ore/hr]]),0)</f>
        <v>0</v>
      </c>
      <c r="X104" s="97">
        <f ca="1">ROUNDDOWN(TblProd[[#This Row],[Raw Gems/hr]]*(1+TblProd[[#This Row],[Bonus Gems/hr]]),0)</f>
        <v>0</v>
      </c>
      <c r="Y104" s="158">
        <f ca="1">OFFSET(TblConstr[[#This Row],[Tot Doc]],1,0)*dock_boats_hr * (1 + tech_4_1*TblTech[[#This Row],[4-1]])</f>
        <v>1.2000000000000002</v>
      </c>
      <c r="Z104" s="157"/>
      <c r="AA104" s="97">
        <f ca="1">TblPop[[#This Row],[Peasants]]*tax*TblPop[[#This Row],[Employment]] + (Construction!AZ105+Construction!BX105)*(alch_plat+(Magic!AM104&gt;0)*alchemist_flame_bonus)</f>
        <v>36356.600000000006</v>
      </c>
      <c r="AB104" s="97">
        <f ca="1">TblConstr[[#This Row],[Tot Farm]]*farm_food + TblConstr[[#This Row],[Tot Doc]]*dock_food</f>
        <v>3280</v>
      </c>
      <c r="AC104" s="97">
        <f ca="1">TblConstr[[#This Row],[Tot Ly]]*ly_lumber + TblConstr[[#This Row],[Tot Hav]]*fh_lumber</f>
        <v>1250</v>
      </c>
      <c r="AD104" s="97">
        <f ca="1">OFFSET(TblConstr[[#This Row],[Tot Tow]],1,0)*(tower_mana + tech_4_5*TblTech[[#This Row],[4-5]]) + OFFSET(TblConstr[[#This Row],[Tot WG]],1,0)*wg_mana_prod</f>
        <v>725</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0.1</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4" s="159">
        <f ca="1">race_lumber_bonus+ IF(TblMagic[[#This Row],[Active Gaia''s Blessing]]&gt;0,gaias_blessing_lumber)+ tech_1_3*TblTech[[#This Row],[1-3]] + tech_1_6*TblTech[[#This Row],[1-6]] + tech_3_3*TblTech[[#This Row],[3-3]]</f>
        <v>-0.1</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0.15</v>
      </c>
      <c r="AN104" s="145"/>
      <c r="AO104" s="97">
        <f ca="1">TblProd[[#This Row],[Food]]*food_decay * (1 + tech_2_1*TblTech[[#This Row],[2-1]] + tech_2_8*TblTech[[#This Row],[2-8]])</f>
        <v>54.480000000000004</v>
      </c>
      <c r="AP104" s="97">
        <f ca="1">(1+race_food_consumption)*TblPop[[#This Row],[Total]]*food_per_person*(1+tech_1_10*TblTech[[#This Row],[1-10]]+tech_7_5*TblTech[[#This Row],[7-5]])</f>
        <v>3234.75</v>
      </c>
      <c r="AQ104" s="97">
        <f ca="1">TblProd[[#This Row],[Lumber]]*lumber_rot * (1 + tech_2_1*TblTech[[#This Row],[2-1]] + tech_2_8*TblTech[[#This Row],[2-8]] + tech_5_2*TblTech[[#This Row],[5-2]])</f>
        <v>381.94</v>
      </c>
      <c r="AR104" s="97">
        <f ca="1">TblProd[[#This Row],[Mana]]*mana_drain * (1 + tech_2_1*TblTech[[#This Row],[2-1]] + tech_2_8*TblTech[[#This Row],[2-8]])</f>
        <v>107.45</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45433.916666666424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1187087</v>
      </c>
      <c r="BJ104" s="97">
        <f ca="1">TblProd[[#This Row],[Food]]</f>
        <v>5448</v>
      </c>
      <c r="BK104" s="97">
        <f ca="1">TblProd[[#This Row],[Lumber]]</f>
        <v>38194</v>
      </c>
      <c r="BL104" s="97">
        <f ca="1">TblProd[[#This Row],[Mana]]</f>
        <v>5372.5</v>
      </c>
      <c r="BM104" s="97">
        <f ca="1">TblProd[[#This Row],[Ore]]</f>
        <v>0</v>
      </c>
    </row>
    <row r="105" spans="1:65" x14ac:dyDescent="0.2">
      <c r="A105" s="140">
        <v>30</v>
      </c>
      <c r="B105" s="155">
        <f ca="1">TblImps[[#This Row],[Time]]</f>
        <v>45433.958333333088</v>
      </c>
      <c r="C105" s="156"/>
      <c r="D105" s="157"/>
      <c r="E105" s="97">
        <f ca="1">TblConstr[[#This Row],[Land]]</f>
        <v>700</v>
      </c>
      <c r="F105" s="97">
        <f ca="1">TblPop[[#This Row],[Peasants]]</f>
        <v>7482</v>
      </c>
      <c r="G105" s="97">
        <f ca="1">TblMili[[#This Row],[Networth (2)]]</f>
        <v>42359.8</v>
      </c>
      <c r="H105" s="97">
        <f ca="1">OFFSET(TblProd[[#This Row],[Platinum]],-1,0)+OFFSET(TblProd[[#This Row],[Plat/hr]],-1,0) - TblProd[[#This Row],[Expenses Platinum]] + IF(TblProd[[#This Row],[Plat Bonus]],TblPop[[#This Row],[Peasants]]*4) + SUM(TblConstr[[#This Row],[Dest Hom]:[Dest Doc]])*TblConstr[[#This Row],[CPA Platinum -DB]]*tech_3_3_2*TblTech[[#This Row],[3-3]]</f>
        <v>1227079</v>
      </c>
      <c r="I105" s="97">
        <f ca="1">OFFSET(TblProd[[#This Row],[Food]],-1,0)+OFFSET(TblProd[[#This Row],[Food/hr]],-1,0)+ROUNDUP((TblConstr[[#This Row],[Farms]]*80+TblConstr[[#This Row],[Docks]]*35)*(1+OFFSET(TblProd[[#This Row],[Bonus Food/hr]],-1,0)),0)</f>
        <v>5521</v>
      </c>
      <c r="J105" s="97">
        <f ca="1">OFFSET(TblProd[[#This Row],[Lumber]],-1,0)+OFFSET(TblProd[[#This Row],[Lumber/hr]],-1,0) - TblProd[[#This Row],[Expenses Lumber]] + SUM(TblConstr[[#This Row],[Dest Hom]:[Dest Doc]])*TblConstr[[#This Row],[CPA Lumber -DB]]*tech_3_3_2*TblTech[[#This Row],[3-3]]</f>
        <v>38937</v>
      </c>
      <c r="K105" s="97">
        <f ca="1">OFFSET(TblProd[[#This Row],[Mana]],-1,0)+OFFSET(TblProd[[#This Row],[Mana/hr]],-1,0)- TblProd[[#This Row],[Expenses Mana]]</f>
        <v>5990.5</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63.050000000000061</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5" s="97">
        <f ca="1">MAX(3750,_xlfn.CEILING.MATH(TblProd[[#This Row],[Land]]*2.5+OFFSET(TblTech[[#This Row],[Sum of tech]],-1,0)*150))</f>
        <v>3750</v>
      </c>
      <c r="R105" s="145"/>
      <c r="S105" s="97">
        <f ca="1">ROUNDDOWN(TblProd[[#This Row],[Raw Plat/hr]]*(1+TblProd[[#This Row],[Bonus Plat/hr]]),0)</f>
        <v>39766</v>
      </c>
      <c r="T105" s="97">
        <f ca="1">ROUND(TblProd[[#This Row],[Raw Food/hr]]*(1+TblProd[[#This Row],[Bonus Food/hr]])-TblProd[[#This Row],[Food decay]]-TblProd[[#This Row],[Food eaten]],0)</f>
        <v>72</v>
      </c>
      <c r="U105" s="97">
        <f ca="1">ROUND(TblProd[[#This Row],[Raw Lumber/hr]]*(1+TblProd[[#This Row],[Bonus Lumber/hr]])-TblProd[[#This Row],[Lumber rot]],0)</f>
        <v>736</v>
      </c>
      <c r="V105" s="97">
        <f ca="1">ROUND(TblProd[[#This Row],[Raw Mana/hr]]*(1+TblProd[[#This Row],[Bonus Mana/hr]])-TblProd[[#This Row],[Mana drain]],0)</f>
        <v>605</v>
      </c>
      <c r="W105" s="97">
        <f ca="1">ROUNDDOWN(TblProd[[#This Row],[Raw Ore/hr]]*(1+TblProd[[#This Row],[Bonux Ore/hr]]),0)</f>
        <v>0</v>
      </c>
      <c r="X105" s="97">
        <f ca="1">ROUNDDOWN(TblProd[[#This Row],[Raw Gems/hr]]*(1+TblProd[[#This Row],[Bonus Gems/hr]]),0)</f>
        <v>0</v>
      </c>
      <c r="Y105" s="158">
        <f ca="1">OFFSET(TblConstr[[#This Row],[Tot Doc]],1,0)*dock_boats_hr * (1 + tech_4_1*TblTech[[#This Row],[4-1]])</f>
        <v>1.2000000000000002</v>
      </c>
      <c r="Z105" s="157"/>
      <c r="AA105" s="97">
        <f ca="1">TblPop[[#This Row],[Peasants]]*tax*TblPop[[#This Row],[Employment]] + (Construction!AZ106+Construction!BX106)*(alch_plat+(Magic!AM105&gt;0)*alchemist_flame_bonus)</f>
        <v>36151.4</v>
      </c>
      <c r="AB105" s="97">
        <f ca="1">TblConstr[[#This Row],[Tot Farm]]*farm_food + TblConstr[[#This Row],[Tot Doc]]*dock_food</f>
        <v>3280</v>
      </c>
      <c r="AC105" s="97">
        <f ca="1">TblConstr[[#This Row],[Tot Ly]]*ly_lumber + TblConstr[[#This Row],[Tot Hav]]*fh_lumber</f>
        <v>1250</v>
      </c>
      <c r="AD105" s="97">
        <f ca="1">OFFSET(TblConstr[[#This Row],[Tot Tow]],1,0)*(tower_mana + tech_4_5*TblTech[[#This Row],[4-5]]) + OFFSET(TblConstr[[#This Row],[Tot WG]],1,0)*wg_mana_prod</f>
        <v>725</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0.1</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5" s="159">
        <f ca="1">race_lumber_bonus+ IF(TblMagic[[#This Row],[Active Gaia''s Blessing]]&gt;0,gaias_blessing_lumber)+ tech_1_3*TblTech[[#This Row],[1-3]] + tech_1_6*TblTech[[#This Row],[1-6]] + tech_3_3*TblTech[[#This Row],[3-3]]</f>
        <v>-0.1</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0.15</v>
      </c>
      <c r="AN105" s="145"/>
      <c r="AO105" s="97">
        <f ca="1">TblProd[[#This Row],[Food]]*food_decay * (1 + tech_2_1*TblTech[[#This Row],[2-1]] + tech_2_8*TblTech[[#This Row],[2-8]])</f>
        <v>55.21</v>
      </c>
      <c r="AP105" s="97">
        <f ca="1">(1+race_food_consumption)*TblPop[[#This Row],[Total]]*food_per_person*(1+tech_1_10*TblTech[[#This Row],[1-10]]+tech_7_5*TblTech[[#This Row],[7-5]])</f>
        <v>3234.75</v>
      </c>
      <c r="AQ105" s="97">
        <f ca="1">TblProd[[#This Row],[Lumber]]*lumber_rot * (1 + tech_2_1*TblTech[[#This Row],[2-1]] + tech_2_8*TblTech[[#This Row],[2-8]] + tech_5_2*TblTech[[#This Row],[5-2]])</f>
        <v>389.37</v>
      </c>
      <c r="AR105" s="97">
        <f ca="1">TblProd[[#This Row],[Mana]]*mana_drain * (1 + tech_2_1*TblTech[[#This Row],[2-1]] + tech_2_8*TblTech[[#This Row],[2-8]])</f>
        <v>119.81</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45433.958333333088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1227079</v>
      </c>
      <c r="BJ105" s="97">
        <f ca="1">TblProd[[#This Row],[Food]]</f>
        <v>5521</v>
      </c>
      <c r="BK105" s="97">
        <f ca="1">TblProd[[#This Row],[Lumber]]</f>
        <v>38937</v>
      </c>
      <c r="BL105" s="97">
        <f ca="1">TblProd[[#This Row],[Mana]]</f>
        <v>5990.5</v>
      </c>
      <c r="BM105" s="97">
        <f ca="1">TblProd[[#This Row],[Ore]]</f>
        <v>0</v>
      </c>
    </row>
    <row r="106" spans="1:65" x14ac:dyDescent="0.2">
      <c r="A106" s="140">
        <v>31</v>
      </c>
      <c r="B106" s="155">
        <f ca="1">TblImps[[#This Row],[Time]]</f>
        <v>45433.999999999753</v>
      </c>
      <c r="C106" s="156"/>
      <c r="D106" s="157"/>
      <c r="E106" s="97">
        <f ca="1">TblConstr[[#This Row],[Land]]</f>
        <v>700</v>
      </c>
      <c r="F106" s="97">
        <f ca="1">TblPop[[#This Row],[Peasants]]</f>
        <v>7407</v>
      </c>
      <c r="G106" s="97">
        <f ca="1">TblMili[[#This Row],[Networth (2)]]</f>
        <v>42359.8</v>
      </c>
      <c r="H106" s="97">
        <f ca="1">OFFSET(TblProd[[#This Row],[Platinum]],-1,0)+OFFSET(TblProd[[#This Row],[Plat/hr]],-1,0) - TblProd[[#This Row],[Expenses Platinum]] + IF(TblProd[[#This Row],[Plat Bonus]],TblPop[[#This Row],[Peasants]]*4) + SUM(TblConstr[[#This Row],[Dest Hom]:[Dest Doc]])*TblConstr[[#This Row],[CPA Platinum -DB]]*tech_3_3_2*TblTech[[#This Row],[3-3]]</f>
        <v>1266845</v>
      </c>
      <c r="I106" s="97">
        <f ca="1">OFFSET(TblProd[[#This Row],[Food]],-1,0)+OFFSET(TblProd[[#This Row],[Food/hr]],-1,0)+ROUNDUP((TblConstr[[#This Row],[Farms]]*80+TblConstr[[#This Row],[Docks]]*35)*(1+OFFSET(TblProd[[#This Row],[Bonus Food/hr]],-1,0)),0)</f>
        <v>5593</v>
      </c>
      <c r="J106" s="97">
        <f ca="1">OFFSET(TblProd[[#This Row],[Lumber]],-1,0)+OFFSET(TblProd[[#This Row],[Lumber/hr]],-1,0) - TblProd[[#This Row],[Expenses Lumber]] + SUM(TblConstr[[#This Row],[Dest Hom]:[Dest Doc]])*TblConstr[[#This Row],[CPA Lumber -DB]]*tech_3_3_2*TblTech[[#This Row],[3-3]]</f>
        <v>39673</v>
      </c>
      <c r="K106" s="97">
        <f ca="1">OFFSET(TblProd[[#This Row],[Mana]],-1,0)+OFFSET(TblProd[[#This Row],[Mana/hr]],-1,0)- TblProd[[#This Row],[Expenses Mana]]</f>
        <v>6595.5</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64.250000000000057</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6" s="97">
        <f ca="1">MAX(3750,_xlfn.CEILING.MATH(TblProd[[#This Row],[Land]]*2.5+OFFSET(TblTech[[#This Row],[Sum of tech]],-1,0)*150))</f>
        <v>3750</v>
      </c>
      <c r="R106" s="145"/>
      <c r="S106" s="97">
        <f ca="1">ROUNDDOWN(TblProd[[#This Row],[Raw Plat/hr]]*(1+TblProd[[#This Row],[Bonus Plat/hr]]),0)</f>
        <v>39543</v>
      </c>
      <c r="T106" s="97">
        <f ca="1">ROUND(TblProd[[#This Row],[Raw Food/hr]]*(1+TblProd[[#This Row],[Bonus Food/hr]])-TblProd[[#This Row],[Food decay]]-TblProd[[#This Row],[Food eaten]],0)</f>
        <v>71</v>
      </c>
      <c r="U106" s="97">
        <f ca="1">ROUND(TblProd[[#This Row],[Raw Lumber/hr]]*(1+TblProd[[#This Row],[Bonus Lumber/hr]])-TblProd[[#This Row],[Lumber rot]],0)</f>
        <v>728</v>
      </c>
      <c r="V106" s="97">
        <f ca="1">ROUND(TblProd[[#This Row],[Raw Mana/hr]]*(1+TblProd[[#This Row],[Bonus Mana/hr]])-TblProd[[#This Row],[Mana drain]],0)</f>
        <v>593</v>
      </c>
      <c r="W106" s="97">
        <f ca="1">ROUNDDOWN(TblProd[[#This Row],[Raw Ore/hr]]*(1+TblProd[[#This Row],[Bonux Ore/hr]]),0)</f>
        <v>0</v>
      </c>
      <c r="X106" s="97">
        <f ca="1">ROUNDDOWN(TblProd[[#This Row],[Raw Gems/hr]]*(1+TblProd[[#This Row],[Bonus Gems/hr]]),0)</f>
        <v>0</v>
      </c>
      <c r="Y106" s="158">
        <f ca="1">OFFSET(TblConstr[[#This Row],[Tot Doc]],1,0)*dock_boats_hr * (1 + tech_4_1*TblTech[[#This Row],[4-1]])</f>
        <v>1.2000000000000002</v>
      </c>
      <c r="Z106" s="157"/>
      <c r="AA106" s="97">
        <f ca="1">TblPop[[#This Row],[Peasants]]*tax*TblPop[[#This Row],[Employment]] + (Construction!AZ107+Construction!BX107)*(alch_plat+(Magic!AM106&gt;0)*alchemist_flame_bonus)</f>
        <v>35948.9</v>
      </c>
      <c r="AB106" s="97">
        <f ca="1">TblConstr[[#This Row],[Tot Farm]]*farm_food + TblConstr[[#This Row],[Tot Doc]]*dock_food</f>
        <v>3280</v>
      </c>
      <c r="AC106" s="97">
        <f ca="1">TblConstr[[#This Row],[Tot Ly]]*ly_lumber + TblConstr[[#This Row],[Tot Hav]]*fh_lumber</f>
        <v>1250</v>
      </c>
      <c r="AD106" s="97">
        <f ca="1">OFFSET(TblConstr[[#This Row],[Tot Tow]],1,0)*(tower_mana + tech_4_5*TblTech[[#This Row],[4-5]]) + OFFSET(TblConstr[[#This Row],[Tot WG]],1,0)*wg_mana_prod</f>
        <v>725</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0.1</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6" s="159">
        <f ca="1">race_lumber_bonus+ IF(TblMagic[[#This Row],[Active Gaia''s Blessing]]&gt;0,gaias_blessing_lumber)+ tech_1_3*TblTech[[#This Row],[1-3]] + tech_1_6*TblTech[[#This Row],[1-6]] + tech_3_3*TblTech[[#This Row],[3-3]]</f>
        <v>-0.1</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0.15</v>
      </c>
      <c r="AN106" s="145"/>
      <c r="AO106" s="97">
        <f ca="1">TblProd[[#This Row],[Food]]*food_decay * (1 + tech_2_1*TblTech[[#This Row],[2-1]] + tech_2_8*TblTech[[#This Row],[2-8]])</f>
        <v>55.93</v>
      </c>
      <c r="AP106" s="97">
        <f ca="1">(1+race_food_consumption)*TblPop[[#This Row],[Total]]*food_per_person*(1+tech_1_10*TblTech[[#This Row],[1-10]]+tech_7_5*TblTech[[#This Row],[7-5]])</f>
        <v>3234.75</v>
      </c>
      <c r="AQ106" s="97">
        <f ca="1">TblProd[[#This Row],[Lumber]]*lumber_rot * (1 + tech_2_1*TblTech[[#This Row],[2-1]] + tech_2_8*TblTech[[#This Row],[2-8]] + tech_5_2*TblTech[[#This Row],[5-2]])</f>
        <v>396.73</v>
      </c>
      <c r="AR106" s="97">
        <f ca="1">TblProd[[#This Row],[Mana]]*mana_drain * (1 + tech_2_1*TblTech[[#This Row],[2-1]] + tech_2_8*TblTech[[#This Row],[2-8]])</f>
        <v>131.91</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45433.999999999753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1266845</v>
      </c>
      <c r="BJ106" s="97">
        <f ca="1">TblProd[[#This Row],[Food]]</f>
        <v>5593</v>
      </c>
      <c r="BK106" s="97">
        <f ca="1">TblProd[[#This Row],[Lumber]]</f>
        <v>39673</v>
      </c>
      <c r="BL106" s="97">
        <f ca="1">TblProd[[#This Row],[Mana]]</f>
        <v>6595.5</v>
      </c>
      <c r="BM106" s="97">
        <f ca="1">TblProd[[#This Row],[Ore]]</f>
        <v>0</v>
      </c>
    </row>
    <row r="107" spans="1:65" x14ac:dyDescent="0.2">
      <c r="A107" s="140">
        <v>32</v>
      </c>
      <c r="B107" s="155">
        <f ca="1">TblImps[[#This Row],[Time]]</f>
        <v>45434.041666666417</v>
      </c>
      <c r="C107" s="156"/>
      <c r="D107" s="157"/>
      <c r="E107" s="97">
        <f ca="1">TblConstr[[#This Row],[Land]]</f>
        <v>700</v>
      </c>
      <c r="F107" s="97">
        <f ca="1">TblPop[[#This Row],[Peasants]]</f>
        <v>7333</v>
      </c>
      <c r="G107" s="97">
        <f ca="1">TblMili[[#This Row],[Networth (2)]]</f>
        <v>42359.8</v>
      </c>
      <c r="H107" s="97">
        <f ca="1">OFFSET(TblProd[[#This Row],[Platinum]],-1,0)+OFFSET(TblProd[[#This Row],[Plat/hr]],-1,0) - TblProd[[#This Row],[Expenses Platinum]] + IF(TblProd[[#This Row],[Plat Bonus]],TblPop[[#This Row],[Peasants]]*4) + SUM(TblConstr[[#This Row],[Dest Hom]:[Dest Doc]])*TblConstr[[#This Row],[CPA Platinum -DB]]*tech_3_3_2*TblTech[[#This Row],[3-3]]</f>
        <v>1306388</v>
      </c>
      <c r="I107" s="97">
        <f ca="1">OFFSET(TblProd[[#This Row],[Food]],-1,0)+OFFSET(TblProd[[#This Row],[Food/hr]],-1,0)+ROUNDUP((TblConstr[[#This Row],[Farms]]*80+TblConstr[[#This Row],[Docks]]*35)*(1+OFFSET(TblProd[[#This Row],[Bonus Food/hr]],-1,0)),0)</f>
        <v>5664</v>
      </c>
      <c r="J107" s="97">
        <f ca="1">OFFSET(TblProd[[#This Row],[Lumber]],-1,0)+OFFSET(TblProd[[#This Row],[Lumber/hr]],-1,0) - TblProd[[#This Row],[Expenses Lumber]] + SUM(TblConstr[[#This Row],[Dest Hom]:[Dest Doc]])*TblConstr[[#This Row],[CPA Lumber -DB]]*tech_3_3_2*TblTech[[#This Row],[3-3]]</f>
        <v>40401</v>
      </c>
      <c r="K107" s="97">
        <f ca="1">OFFSET(TblProd[[#This Row],[Mana]],-1,0)+OFFSET(TblProd[[#This Row],[Mana/hr]],-1,0)- TblProd[[#This Row],[Expenses Mana]]</f>
        <v>7188.5</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65.45000000000006</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7" s="97">
        <f ca="1">MAX(3750,_xlfn.CEILING.MATH(TblProd[[#This Row],[Land]]*2.5+OFFSET(TblTech[[#This Row],[Sum of tech]],-1,0)*150))</f>
        <v>3750</v>
      </c>
      <c r="R107" s="145"/>
      <c r="S107" s="97">
        <f ca="1">ROUNDDOWN(TblProd[[#This Row],[Raw Plat/hr]]*(1+TblProd[[#This Row],[Bonus Plat/hr]]),0)</f>
        <v>39324</v>
      </c>
      <c r="T107" s="97">
        <f ca="1">ROUND(TblProd[[#This Row],[Raw Food/hr]]*(1+TblProd[[#This Row],[Bonus Food/hr]])-TblProd[[#This Row],[Food decay]]-TblProd[[#This Row],[Food eaten]],0)</f>
        <v>71</v>
      </c>
      <c r="U107" s="97">
        <f ca="1">ROUND(TblProd[[#This Row],[Raw Lumber/hr]]*(1+TblProd[[#This Row],[Bonus Lumber/hr]])-TblProd[[#This Row],[Lumber rot]],0)</f>
        <v>721</v>
      </c>
      <c r="V107" s="97">
        <f ca="1">ROUND(TblProd[[#This Row],[Raw Mana/hr]]*(1+TblProd[[#This Row],[Bonus Mana/hr]])-TblProd[[#This Row],[Mana drain]],0)</f>
        <v>581</v>
      </c>
      <c r="W107" s="97">
        <f ca="1">ROUNDDOWN(TblProd[[#This Row],[Raw Ore/hr]]*(1+TblProd[[#This Row],[Bonux Ore/hr]]),0)</f>
        <v>0</v>
      </c>
      <c r="X107" s="97">
        <f ca="1">ROUNDDOWN(TblProd[[#This Row],[Raw Gems/hr]]*(1+TblProd[[#This Row],[Bonus Gems/hr]]),0)</f>
        <v>0</v>
      </c>
      <c r="Y107" s="158">
        <f ca="1">OFFSET(TblConstr[[#This Row],[Tot Doc]],1,0)*dock_boats_hr * (1 + tech_4_1*TblTech[[#This Row],[4-1]])</f>
        <v>1.2000000000000002</v>
      </c>
      <c r="Z107" s="157"/>
      <c r="AA107" s="97">
        <f ca="1">TblPop[[#This Row],[Peasants]]*tax*TblPop[[#This Row],[Employment]] + (Construction!AZ108+Construction!BX108)*(alch_plat+(Magic!AM107&gt;0)*alchemist_flame_bonus)</f>
        <v>35749.100000000006</v>
      </c>
      <c r="AB107" s="97">
        <f ca="1">TblConstr[[#This Row],[Tot Farm]]*farm_food + TblConstr[[#This Row],[Tot Doc]]*dock_food</f>
        <v>3280</v>
      </c>
      <c r="AC107" s="97">
        <f ca="1">TblConstr[[#This Row],[Tot Ly]]*ly_lumber + TblConstr[[#This Row],[Tot Hav]]*fh_lumber</f>
        <v>1250</v>
      </c>
      <c r="AD107" s="97">
        <f ca="1">OFFSET(TblConstr[[#This Row],[Tot Tow]],1,0)*(tower_mana + tech_4_5*TblTech[[#This Row],[4-5]]) + OFFSET(TblConstr[[#This Row],[Tot WG]],1,0)*wg_mana_prod</f>
        <v>725</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0.1</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7" s="159">
        <f ca="1">race_lumber_bonus+ IF(TblMagic[[#This Row],[Active Gaia''s Blessing]]&gt;0,gaias_blessing_lumber)+ tech_1_3*TblTech[[#This Row],[1-3]] + tech_1_6*TblTech[[#This Row],[1-6]] + tech_3_3*TblTech[[#This Row],[3-3]]</f>
        <v>-0.1</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0.15</v>
      </c>
      <c r="AN107" s="145"/>
      <c r="AO107" s="97">
        <f ca="1">TblProd[[#This Row],[Food]]*food_decay * (1 + tech_2_1*TblTech[[#This Row],[2-1]] + tech_2_8*TblTech[[#This Row],[2-8]])</f>
        <v>56.64</v>
      </c>
      <c r="AP107" s="97">
        <f ca="1">(1+race_food_consumption)*TblPop[[#This Row],[Total]]*food_per_person*(1+tech_1_10*TblTech[[#This Row],[1-10]]+tech_7_5*TblTech[[#This Row],[7-5]])</f>
        <v>3234.75</v>
      </c>
      <c r="AQ107" s="97">
        <f ca="1">TblProd[[#This Row],[Lumber]]*lumber_rot * (1 + tech_2_1*TblTech[[#This Row],[2-1]] + tech_2_8*TblTech[[#This Row],[2-8]] + tech_5_2*TblTech[[#This Row],[5-2]])</f>
        <v>404.01</v>
      </c>
      <c r="AR107" s="97">
        <f ca="1">TblProd[[#This Row],[Mana]]*mana_drain * (1 + tech_2_1*TblTech[[#This Row],[2-1]] + tech_2_8*TblTech[[#This Row],[2-8]])</f>
        <v>143.77000000000001</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45434.041666666417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1306388</v>
      </c>
      <c r="BJ107" s="97">
        <f ca="1">TblProd[[#This Row],[Food]]</f>
        <v>5664</v>
      </c>
      <c r="BK107" s="97">
        <f ca="1">TblProd[[#This Row],[Lumber]]</f>
        <v>40401</v>
      </c>
      <c r="BL107" s="97">
        <f ca="1">TblProd[[#This Row],[Mana]]</f>
        <v>7188.5</v>
      </c>
      <c r="BM107" s="97">
        <f ca="1">TblProd[[#This Row],[Ore]]</f>
        <v>0</v>
      </c>
    </row>
    <row r="108" spans="1:65" x14ac:dyDescent="0.2">
      <c r="A108" s="140">
        <v>33</v>
      </c>
      <c r="B108" s="155">
        <f ca="1">TblImps[[#This Row],[Time]]</f>
        <v>45434.083333333081</v>
      </c>
      <c r="C108" s="156"/>
      <c r="D108" s="157"/>
      <c r="E108" s="97">
        <f ca="1">TblConstr[[#This Row],[Land]]</f>
        <v>700</v>
      </c>
      <c r="F108" s="97">
        <f ca="1">TblPop[[#This Row],[Peasants]]</f>
        <v>7260</v>
      </c>
      <c r="G108" s="97">
        <f ca="1">TblMili[[#This Row],[Networth (2)]]</f>
        <v>42359.8</v>
      </c>
      <c r="H108" s="97">
        <f ca="1">OFFSET(TblProd[[#This Row],[Platinum]],-1,0)+OFFSET(TblProd[[#This Row],[Plat/hr]],-1,0) - TblProd[[#This Row],[Expenses Platinum]] + IF(TblProd[[#This Row],[Plat Bonus]],TblPop[[#This Row],[Peasants]]*4) + SUM(TblConstr[[#This Row],[Dest Hom]:[Dest Doc]])*TblConstr[[#This Row],[CPA Platinum -DB]]*tech_3_3_2*TblTech[[#This Row],[3-3]]</f>
        <v>1345712</v>
      </c>
      <c r="I108" s="97">
        <f ca="1">OFFSET(TblProd[[#This Row],[Food]],-1,0)+OFFSET(TblProd[[#This Row],[Food/hr]],-1,0)+ROUNDUP((TblConstr[[#This Row],[Farms]]*80+TblConstr[[#This Row],[Docks]]*35)*(1+OFFSET(TblProd[[#This Row],[Bonus Food/hr]],-1,0)),0)</f>
        <v>5735</v>
      </c>
      <c r="J108" s="97">
        <f ca="1">OFFSET(TblProd[[#This Row],[Lumber]],-1,0)+OFFSET(TblProd[[#This Row],[Lumber/hr]],-1,0) - TblProd[[#This Row],[Expenses Lumber]] + SUM(TblConstr[[#This Row],[Dest Hom]:[Dest Doc]])*TblConstr[[#This Row],[CPA Lumber -DB]]*tech_3_3_2*TblTech[[#This Row],[3-3]]</f>
        <v>41122</v>
      </c>
      <c r="K108" s="97">
        <f ca="1">OFFSET(TblProd[[#This Row],[Mana]],-1,0)+OFFSET(TblProd[[#This Row],[Mana/hr]],-1,0)- TblProd[[#This Row],[Expenses Mana]]</f>
        <v>7769.5</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66.650000000000063</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8" s="97">
        <f ca="1">MAX(3750,_xlfn.CEILING.MATH(TblProd[[#This Row],[Land]]*2.5+OFFSET(TblTech[[#This Row],[Sum of tech]],-1,0)*150))</f>
        <v>3750</v>
      </c>
      <c r="R108" s="145"/>
      <c r="S108" s="97">
        <f ca="1">ROUNDDOWN(TblProd[[#This Row],[Raw Plat/hr]]*(1+TblProd[[#This Row],[Bonus Plat/hr]]),0)</f>
        <v>39107</v>
      </c>
      <c r="T108" s="97">
        <f ca="1">ROUND(TblProd[[#This Row],[Raw Food/hr]]*(1+TblProd[[#This Row],[Bonus Food/hr]])-TblProd[[#This Row],[Food decay]]-TblProd[[#This Row],[Food eaten]],0)</f>
        <v>70</v>
      </c>
      <c r="U108" s="97">
        <f ca="1">ROUND(TblProd[[#This Row],[Raw Lumber/hr]]*(1+TblProd[[#This Row],[Bonus Lumber/hr]])-TblProd[[#This Row],[Lumber rot]],0)</f>
        <v>714</v>
      </c>
      <c r="V108" s="97">
        <f ca="1">ROUND(TblProd[[#This Row],[Raw Mana/hr]]*(1+TblProd[[#This Row],[Bonus Mana/hr]])-TblProd[[#This Row],[Mana drain]],0)</f>
        <v>570</v>
      </c>
      <c r="W108" s="97">
        <f ca="1">ROUNDDOWN(TblProd[[#This Row],[Raw Ore/hr]]*(1+TblProd[[#This Row],[Bonux Ore/hr]]),0)</f>
        <v>0</v>
      </c>
      <c r="X108" s="97">
        <f ca="1">ROUNDDOWN(TblProd[[#This Row],[Raw Gems/hr]]*(1+TblProd[[#This Row],[Bonus Gems/hr]]),0)</f>
        <v>0</v>
      </c>
      <c r="Y108" s="158">
        <f ca="1">OFFSET(TblConstr[[#This Row],[Tot Doc]],1,0)*dock_boats_hr * (1 + tech_4_1*TblTech[[#This Row],[4-1]])</f>
        <v>1.2000000000000002</v>
      </c>
      <c r="Z108" s="157"/>
      <c r="AA108" s="97">
        <f ca="1">TblPop[[#This Row],[Peasants]]*tax*TblPop[[#This Row],[Employment]] + (Construction!AZ109+Construction!BX109)*(alch_plat+(Magic!AM108&gt;0)*alchemist_flame_bonus)</f>
        <v>35552</v>
      </c>
      <c r="AB108" s="97">
        <f ca="1">TblConstr[[#This Row],[Tot Farm]]*farm_food + TblConstr[[#This Row],[Tot Doc]]*dock_food</f>
        <v>3280</v>
      </c>
      <c r="AC108" s="97">
        <f ca="1">TblConstr[[#This Row],[Tot Ly]]*ly_lumber + TblConstr[[#This Row],[Tot Hav]]*fh_lumber</f>
        <v>1250</v>
      </c>
      <c r="AD108" s="97">
        <f ca="1">OFFSET(TblConstr[[#This Row],[Tot Tow]],1,0)*(tower_mana + tech_4_5*TblTech[[#This Row],[4-5]]) + OFFSET(TblConstr[[#This Row],[Tot WG]],1,0)*wg_mana_prod</f>
        <v>725</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0.1</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8" s="159">
        <f ca="1">race_lumber_bonus+ IF(TblMagic[[#This Row],[Active Gaia''s Blessing]]&gt;0,gaias_blessing_lumber)+ tech_1_3*TblTech[[#This Row],[1-3]] + tech_1_6*TblTech[[#This Row],[1-6]] + tech_3_3*TblTech[[#This Row],[3-3]]</f>
        <v>-0.1</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0.15</v>
      </c>
      <c r="AN108" s="145"/>
      <c r="AO108" s="97">
        <f ca="1">TblProd[[#This Row],[Food]]*food_decay * (1 + tech_2_1*TblTech[[#This Row],[2-1]] + tech_2_8*TblTech[[#This Row],[2-8]])</f>
        <v>57.35</v>
      </c>
      <c r="AP108" s="97">
        <f ca="1">(1+race_food_consumption)*TblPop[[#This Row],[Total]]*food_per_person*(1+tech_1_10*TblTech[[#This Row],[1-10]]+tech_7_5*TblTech[[#This Row],[7-5]])</f>
        <v>3234.75</v>
      </c>
      <c r="AQ108" s="97">
        <f ca="1">TblProd[[#This Row],[Lumber]]*lumber_rot * (1 + tech_2_1*TblTech[[#This Row],[2-1]] + tech_2_8*TblTech[[#This Row],[2-8]] + tech_5_2*TblTech[[#This Row],[5-2]])</f>
        <v>411.22</v>
      </c>
      <c r="AR108" s="97">
        <f ca="1">TblProd[[#This Row],[Mana]]*mana_drain * (1 + tech_2_1*TblTech[[#This Row],[2-1]] + tech_2_8*TblTech[[#This Row],[2-8]])</f>
        <v>155.39000000000001</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45434.083333333081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1345712</v>
      </c>
      <c r="BJ108" s="97">
        <f ca="1">TblProd[[#This Row],[Food]]</f>
        <v>5735</v>
      </c>
      <c r="BK108" s="97">
        <f ca="1">TblProd[[#This Row],[Lumber]]</f>
        <v>41122</v>
      </c>
      <c r="BL108" s="97">
        <f ca="1">TblProd[[#This Row],[Mana]]</f>
        <v>7769.5</v>
      </c>
      <c r="BM108" s="97">
        <f ca="1">TblProd[[#This Row],[Ore]]</f>
        <v>0</v>
      </c>
    </row>
    <row r="109" spans="1:65" x14ac:dyDescent="0.2">
      <c r="A109" s="140">
        <v>34</v>
      </c>
      <c r="B109" s="155">
        <f ca="1">TblImps[[#This Row],[Time]]</f>
        <v>45434.124999999745</v>
      </c>
      <c r="C109" s="156"/>
      <c r="D109" s="157"/>
      <c r="E109" s="97">
        <f ca="1">TblConstr[[#This Row],[Land]]</f>
        <v>700</v>
      </c>
      <c r="F109" s="97">
        <f ca="1">TblPop[[#This Row],[Peasants]]</f>
        <v>7187</v>
      </c>
      <c r="G109" s="97">
        <f ca="1">TblMili[[#This Row],[Networth (2)]]</f>
        <v>42359.8</v>
      </c>
      <c r="H109" s="97">
        <f ca="1">OFFSET(TblProd[[#This Row],[Platinum]],-1,0)+OFFSET(TblProd[[#This Row],[Plat/hr]],-1,0) - TblProd[[#This Row],[Expenses Platinum]] + IF(TblProd[[#This Row],[Plat Bonus]],TblPop[[#This Row],[Peasants]]*4) + SUM(TblConstr[[#This Row],[Dest Hom]:[Dest Doc]])*TblConstr[[#This Row],[CPA Platinum -DB]]*tech_3_3_2*TblTech[[#This Row],[3-3]]</f>
        <v>1384819</v>
      </c>
      <c r="I109" s="97">
        <f ca="1">OFFSET(TblProd[[#This Row],[Food]],-1,0)+OFFSET(TblProd[[#This Row],[Food/hr]],-1,0)+ROUNDUP((TblConstr[[#This Row],[Farms]]*80+TblConstr[[#This Row],[Docks]]*35)*(1+OFFSET(TblProd[[#This Row],[Bonus Food/hr]],-1,0)),0)</f>
        <v>5805</v>
      </c>
      <c r="J109" s="97">
        <f ca="1">OFFSET(TblProd[[#This Row],[Lumber]],-1,0)+OFFSET(TblProd[[#This Row],[Lumber/hr]],-1,0) - TblProd[[#This Row],[Expenses Lumber]] + SUM(TblConstr[[#This Row],[Dest Hom]:[Dest Doc]])*TblConstr[[#This Row],[CPA Lumber -DB]]*tech_3_3_2*TblTech[[#This Row],[3-3]]</f>
        <v>41836</v>
      </c>
      <c r="K109" s="97">
        <f ca="1">OFFSET(TblProd[[#This Row],[Mana]],-1,0)+OFFSET(TblProd[[#This Row],[Mana/hr]],-1,0)- TblProd[[#This Row],[Expenses Mana]]</f>
        <v>8339.5</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67.850000000000065</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9" s="97">
        <f ca="1">MAX(3750,_xlfn.CEILING.MATH(TblProd[[#This Row],[Land]]*2.5+OFFSET(TblTech[[#This Row],[Sum of tech]],-1,0)*150))</f>
        <v>3750</v>
      </c>
      <c r="R109" s="145"/>
      <c r="S109" s="97">
        <f ca="1">ROUNDDOWN(TblProd[[#This Row],[Raw Plat/hr]]*(1+TblProd[[#This Row],[Bonus Plat/hr]]),0)</f>
        <v>38890</v>
      </c>
      <c r="T109" s="97">
        <f ca="1">ROUND(TblProd[[#This Row],[Raw Food/hr]]*(1+TblProd[[#This Row],[Bonus Food/hr]])-TblProd[[#This Row],[Food decay]]-TblProd[[#This Row],[Food eaten]],0)</f>
        <v>69</v>
      </c>
      <c r="U109" s="97">
        <f ca="1">ROUND(TblProd[[#This Row],[Raw Lumber/hr]]*(1+TblProd[[#This Row],[Bonus Lumber/hr]])-TblProd[[#This Row],[Lumber rot]],0)</f>
        <v>707</v>
      </c>
      <c r="V109" s="97">
        <f ca="1">ROUND(TblProd[[#This Row],[Raw Mana/hr]]*(1+TblProd[[#This Row],[Bonus Mana/hr]])-TblProd[[#This Row],[Mana drain]],0)</f>
        <v>558</v>
      </c>
      <c r="W109" s="97">
        <f ca="1">ROUNDDOWN(TblProd[[#This Row],[Raw Ore/hr]]*(1+TblProd[[#This Row],[Bonux Ore/hr]]),0)</f>
        <v>0</v>
      </c>
      <c r="X109" s="97">
        <f ca="1">ROUNDDOWN(TblProd[[#This Row],[Raw Gems/hr]]*(1+TblProd[[#This Row],[Bonus Gems/hr]]),0)</f>
        <v>0</v>
      </c>
      <c r="Y109" s="158">
        <f ca="1">OFFSET(TblConstr[[#This Row],[Tot Doc]],1,0)*dock_boats_hr * (1 + tech_4_1*TblTech[[#This Row],[4-1]])</f>
        <v>1.2000000000000002</v>
      </c>
      <c r="Z109" s="157"/>
      <c r="AA109" s="97">
        <f ca="1">TblPop[[#This Row],[Peasants]]*tax*TblPop[[#This Row],[Employment]] + (Construction!AZ110+Construction!BX110)*(alch_plat+(Magic!AM109&gt;0)*alchemist_flame_bonus)</f>
        <v>35354.9</v>
      </c>
      <c r="AB109" s="97">
        <f ca="1">TblConstr[[#This Row],[Tot Farm]]*farm_food + TblConstr[[#This Row],[Tot Doc]]*dock_food</f>
        <v>3280</v>
      </c>
      <c r="AC109" s="97">
        <f ca="1">TblConstr[[#This Row],[Tot Ly]]*ly_lumber + TblConstr[[#This Row],[Tot Hav]]*fh_lumber</f>
        <v>1250</v>
      </c>
      <c r="AD109" s="97">
        <f ca="1">OFFSET(TblConstr[[#This Row],[Tot Tow]],1,0)*(tower_mana + tech_4_5*TblTech[[#This Row],[4-5]]) + OFFSET(TblConstr[[#This Row],[Tot WG]],1,0)*wg_mana_prod</f>
        <v>725</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0.1</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09" s="159">
        <f ca="1">race_lumber_bonus+ IF(TblMagic[[#This Row],[Active Gaia''s Blessing]]&gt;0,gaias_blessing_lumber)+ tech_1_3*TblTech[[#This Row],[1-3]] + tech_1_6*TblTech[[#This Row],[1-6]] + tech_3_3*TblTech[[#This Row],[3-3]]</f>
        <v>-0.1</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0.15</v>
      </c>
      <c r="AN109" s="145"/>
      <c r="AO109" s="97">
        <f ca="1">TblProd[[#This Row],[Food]]*food_decay * (1 + tech_2_1*TblTech[[#This Row],[2-1]] + tech_2_8*TblTech[[#This Row],[2-8]])</f>
        <v>58.050000000000004</v>
      </c>
      <c r="AP109" s="97">
        <f ca="1">(1+race_food_consumption)*TblPop[[#This Row],[Total]]*food_per_person*(1+tech_1_10*TblTech[[#This Row],[1-10]]+tech_7_5*TblTech[[#This Row],[7-5]])</f>
        <v>3234.75</v>
      </c>
      <c r="AQ109" s="97">
        <f ca="1">TblProd[[#This Row],[Lumber]]*lumber_rot * (1 + tech_2_1*TblTech[[#This Row],[2-1]] + tech_2_8*TblTech[[#This Row],[2-8]] + tech_5_2*TblTech[[#This Row],[5-2]])</f>
        <v>418.36</v>
      </c>
      <c r="AR109" s="97">
        <f ca="1">TblProd[[#This Row],[Mana]]*mana_drain * (1 + tech_2_1*TblTech[[#This Row],[2-1]] + tech_2_8*TblTech[[#This Row],[2-8]])</f>
        <v>166.79</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45434.124999999745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1384819</v>
      </c>
      <c r="BJ109" s="97">
        <f ca="1">TblProd[[#This Row],[Food]]</f>
        <v>5805</v>
      </c>
      <c r="BK109" s="97">
        <f ca="1">TblProd[[#This Row],[Lumber]]</f>
        <v>41836</v>
      </c>
      <c r="BL109" s="97">
        <f ca="1">TblProd[[#This Row],[Mana]]</f>
        <v>8339.5</v>
      </c>
      <c r="BM109" s="97">
        <f ca="1">TblProd[[#This Row],[Ore]]</f>
        <v>0</v>
      </c>
    </row>
    <row r="110" spans="1:65" x14ac:dyDescent="0.2">
      <c r="A110" s="140">
        <v>35</v>
      </c>
      <c r="B110" s="155">
        <f ca="1">TblImps[[#This Row],[Time]]</f>
        <v>45434.16666666641</v>
      </c>
      <c r="C110" s="156"/>
      <c r="D110" s="157"/>
      <c r="E110" s="97">
        <f ca="1">TblConstr[[#This Row],[Land]]</f>
        <v>700</v>
      </c>
      <c r="F110" s="97">
        <f ca="1">TblPop[[#This Row],[Peasants]]</f>
        <v>7115</v>
      </c>
      <c r="G110" s="97">
        <f ca="1">TblMili[[#This Row],[Networth (2)]]</f>
        <v>42359.8</v>
      </c>
      <c r="H110" s="97">
        <f ca="1">OFFSET(TblProd[[#This Row],[Platinum]],-1,0)+OFFSET(TblProd[[#This Row],[Plat/hr]],-1,0) - TblProd[[#This Row],[Expenses Platinum]] + IF(TblProd[[#This Row],[Plat Bonus]],TblPop[[#This Row],[Peasants]]*4) + SUM(TblConstr[[#This Row],[Dest Hom]:[Dest Doc]])*TblConstr[[#This Row],[CPA Platinum -DB]]*tech_3_3_2*TblTech[[#This Row],[3-3]]</f>
        <v>1423709</v>
      </c>
      <c r="I110" s="97">
        <f ca="1">OFFSET(TblProd[[#This Row],[Food]],-1,0)+OFFSET(TblProd[[#This Row],[Food/hr]],-1,0)+ROUNDUP((TblConstr[[#This Row],[Farms]]*80+TblConstr[[#This Row],[Docks]]*35)*(1+OFFSET(TblProd[[#This Row],[Bonus Food/hr]],-1,0)),0)</f>
        <v>5874</v>
      </c>
      <c r="J110" s="97">
        <f ca="1">OFFSET(TblProd[[#This Row],[Lumber]],-1,0)+OFFSET(TblProd[[#This Row],[Lumber/hr]],-1,0) - TblProd[[#This Row],[Expenses Lumber]] + SUM(TblConstr[[#This Row],[Dest Hom]:[Dest Doc]])*TblConstr[[#This Row],[CPA Lumber -DB]]*tech_3_3_2*TblTech[[#This Row],[3-3]]</f>
        <v>42543</v>
      </c>
      <c r="K110" s="97">
        <f ca="1">OFFSET(TblProd[[#This Row],[Mana]],-1,0)+OFFSET(TblProd[[#This Row],[Mana/hr]],-1,0)- TblProd[[#This Row],[Expenses Mana]]</f>
        <v>8897.5</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69.050000000000068</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0" s="97">
        <f ca="1">MAX(3750,_xlfn.CEILING.MATH(TblProd[[#This Row],[Land]]*2.5+OFFSET(TblTech[[#This Row],[Sum of tech]],-1,0)*150))</f>
        <v>3750</v>
      </c>
      <c r="R110" s="145"/>
      <c r="S110" s="97">
        <f ca="1">ROUNDDOWN(TblProd[[#This Row],[Raw Plat/hr]]*(1+TblProd[[#This Row],[Bonus Plat/hr]]),0)</f>
        <v>38676</v>
      </c>
      <c r="T110" s="97">
        <f ca="1">ROUND(TblProd[[#This Row],[Raw Food/hr]]*(1+TblProd[[#This Row],[Bonus Food/hr]])-TblProd[[#This Row],[Food decay]]-TblProd[[#This Row],[Food eaten]],0)</f>
        <v>69</v>
      </c>
      <c r="U110" s="97">
        <f ca="1">ROUND(TblProd[[#This Row],[Raw Lumber/hr]]*(1+TblProd[[#This Row],[Bonus Lumber/hr]])-TblProd[[#This Row],[Lumber rot]],0)</f>
        <v>700</v>
      </c>
      <c r="V110" s="97">
        <f ca="1">ROUND(TblProd[[#This Row],[Raw Mana/hr]]*(1+TblProd[[#This Row],[Bonus Mana/hr]])-TblProd[[#This Row],[Mana drain]],0)</f>
        <v>547</v>
      </c>
      <c r="W110" s="97">
        <f ca="1">ROUNDDOWN(TblProd[[#This Row],[Raw Ore/hr]]*(1+TblProd[[#This Row],[Bonux Ore/hr]]),0)</f>
        <v>0</v>
      </c>
      <c r="X110" s="97">
        <f ca="1">ROUNDDOWN(TblProd[[#This Row],[Raw Gems/hr]]*(1+TblProd[[#This Row],[Bonus Gems/hr]]),0)</f>
        <v>0</v>
      </c>
      <c r="Y110" s="158">
        <f ca="1">OFFSET(TblConstr[[#This Row],[Tot Doc]],1,0)*dock_boats_hr * (1 + tech_4_1*TblTech[[#This Row],[4-1]])</f>
        <v>1.2000000000000002</v>
      </c>
      <c r="Z110" s="157"/>
      <c r="AA110" s="97">
        <f ca="1">TblPop[[#This Row],[Peasants]]*tax*TblPop[[#This Row],[Employment]] + (Construction!AZ111+Construction!BX111)*(alch_plat+(Magic!AM110&gt;0)*alchemist_flame_bonus)</f>
        <v>35160.5</v>
      </c>
      <c r="AB110" s="97">
        <f ca="1">TblConstr[[#This Row],[Tot Farm]]*farm_food + TblConstr[[#This Row],[Tot Doc]]*dock_food</f>
        <v>3280</v>
      </c>
      <c r="AC110" s="97">
        <f ca="1">TblConstr[[#This Row],[Tot Ly]]*ly_lumber + TblConstr[[#This Row],[Tot Hav]]*fh_lumber</f>
        <v>1250</v>
      </c>
      <c r="AD110" s="97">
        <f ca="1">OFFSET(TblConstr[[#This Row],[Tot Tow]],1,0)*(tower_mana + tech_4_5*TblTech[[#This Row],[4-5]]) + OFFSET(TblConstr[[#This Row],[Tot WG]],1,0)*wg_mana_prod</f>
        <v>725</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0.1</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0" s="159">
        <f ca="1">race_lumber_bonus+ IF(TblMagic[[#This Row],[Active Gaia''s Blessing]]&gt;0,gaias_blessing_lumber)+ tech_1_3*TblTech[[#This Row],[1-3]] + tech_1_6*TblTech[[#This Row],[1-6]] + tech_3_3*TblTech[[#This Row],[3-3]]</f>
        <v>-0.1</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0.15</v>
      </c>
      <c r="AN110" s="145"/>
      <c r="AO110" s="97">
        <f ca="1">TblProd[[#This Row],[Food]]*food_decay * (1 + tech_2_1*TblTech[[#This Row],[2-1]] + tech_2_8*TblTech[[#This Row],[2-8]])</f>
        <v>58.74</v>
      </c>
      <c r="AP110" s="97">
        <f ca="1">(1+race_food_consumption)*TblPop[[#This Row],[Total]]*food_per_person*(1+tech_1_10*TblTech[[#This Row],[1-10]]+tech_7_5*TblTech[[#This Row],[7-5]])</f>
        <v>3234.75</v>
      </c>
      <c r="AQ110" s="97">
        <f ca="1">TblProd[[#This Row],[Lumber]]*lumber_rot * (1 + tech_2_1*TblTech[[#This Row],[2-1]] + tech_2_8*TblTech[[#This Row],[2-8]] + tech_5_2*TblTech[[#This Row],[5-2]])</f>
        <v>425.43</v>
      </c>
      <c r="AR110" s="97">
        <f ca="1">TblProd[[#This Row],[Mana]]*mana_drain * (1 + tech_2_1*TblTech[[#This Row],[2-1]] + tech_2_8*TblTech[[#This Row],[2-8]])</f>
        <v>177.95000000000002</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45434.16666666641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1423709</v>
      </c>
      <c r="BJ110" s="97">
        <f ca="1">TblProd[[#This Row],[Food]]</f>
        <v>5874</v>
      </c>
      <c r="BK110" s="97">
        <f ca="1">TblProd[[#This Row],[Lumber]]</f>
        <v>42543</v>
      </c>
      <c r="BL110" s="97">
        <f ca="1">TblProd[[#This Row],[Mana]]</f>
        <v>8897.5</v>
      </c>
      <c r="BM110" s="97">
        <f ca="1">TblProd[[#This Row],[Ore]]</f>
        <v>0</v>
      </c>
    </row>
    <row r="111" spans="1:65" x14ac:dyDescent="0.2">
      <c r="A111" s="140">
        <v>36</v>
      </c>
      <c r="B111" s="155">
        <f ca="1">TblImps[[#This Row],[Time]]</f>
        <v>45434.208333333074</v>
      </c>
      <c r="C111" s="156"/>
      <c r="D111" s="157"/>
      <c r="E111" s="97">
        <f ca="1">TblConstr[[#This Row],[Land]]</f>
        <v>700</v>
      </c>
      <c r="F111" s="97">
        <f ca="1">TblPop[[#This Row],[Peasants]]</f>
        <v>7044</v>
      </c>
      <c r="G111" s="97">
        <f ca="1">TblMili[[#This Row],[Networth (2)]]</f>
        <v>42359.8</v>
      </c>
      <c r="H111" s="97">
        <f ca="1">OFFSET(TblProd[[#This Row],[Platinum]],-1,0)+OFFSET(TblProd[[#This Row],[Plat/hr]],-1,0) - TblProd[[#This Row],[Expenses Platinum]] + IF(TblProd[[#This Row],[Plat Bonus]],TblPop[[#This Row],[Peasants]]*4) + SUM(TblConstr[[#This Row],[Dest Hom]:[Dest Doc]])*TblConstr[[#This Row],[CPA Platinum -DB]]*tech_3_3_2*TblTech[[#This Row],[3-3]]</f>
        <v>1462385</v>
      </c>
      <c r="I111" s="97">
        <f ca="1">OFFSET(TblProd[[#This Row],[Food]],-1,0)+OFFSET(TblProd[[#This Row],[Food/hr]],-1,0)+ROUNDUP((TblConstr[[#This Row],[Farms]]*80+TblConstr[[#This Row],[Docks]]*35)*(1+OFFSET(TblProd[[#This Row],[Bonus Food/hr]],-1,0)),0)</f>
        <v>5943</v>
      </c>
      <c r="J111" s="97">
        <f ca="1">OFFSET(TblProd[[#This Row],[Lumber]],-1,0)+OFFSET(TblProd[[#This Row],[Lumber/hr]],-1,0) - TblProd[[#This Row],[Expenses Lumber]] + SUM(TblConstr[[#This Row],[Dest Hom]:[Dest Doc]])*TblConstr[[#This Row],[CPA Lumber -DB]]*tech_3_3_2*TblTech[[#This Row],[3-3]]</f>
        <v>43243</v>
      </c>
      <c r="K111" s="97">
        <f ca="1">OFFSET(TblProd[[#This Row],[Mana]],-1,0)+OFFSET(TblProd[[#This Row],[Mana/hr]],-1,0)- TblProd[[#This Row],[Expenses Mana]]</f>
        <v>9444.5</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70.250000000000071</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1" s="97">
        <f ca="1">MAX(3750,_xlfn.CEILING.MATH(TblProd[[#This Row],[Land]]*2.5+OFFSET(TblTech[[#This Row],[Sum of tech]],-1,0)*150))</f>
        <v>3750</v>
      </c>
      <c r="R111" s="145"/>
      <c r="S111" s="97">
        <f ca="1">ROUNDDOWN(TblProd[[#This Row],[Raw Plat/hr]]*(1+TblProd[[#This Row],[Bonus Plat/hr]]),0)</f>
        <v>38465</v>
      </c>
      <c r="T111" s="97">
        <f ca="1">ROUND(TblProd[[#This Row],[Raw Food/hr]]*(1+TblProd[[#This Row],[Bonus Food/hr]])-TblProd[[#This Row],[Food decay]]-TblProd[[#This Row],[Food eaten]],0)</f>
        <v>68</v>
      </c>
      <c r="U111" s="97">
        <f ca="1">ROUND(TblProd[[#This Row],[Raw Lumber/hr]]*(1+TblProd[[#This Row],[Bonus Lumber/hr]])-TblProd[[#This Row],[Lumber rot]],0)</f>
        <v>693</v>
      </c>
      <c r="V111" s="97">
        <f ca="1">ROUND(TblProd[[#This Row],[Raw Mana/hr]]*(1+TblProd[[#This Row],[Bonus Mana/hr]])-TblProd[[#This Row],[Mana drain]],0)</f>
        <v>536</v>
      </c>
      <c r="W111" s="97">
        <f ca="1">ROUNDDOWN(TblProd[[#This Row],[Raw Ore/hr]]*(1+TblProd[[#This Row],[Bonux Ore/hr]]),0)</f>
        <v>0</v>
      </c>
      <c r="X111" s="97">
        <f ca="1">ROUNDDOWN(TblProd[[#This Row],[Raw Gems/hr]]*(1+TblProd[[#This Row],[Bonus Gems/hr]]),0)</f>
        <v>0</v>
      </c>
      <c r="Y111" s="158">
        <f ca="1">OFFSET(TblConstr[[#This Row],[Tot Doc]],1,0)*dock_boats_hr * (1 + tech_4_1*TblTech[[#This Row],[4-1]])</f>
        <v>1.2000000000000002</v>
      </c>
      <c r="Z111" s="157"/>
      <c r="AA111" s="97">
        <f ca="1">TblPop[[#This Row],[Peasants]]*tax*TblPop[[#This Row],[Employment]] + (Construction!AZ112+Construction!BX112)*(alch_plat+(Magic!AM111&gt;0)*alchemist_flame_bonus)</f>
        <v>34968.800000000003</v>
      </c>
      <c r="AB111" s="97">
        <f ca="1">TblConstr[[#This Row],[Tot Farm]]*farm_food + TblConstr[[#This Row],[Tot Doc]]*dock_food</f>
        <v>3280</v>
      </c>
      <c r="AC111" s="97">
        <f ca="1">TblConstr[[#This Row],[Tot Ly]]*ly_lumber + TblConstr[[#This Row],[Tot Hav]]*fh_lumber</f>
        <v>1250</v>
      </c>
      <c r="AD111" s="97">
        <f ca="1">OFFSET(TblConstr[[#This Row],[Tot Tow]],1,0)*(tower_mana + tech_4_5*TblTech[[#This Row],[4-5]]) + OFFSET(TblConstr[[#This Row],[Tot WG]],1,0)*wg_mana_prod</f>
        <v>725</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0.1</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1" s="159">
        <f ca="1">race_lumber_bonus+ IF(TblMagic[[#This Row],[Active Gaia''s Blessing]]&gt;0,gaias_blessing_lumber)+ tech_1_3*TblTech[[#This Row],[1-3]] + tech_1_6*TblTech[[#This Row],[1-6]] + tech_3_3*TblTech[[#This Row],[3-3]]</f>
        <v>-0.1</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0.15</v>
      </c>
      <c r="AN111" s="145"/>
      <c r="AO111" s="97">
        <f ca="1">TblProd[[#This Row],[Food]]*food_decay * (1 + tech_2_1*TblTech[[#This Row],[2-1]] + tech_2_8*TblTech[[#This Row],[2-8]])</f>
        <v>59.43</v>
      </c>
      <c r="AP111" s="97">
        <f ca="1">(1+race_food_consumption)*TblPop[[#This Row],[Total]]*food_per_person*(1+tech_1_10*TblTech[[#This Row],[1-10]]+tech_7_5*TblTech[[#This Row],[7-5]])</f>
        <v>3234.75</v>
      </c>
      <c r="AQ111" s="97">
        <f ca="1">TblProd[[#This Row],[Lumber]]*lumber_rot * (1 + tech_2_1*TblTech[[#This Row],[2-1]] + tech_2_8*TblTech[[#This Row],[2-8]] + tech_5_2*TblTech[[#This Row],[5-2]])</f>
        <v>432.43</v>
      </c>
      <c r="AR111" s="97">
        <f ca="1">TblProd[[#This Row],[Mana]]*mana_drain * (1 + tech_2_1*TblTech[[#This Row],[2-1]] + tech_2_8*TblTech[[#This Row],[2-8]])</f>
        <v>188.89000000000001</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45434.208333333074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1462385</v>
      </c>
      <c r="BJ111" s="97">
        <f ca="1">TblProd[[#This Row],[Food]]</f>
        <v>5943</v>
      </c>
      <c r="BK111" s="97">
        <f ca="1">TblProd[[#This Row],[Lumber]]</f>
        <v>43243</v>
      </c>
      <c r="BL111" s="97">
        <f ca="1">TblProd[[#This Row],[Mana]]</f>
        <v>9444.5</v>
      </c>
      <c r="BM111" s="97">
        <f ca="1">TblProd[[#This Row],[Ore]]</f>
        <v>0</v>
      </c>
    </row>
    <row r="112" spans="1:65" x14ac:dyDescent="0.2">
      <c r="A112" s="140">
        <v>37</v>
      </c>
      <c r="B112" s="155">
        <f ca="1">TblImps[[#This Row],[Time]]</f>
        <v>45434.249999999738</v>
      </c>
      <c r="C112" s="156"/>
      <c r="D112" s="157"/>
      <c r="E112" s="97">
        <f ca="1">TblConstr[[#This Row],[Land]]</f>
        <v>700</v>
      </c>
      <c r="F112" s="97">
        <f ca="1">TblPop[[#This Row],[Peasants]]</f>
        <v>6974</v>
      </c>
      <c r="G112" s="97">
        <f ca="1">TblMili[[#This Row],[Networth (2)]]</f>
        <v>42359.8</v>
      </c>
      <c r="H112" s="97">
        <f ca="1">OFFSET(TblProd[[#This Row],[Platinum]],-1,0)+OFFSET(TblProd[[#This Row],[Plat/hr]],-1,0) - TblProd[[#This Row],[Expenses Platinum]] + IF(TblProd[[#This Row],[Plat Bonus]],TblPop[[#This Row],[Peasants]]*4) + SUM(TblConstr[[#This Row],[Dest Hom]:[Dest Doc]])*TblConstr[[#This Row],[CPA Platinum -DB]]*tech_3_3_2*TblTech[[#This Row],[3-3]]</f>
        <v>1500850</v>
      </c>
      <c r="I112" s="97">
        <f ca="1">OFFSET(TblProd[[#This Row],[Food]],-1,0)+OFFSET(TblProd[[#This Row],[Food/hr]],-1,0)+ROUNDUP((TblConstr[[#This Row],[Farms]]*80+TblConstr[[#This Row],[Docks]]*35)*(1+OFFSET(TblProd[[#This Row],[Bonus Food/hr]],-1,0)),0)</f>
        <v>6011</v>
      </c>
      <c r="J112" s="97">
        <f ca="1">OFFSET(TblProd[[#This Row],[Lumber]],-1,0)+OFFSET(TblProd[[#This Row],[Lumber/hr]],-1,0) - TblProd[[#This Row],[Expenses Lumber]] + SUM(TblConstr[[#This Row],[Dest Hom]:[Dest Doc]])*TblConstr[[#This Row],[CPA Lumber -DB]]*tech_3_3_2*TblTech[[#This Row],[3-3]]</f>
        <v>43936</v>
      </c>
      <c r="K112" s="97">
        <f ca="1">OFFSET(TblProd[[#This Row],[Mana]],-1,0)+OFFSET(TblProd[[#This Row],[Mana/hr]],-1,0)- TblProd[[#This Row],[Expenses Mana]]</f>
        <v>9980.5</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71.450000000000074</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2" s="97">
        <f ca="1">MAX(3750,_xlfn.CEILING.MATH(TblProd[[#This Row],[Land]]*2.5+OFFSET(TblTech[[#This Row],[Sum of tech]],-1,0)*150))</f>
        <v>3750</v>
      </c>
      <c r="R112" s="145"/>
      <c r="S112" s="97">
        <f ca="1">ROUNDDOWN(TblProd[[#This Row],[Raw Plat/hr]]*(1+TblProd[[#This Row],[Bonus Plat/hr]]),0)</f>
        <v>31204</v>
      </c>
      <c r="T112" s="97">
        <f ca="1">ROUND(TblProd[[#This Row],[Raw Food/hr]]*(1+TblProd[[#This Row],[Bonus Food/hr]])-TblProd[[#This Row],[Food decay]]-TblProd[[#This Row],[Food eaten]],0)</f>
        <v>67</v>
      </c>
      <c r="U112" s="97">
        <f ca="1">ROUND(TblProd[[#This Row],[Raw Lumber/hr]]*(1+TblProd[[#This Row],[Bonus Lumber/hr]])-TblProd[[#This Row],[Lumber rot]],0)</f>
        <v>686</v>
      </c>
      <c r="V112" s="97">
        <f ca="1">ROUND(TblProd[[#This Row],[Raw Mana/hr]]*(1+TblProd[[#This Row],[Bonus Mana/hr]])-TblProd[[#This Row],[Mana drain]],0)</f>
        <v>525</v>
      </c>
      <c r="W112" s="97">
        <f ca="1">ROUNDDOWN(TblProd[[#This Row],[Raw Ore/hr]]*(1+TblProd[[#This Row],[Bonux Ore/hr]]),0)</f>
        <v>0</v>
      </c>
      <c r="X112" s="97">
        <f ca="1">ROUNDDOWN(TblProd[[#This Row],[Raw Gems/hr]]*(1+TblProd[[#This Row],[Bonus Gems/hr]]),0)</f>
        <v>0</v>
      </c>
      <c r="Y112" s="158">
        <f ca="1">OFFSET(TblConstr[[#This Row],[Tot Doc]],1,0)*dock_boats_hr * (1 + tech_4_1*TblTech[[#This Row],[4-1]])</f>
        <v>1.2000000000000002</v>
      </c>
      <c r="Z112" s="157"/>
      <c r="AA112" s="97">
        <f ca="1">TblPop[[#This Row],[Peasants]]*tax*TblPop[[#This Row],[Employment]] + (Construction!AZ113+Construction!BX113)*(alch_plat+(Magic!AM112&gt;0)*alchemist_flame_bonus)</f>
        <v>31204.800000000003</v>
      </c>
      <c r="AB112" s="97">
        <f ca="1">TblConstr[[#This Row],[Tot Farm]]*farm_food + TblConstr[[#This Row],[Tot Doc]]*dock_food</f>
        <v>3280</v>
      </c>
      <c r="AC112" s="97">
        <f ca="1">TblConstr[[#This Row],[Tot Ly]]*ly_lumber + TblConstr[[#This Row],[Tot Hav]]*fh_lumber</f>
        <v>1250</v>
      </c>
      <c r="AD112" s="97">
        <f ca="1">OFFSET(TblConstr[[#This Row],[Tot Tow]],1,0)*(tower_mana + tech_4_5*TblTech[[#This Row],[4-5]]) + OFFSET(TblConstr[[#This Row],[Tot WG]],1,0)*wg_mana_prod</f>
        <v>725</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2" s="159">
        <f ca="1">race_lumber_bonus+ IF(TblMagic[[#This Row],[Active Gaia''s Blessing]]&gt;0,gaias_blessing_lumber)+ tech_1_3*TblTech[[#This Row],[1-3]] + tech_1_6*TblTech[[#This Row],[1-6]] + tech_3_3*TblTech[[#This Row],[3-3]]</f>
        <v>-0.1</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0.15</v>
      </c>
      <c r="AN112" s="145"/>
      <c r="AO112" s="97">
        <f ca="1">TblProd[[#This Row],[Food]]*food_decay * (1 + tech_2_1*TblTech[[#This Row],[2-1]] + tech_2_8*TblTech[[#This Row],[2-8]])</f>
        <v>60.11</v>
      </c>
      <c r="AP112" s="97">
        <f ca="1">(1+race_food_consumption)*TblPop[[#This Row],[Total]]*food_per_person*(1+tech_1_10*TblTech[[#This Row],[1-10]]+tech_7_5*TblTech[[#This Row],[7-5]])</f>
        <v>3234.75</v>
      </c>
      <c r="AQ112" s="97">
        <f ca="1">TblProd[[#This Row],[Lumber]]*lumber_rot * (1 + tech_2_1*TblTech[[#This Row],[2-1]] + tech_2_8*TblTech[[#This Row],[2-8]] + tech_5_2*TblTech[[#This Row],[5-2]])</f>
        <v>439.36</v>
      </c>
      <c r="AR112" s="97">
        <f ca="1">TblProd[[#This Row],[Mana]]*mana_drain * (1 + tech_2_1*TblTech[[#This Row],[2-1]] + tech_2_8*TblTech[[#This Row],[2-8]])</f>
        <v>199.61</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45434.249999999738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1500850</v>
      </c>
      <c r="BJ112" s="97">
        <f ca="1">TblProd[[#This Row],[Food]]</f>
        <v>6011</v>
      </c>
      <c r="BK112" s="97">
        <f ca="1">TblProd[[#This Row],[Lumber]]</f>
        <v>43936</v>
      </c>
      <c r="BL112" s="97">
        <f ca="1">TblProd[[#This Row],[Mana]]</f>
        <v>9980.5</v>
      </c>
      <c r="BM112" s="97">
        <f ca="1">TblProd[[#This Row],[Ore]]</f>
        <v>0</v>
      </c>
    </row>
    <row r="113" spans="1:65" x14ac:dyDescent="0.2">
      <c r="A113" s="140">
        <v>38</v>
      </c>
      <c r="B113" s="155">
        <f ca="1">TblImps[[#This Row],[Time]]</f>
        <v>45434.291666666402</v>
      </c>
      <c r="C113" s="156"/>
      <c r="D113" s="157"/>
      <c r="E113" s="97">
        <f ca="1">TblConstr[[#This Row],[Land]]</f>
        <v>700</v>
      </c>
      <c r="F113" s="97">
        <f ca="1">TblPop[[#This Row],[Peasants]]</f>
        <v>6904</v>
      </c>
      <c r="G113" s="97">
        <f ca="1">TblMili[[#This Row],[Networth (2)]]</f>
        <v>42359.8</v>
      </c>
      <c r="H113" s="97">
        <f ca="1">OFFSET(TblProd[[#This Row],[Platinum]],-1,0)+OFFSET(TblProd[[#This Row],[Plat/hr]],-1,0) - TblProd[[#This Row],[Expenses Platinum]] + IF(TblProd[[#This Row],[Plat Bonus]],TblPop[[#This Row],[Peasants]]*4) + SUM(TblConstr[[#This Row],[Dest Hom]:[Dest Doc]])*TblConstr[[#This Row],[CPA Platinum -DB]]*tech_3_3_2*TblTech[[#This Row],[3-3]]</f>
        <v>1532054</v>
      </c>
      <c r="I113" s="97">
        <f ca="1">OFFSET(TblProd[[#This Row],[Food]],-1,0)+OFFSET(TblProd[[#This Row],[Food/hr]],-1,0)+ROUNDUP((TblConstr[[#This Row],[Farms]]*80+TblConstr[[#This Row],[Docks]]*35)*(1+OFFSET(TblProd[[#This Row],[Bonus Food/hr]],-1,0)),0)</f>
        <v>6078</v>
      </c>
      <c r="J113" s="97">
        <f ca="1">OFFSET(TblProd[[#This Row],[Lumber]],-1,0)+OFFSET(TblProd[[#This Row],[Lumber/hr]],-1,0) - TblProd[[#This Row],[Expenses Lumber]] + SUM(TblConstr[[#This Row],[Dest Hom]:[Dest Doc]])*TblConstr[[#This Row],[CPA Lumber -DB]]*tech_3_3_2*TblTech[[#This Row],[3-3]]</f>
        <v>44622</v>
      </c>
      <c r="K113" s="97">
        <f ca="1">OFFSET(TblProd[[#This Row],[Mana]],-1,0)+OFFSET(TblProd[[#This Row],[Mana/hr]],-1,0)- TblProd[[#This Row],[Expenses Mana]]</f>
        <v>10505.5</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72.650000000000077</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3" s="97">
        <f ca="1">MAX(3750,_xlfn.CEILING.MATH(TblProd[[#This Row],[Land]]*2.5+OFFSET(TblTech[[#This Row],[Sum of tech]],-1,0)*150))</f>
        <v>3750</v>
      </c>
      <c r="R113" s="145"/>
      <c r="S113" s="97">
        <f ca="1">ROUNDDOWN(TblProd[[#This Row],[Raw Plat/hr]]*(1+TblProd[[#This Row],[Bonus Plat/hr]]),0)</f>
        <v>31015</v>
      </c>
      <c r="T113" s="97">
        <f ca="1">ROUND(TblProd[[#This Row],[Raw Food/hr]]*(1+TblProd[[#This Row],[Bonus Food/hr]])-TblProd[[#This Row],[Food decay]]-TblProd[[#This Row],[Food eaten]],0)</f>
        <v>66</v>
      </c>
      <c r="U113" s="97">
        <f ca="1">ROUND(TblProd[[#This Row],[Raw Lumber/hr]]*(1+TblProd[[#This Row],[Bonus Lumber/hr]])-TblProd[[#This Row],[Lumber rot]],0)</f>
        <v>679</v>
      </c>
      <c r="V113" s="97">
        <f ca="1">ROUND(TblProd[[#This Row],[Raw Mana/hr]]*(1+TblProd[[#This Row],[Bonus Mana/hr]])-TblProd[[#This Row],[Mana drain]],0)</f>
        <v>515</v>
      </c>
      <c r="W113" s="97">
        <f ca="1">ROUNDDOWN(TblProd[[#This Row],[Raw Ore/hr]]*(1+TblProd[[#This Row],[Bonux Ore/hr]]),0)</f>
        <v>0</v>
      </c>
      <c r="X113" s="97">
        <f ca="1">ROUNDDOWN(TblProd[[#This Row],[Raw Gems/hr]]*(1+TblProd[[#This Row],[Bonus Gems/hr]]),0)</f>
        <v>0</v>
      </c>
      <c r="Y113" s="158">
        <f ca="1">OFFSET(TblConstr[[#This Row],[Tot Doc]],1,0)*dock_boats_hr * (1 + tech_4_1*TblTech[[#This Row],[4-1]])</f>
        <v>1.2000000000000002</v>
      </c>
      <c r="Z113" s="157"/>
      <c r="AA113" s="97">
        <f ca="1">TblPop[[#This Row],[Peasants]]*tax*TblPop[[#This Row],[Employment]] + (Construction!AZ114+Construction!BX114)*(alch_plat+(Magic!AM113&gt;0)*alchemist_flame_bonus)</f>
        <v>31015.800000000003</v>
      </c>
      <c r="AB113" s="97">
        <f ca="1">TblConstr[[#This Row],[Tot Farm]]*farm_food + TblConstr[[#This Row],[Tot Doc]]*dock_food</f>
        <v>3280</v>
      </c>
      <c r="AC113" s="97">
        <f ca="1">TblConstr[[#This Row],[Tot Ly]]*ly_lumber + TblConstr[[#This Row],[Tot Hav]]*fh_lumber</f>
        <v>1250</v>
      </c>
      <c r="AD113" s="97">
        <f ca="1">OFFSET(TblConstr[[#This Row],[Tot Tow]],1,0)*(tower_mana + tech_4_5*TblTech[[#This Row],[4-5]]) + OFFSET(TblConstr[[#This Row],[Tot WG]],1,0)*wg_mana_prod</f>
        <v>725</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3" s="159">
        <f ca="1">race_lumber_bonus+ IF(TblMagic[[#This Row],[Active Gaia''s Blessing]]&gt;0,gaias_blessing_lumber)+ tech_1_3*TblTech[[#This Row],[1-3]] + tech_1_6*TblTech[[#This Row],[1-6]] + tech_3_3*TblTech[[#This Row],[3-3]]</f>
        <v>-0.1</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0.15</v>
      </c>
      <c r="AN113" s="145"/>
      <c r="AO113" s="97">
        <f ca="1">TblProd[[#This Row],[Food]]*food_decay * (1 + tech_2_1*TblTech[[#This Row],[2-1]] + tech_2_8*TblTech[[#This Row],[2-8]])</f>
        <v>60.78</v>
      </c>
      <c r="AP113" s="97">
        <f ca="1">(1+race_food_consumption)*TblPop[[#This Row],[Total]]*food_per_person*(1+tech_1_10*TblTech[[#This Row],[1-10]]+tech_7_5*TblTech[[#This Row],[7-5]])</f>
        <v>3234.75</v>
      </c>
      <c r="AQ113" s="97">
        <f ca="1">TblProd[[#This Row],[Lumber]]*lumber_rot * (1 + tech_2_1*TblTech[[#This Row],[2-1]] + tech_2_8*TblTech[[#This Row],[2-8]] + tech_5_2*TblTech[[#This Row],[5-2]])</f>
        <v>446.22</v>
      </c>
      <c r="AR113" s="97">
        <f ca="1">TblProd[[#This Row],[Mana]]*mana_drain * (1 + tech_2_1*TblTech[[#This Row],[2-1]] + tech_2_8*TblTech[[#This Row],[2-8]])</f>
        <v>210.11</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45434.291666666402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1532054</v>
      </c>
      <c r="BJ113" s="97">
        <f ca="1">TblProd[[#This Row],[Food]]</f>
        <v>6078</v>
      </c>
      <c r="BK113" s="97">
        <f ca="1">TblProd[[#This Row],[Lumber]]</f>
        <v>44622</v>
      </c>
      <c r="BL113" s="97">
        <f ca="1">TblProd[[#This Row],[Mana]]</f>
        <v>10505.5</v>
      </c>
      <c r="BM113" s="97">
        <f ca="1">TblProd[[#This Row],[Ore]]</f>
        <v>0</v>
      </c>
    </row>
    <row r="114" spans="1:65" x14ac:dyDescent="0.2">
      <c r="A114" s="140">
        <v>39</v>
      </c>
      <c r="B114" s="155">
        <f ca="1">TblImps[[#This Row],[Time]]</f>
        <v>45434.333333333067</v>
      </c>
      <c r="C114" s="156"/>
      <c r="D114" s="157"/>
      <c r="E114" s="97">
        <f ca="1">TblConstr[[#This Row],[Land]]</f>
        <v>700</v>
      </c>
      <c r="F114" s="97">
        <f ca="1">TblPop[[#This Row],[Peasants]]</f>
        <v>6835</v>
      </c>
      <c r="G114" s="97">
        <f ca="1">TblMili[[#This Row],[Networth (2)]]</f>
        <v>42359.8</v>
      </c>
      <c r="H114" s="97">
        <f ca="1">OFFSET(TblProd[[#This Row],[Platinum]],-1,0)+OFFSET(TblProd[[#This Row],[Plat/hr]],-1,0) - TblProd[[#This Row],[Expenses Platinum]] + IF(TblProd[[#This Row],[Plat Bonus]],TblPop[[#This Row],[Peasants]]*4) + SUM(TblConstr[[#This Row],[Dest Hom]:[Dest Doc]])*TblConstr[[#This Row],[CPA Platinum -DB]]*tech_3_3_2*TblTech[[#This Row],[3-3]]</f>
        <v>1563069</v>
      </c>
      <c r="I114" s="97">
        <f ca="1">OFFSET(TblProd[[#This Row],[Food]],-1,0)+OFFSET(TblProd[[#This Row],[Food/hr]],-1,0)+ROUNDUP((TblConstr[[#This Row],[Farms]]*80+TblConstr[[#This Row],[Docks]]*35)*(1+OFFSET(TblProd[[#This Row],[Bonus Food/hr]],-1,0)),0)</f>
        <v>6144</v>
      </c>
      <c r="J114" s="97">
        <f ca="1">OFFSET(TblProd[[#This Row],[Lumber]],-1,0)+OFFSET(TblProd[[#This Row],[Lumber/hr]],-1,0) - TblProd[[#This Row],[Expenses Lumber]] + SUM(TblConstr[[#This Row],[Dest Hom]:[Dest Doc]])*TblConstr[[#This Row],[CPA Lumber -DB]]*tech_3_3_2*TblTech[[#This Row],[3-3]]</f>
        <v>45301</v>
      </c>
      <c r="K114" s="97">
        <f ca="1">OFFSET(TblProd[[#This Row],[Mana]],-1,0)+OFFSET(TblProd[[#This Row],[Mana/hr]],-1,0)- TblProd[[#This Row],[Expenses Mana]]</f>
        <v>11020.5</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73.85000000000008</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4" s="97">
        <f ca="1">MAX(3750,_xlfn.CEILING.MATH(TblProd[[#This Row],[Land]]*2.5+OFFSET(TblTech[[#This Row],[Sum of tech]],-1,0)*150))</f>
        <v>3750</v>
      </c>
      <c r="R114" s="145"/>
      <c r="S114" s="97">
        <f ca="1">ROUNDDOWN(TblProd[[#This Row],[Raw Plat/hr]]*(1+TblProd[[#This Row],[Bonus Plat/hr]]),0)</f>
        <v>30829</v>
      </c>
      <c r="T114" s="97">
        <f ca="1">ROUND(TblProd[[#This Row],[Raw Food/hr]]*(1+TblProd[[#This Row],[Bonus Food/hr]])-TblProd[[#This Row],[Food decay]]-TblProd[[#This Row],[Food eaten]],0)</f>
        <v>66</v>
      </c>
      <c r="U114" s="97">
        <f ca="1">ROUND(TblProd[[#This Row],[Raw Lumber/hr]]*(1+TblProd[[#This Row],[Bonus Lumber/hr]])-TblProd[[#This Row],[Lumber rot]],0)</f>
        <v>672</v>
      </c>
      <c r="V114" s="97">
        <f ca="1">ROUND(TblProd[[#This Row],[Raw Mana/hr]]*(1+TblProd[[#This Row],[Bonus Mana/hr]])-TblProd[[#This Row],[Mana drain]],0)</f>
        <v>505</v>
      </c>
      <c r="W114" s="97">
        <f ca="1">ROUNDDOWN(TblProd[[#This Row],[Raw Ore/hr]]*(1+TblProd[[#This Row],[Bonux Ore/hr]]),0)</f>
        <v>0</v>
      </c>
      <c r="X114" s="97">
        <f ca="1">ROUNDDOWN(TblProd[[#This Row],[Raw Gems/hr]]*(1+TblProd[[#This Row],[Bonus Gems/hr]]),0)</f>
        <v>0</v>
      </c>
      <c r="Y114" s="158">
        <f ca="1">OFFSET(TblConstr[[#This Row],[Tot Doc]],1,0)*dock_boats_hr * (1 + tech_4_1*TblTech[[#This Row],[4-1]])</f>
        <v>1.2000000000000002</v>
      </c>
      <c r="Z114" s="157"/>
      <c r="AA114" s="97">
        <f ca="1">TblPop[[#This Row],[Peasants]]*tax*TblPop[[#This Row],[Employment]] + (Construction!AZ115+Construction!BX115)*(alch_plat+(Magic!AM114&gt;0)*alchemist_flame_bonus)</f>
        <v>30829.5</v>
      </c>
      <c r="AB114" s="97">
        <f ca="1">TblConstr[[#This Row],[Tot Farm]]*farm_food + TblConstr[[#This Row],[Tot Doc]]*dock_food</f>
        <v>3280</v>
      </c>
      <c r="AC114" s="97">
        <f ca="1">TblConstr[[#This Row],[Tot Ly]]*ly_lumber + TblConstr[[#This Row],[Tot Hav]]*fh_lumber</f>
        <v>1250</v>
      </c>
      <c r="AD114" s="97">
        <f ca="1">OFFSET(TblConstr[[#This Row],[Tot Tow]],1,0)*(tower_mana + tech_4_5*TblTech[[#This Row],[4-5]]) + OFFSET(TblConstr[[#This Row],[Tot WG]],1,0)*wg_mana_prod</f>
        <v>725</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4" s="159">
        <f ca="1">race_lumber_bonus+ IF(TblMagic[[#This Row],[Active Gaia''s Blessing]]&gt;0,gaias_blessing_lumber)+ tech_1_3*TblTech[[#This Row],[1-3]] + tech_1_6*TblTech[[#This Row],[1-6]] + tech_3_3*TblTech[[#This Row],[3-3]]</f>
        <v>-0.1</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0.15</v>
      </c>
      <c r="AN114" s="145"/>
      <c r="AO114" s="97">
        <f ca="1">TblProd[[#This Row],[Food]]*food_decay * (1 + tech_2_1*TblTech[[#This Row],[2-1]] + tech_2_8*TblTech[[#This Row],[2-8]])</f>
        <v>61.44</v>
      </c>
      <c r="AP114" s="97">
        <f ca="1">(1+race_food_consumption)*TblPop[[#This Row],[Total]]*food_per_person*(1+tech_1_10*TblTech[[#This Row],[1-10]]+tech_7_5*TblTech[[#This Row],[7-5]])</f>
        <v>3234.75</v>
      </c>
      <c r="AQ114" s="97">
        <f ca="1">TblProd[[#This Row],[Lumber]]*lumber_rot * (1 + tech_2_1*TblTech[[#This Row],[2-1]] + tech_2_8*TblTech[[#This Row],[2-8]] + tech_5_2*TblTech[[#This Row],[5-2]])</f>
        <v>453.01</v>
      </c>
      <c r="AR114" s="97">
        <f ca="1">TblProd[[#This Row],[Mana]]*mana_drain * (1 + tech_2_1*TblTech[[#This Row],[2-1]] + tech_2_8*TblTech[[#This Row],[2-8]])</f>
        <v>220.41</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45434.333333333067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1563069</v>
      </c>
      <c r="BJ114" s="97">
        <f ca="1">TblProd[[#This Row],[Food]]</f>
        <v>6144</v>
      </c>
      <c r="BK114" s="97">
        <f ca="1">TblProd[[#This Row],[Lumber]]</f>
        <v>45301</v>
      </c>
      <c r="BL114" s="97">
        <f ca="1">TblProd[[#This Row],[Mana]]</f>
        <v>11020.5</v>
      </c>
      <c r="BM114" s="97">
        <f ca="1">TblProd[[#This Row],[Ore]]</f>
        <v>0</v>
      </c>
    </row>
    <row r="115" spans="1:65" x14ac:dyDescent="0.2">
      <c r="A115" s="140">
        <v>40</v>
      </c>
      <c r="B115" s="155">
        <f ca="1">TblImps[[#This Row],[Time]]</f>
        <v>45434.374999999731</v>
      </c>
      <c r="C115" s="156"/>
      <c r="D115" s="157"/>
      <c r="E115" s="97">
        <f ca="1">TblConstr[[#This Row],[Land]]</f>
        <v>700</v>
      </c>
      <c r="F115" s="97">
        <f ca="1">TblPop[[#This Row],[Peasants]]</f>
        <v>6767</v>
      </c>
      <c r="G115" s="97">
        <f ca="1">TblMili[[#This Row],[Networth (2)]]</f>
        <v>42359.8</v>
      </c>
      <c r="H115" s="97">
        <f ca="1">OFFSET(TblProd[[#This Row],[Platinum]],-1,0)+OFFSET(TblProd[[#This Row],[Plat/hr]],-1,0) - TblProd[[#This Row],[Expenses Platinum]] + IF(TblProd[[#This Row],[Plat Bonus]],TblPop[[#This Row],[Peasants]]*4) + SUM(TblConstr[[#This Row],[Dest Hom]:[Dest Doc]])*TblConstr[[#This Row],[CPA Platinum -DB]]*tech_3_3_2*TblTech[[#This Row],[3-3]]</f>
        <v>1593898</v>
      </c>
      <c r="I115" s="97">
        <f ca="1">OFFSET(TblProd[[#This Row],[Food]],-1,0)+OFFSET(TblProd[[#This Row],[Food/hr]],-1,0)+ROUNDUP((TblConstr[[#This Row],[Farms]]*80+TblConstr[[#This Row],[Docks]]*35)*(1+OFFSET(TblProd[[#This Row],[Bonus Food/hr]],-1,0)),0)</f>
        <v>6210</v>
      </c>
      <c r="J115" s="97">
        <f ca="1">OFFSET(TblProd[[#This Row],[Lumber]],-1,0)+OFFSET(TblProd[[#This Row],[Lumber/hr]],-1,0) - TblProd[[#This Row],[Expenses Lumber]] + SUM(TblConstr[[#This Row],[Dest Hom]:[Dest Doc]])*TblConstr[[#This Row],[CPA Lumber -DB]]*tech_3_3_2*TblTech[[#This Row],[3-3]]</f>
        <v>45973</v>
      </c>
      <c r="K115" s="97">
        <f ca="1">OFFSET(TblProd[[#This Row],[Mana]],-1,0)+OFFSET(TblProd[[#This Row],[Mana/hr]],-1,0)- TblProd[[#This Row],[Expenses Mana]]</f>
        <v>11525.5</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75.050000000000082</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5" s="97">
        <f ca="1">MAX(3750,_xlfn.CEILING.MATH(TblProd[[#This Row],[Land]]*2.5+OFFSET(TblTech[[#This Row],[Sum of tech]],-1,0)*150))</f>
        <v>3750</v>
      </c>
      <c r="R115" s="145"/>
      <c r="S115" s="97">
        <f ca="1">ROUNDDOWN(TblProd[[#This Row],[Raw Plat/hr]]*(1+TblProd[[#This Row],[Bonus Plat/hr]]),0)</f>
        <v>30645</v>
      </c>
      <c r="T115" s="97">
        <f ca="1">ROUND(TblProd[[#This Row],[Raw Food/hr]]*(1+TblProd[[#This Row],[Bonus Food/hr]])-TblProd[[#This Row],[Food decay]]-TblProd[[#This Row],[Food eaten]],0)</f>
        <v>65</v>
      </c>
      <c r="U115" s="97">
        <f ca="1">ROUND(TblProd[[#This Row],[Raw Lumber/hr]]*(1+TblProd[[#This Row],[Bonus Lumber/hr]])-TblProd[[#This Row],[Lumber rot]],0)</f>
        <v>665</v>
      </c>
      <c r="V115" s="97">
        <f ca="1">ROUND(TblProd[[#This Row],[Raw Mana/hr]]*(1+TblProd[[#This Row],[Bonus Mana/hr]])-TblProd[[#This Row],[Mana drain]],0)</f>
        <v>494</v>
      </c>
      <c r="W115" s="97">
        <f ca="1">ROUNDDOWN(TblProd[[#This Row],[Raw Ore/hr]]*(1+TblProd[[#This Row],[Bonux Ore/hr]]),0)</f>
        <v>0</v>
      </c>
      <c r="X115" s="97">
        <f ca="1">ROUNDDOWN(TblProd[[#This Row],[Raw Gems/hr]]*(1+TblProd[[#This Row],[Bonus Gems/hr]]),0)</f>
        <v>0</v>
      </c>
      <c r="Y115" s="158">
        <f ca="1">OFFSET(TblConstr[[#This Row],[Tot Doc]],1,0)*dock_boats_hr * (1 + tech_4_1*TblTech[[#This Row],[4-1]])</f>
        <v>1.2000000000000002</v>
      </c>
      <c r="Z115" s="157"/>
      <c r="AA115" s="97">
        <f ca="1">TblPop[[#This Row],[Peasants]]*tax*TblPop[[#This Row],[Employment]] + (Construction!AZ116+Construction!BX116)*(alch_plat+(Magic!AM115&gt;0)*alchemist_flame_bonus)</f>
        <v>30645.9</v>
      </c>
      <c r="AB115" s="97">
        <f ca="1">TblConstr[[#This Row],[Tot Farm]]*farm_food + TblConstr[[#This Row],[Tot Doc]]*dock_food</f>
        <v>3280</v>
      </c>
      <c r="AC115" s="97">
        <f ca="1">TblConstr[[#This Row],[Tot Ly]]*ly_lumber + TblConstr[[#This Row],[Tot Hav]]*fh_lumber</f>
        <v>1250</v>
      </c>
      <c r="AD115" s="97">
        <f ca="1">OFFSET(TblConstr[[#This Row],[Tot Tow]],1,0)*(tower_mana + tech_4_5*TblTech[[#This Row],[4-5]]) + OFFSET(TblConstr[[#This Row],[Tot WG]],1,0)*wg_mana_prod</f>
        <v>725</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5" s="159">
        <f ca="1">race_lumber_bonus+ IF(TblMagic[[#This Row],[Active Gaia''s Blessing]]&gt;0,gaias_blessing_lumber)+ tech_1_3*TblTech[[#This Row],[1-3]] + tech_1_6*TblTech[[#This Row],[1-6]] + tech_3_3*TblTech[[#This Row],[3-3]]</f>
        <v>-0.1</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0.15</v>
      </c>
      <c r="AN115" s="145"/>
      <c r="AO115" s="97">
        <f ca="1">TblProd[[#This Row],[Food]]*food_decay * (1 + tech_2_1*TblTech[[#This Row],[2-1]] + tech_2_8*TblTech[[#This Row],[2-8]])</f>
        <v>62.1</v>
      </c>
      <c r="AP115" s="97">
        <f ca="1">(1+race_food_consumption)*TblPop[[#This Row],[Total]]*food_per_person*(1+tech_1_10*TblTech[[#This Row],[1-10]]+tech_7_5*TblTech[[#This Row],[7-5]])</f>
        <v>3234.75</v>
      </c>
      <c r="AQ115" s="97">
        <f ca="1">TblProd[[#This Row],[Lumber]]*lumber_rot * (1 + tech_2_1*TblTech[[#This Row],[2-1]] + tech_2_8*TblTech[[#This Row],[2-8]] + tech_5_2*TblTech[[#This Row],[5-2]])</f>
        <v>459.73</v>
      </c>
      <c r="AR115" s="97">
        <f ca="1">TblProd[[#This Row],[Mana]]*mana_drain * (1 + tech_2_1*TblTech[[#This Row],[2-1]] + tech_2_8*TblTech[[#This Row],[2-8]])</f>
        <v>230.51</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45434.374999999731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1593898</v>
      </c>
      <c r="BJ115" s="97">
        <f ca="1">TblProd[[#This Row],[Food]]</f>
        <v>6210</v>
      </c>
      <c r="BK115" s="97">
        <f ca="1">TblProd[[#This Row],[Lumber]]</f>
        <v>45973</v>
      </c>
      <c r="BL115" s="97">
        <f ca="1">TblProd[[#This Row],[Mana]]</f>
        <v>11525.5</v>
      </c>
      <c r="BM115" s="97">
        <f ca="1">TblProd[[#This Row],[Ore]]</f>
        <v>0</v>
      </c>
    </row>
    <row r="116" spans="1:65" x14ac:dyDescent="0.2">
      <c r="A116" s="140">
        <v>41</v>
      </c>
      <c r="B116" s="155">
        <f ca="1">TblImps[[#This Row],[Time]]</f>
        <v>45434.416666666395</v>
      </c>
      <c r="C116" s="156"/>
      <c r="D116" s="157"/>
      <c r="E116" s="97">
        <f ca="1">TblConstr[[#This Row],[Land]]</f>
        <v>700</v>
      </c>
      <c r="F116" s="97">
        <f ca="1">TblPop[[#This Row],[Peasants]]</f>
        <v>6699</v>
      </c>
      <c r="G116" s="97">
        <f ca="1">TblMili[[#This Row],[Networth (2)]]</f>
        <v>42359.8</v>
      </c>
      <c r="H116" s="97">
        <f ca="1">OFFSET(TblProd[[#This Row],[Platinum]],-1,0)+OFFSET(TblProd[[#This Row],[Plat/hr]],-1,0) - TblProd[[#This Row],[Expenses Platinum]] + IF(TblProd[[#This Row],[Plat Bonus]],TblPop[[#This Row],[Peasants]]*4) + SUM(TblConstr[[#This Row],[Dest Hom]:[Dest Doc]])*TblConstr[[#This Row],[CPA Platinum -DB]]*tech_3_3_2*TblTech[[#This Row],[3-3]]</f>
        <v>1624543</v>
      </c>
      <c r="I116" s="97">
        <f ca="1">OFFSET(TblProd[[#This Row],[Food]],-1,0)+OFFSET(TblProd[[#This Row],[Food/hr]],-1,0)+ROUNDUP((TblConstr[[#This Row],[Farms]]*80+TblConstr[[#This Row],[Docks]]*35)*(1+OFFSET(TblProd[[#This Row],[Bonus Food/hr]],-1,0)),0)</f>
        <v>6275</v>
      </c>
      <c r="J116" s="97">
        <f ca="1">OFFSET(TblProd[[#This Row],[Lumber]],-1,0)+OFFSET(TblProd[[#This Row],[Lumber/hr]],-1,0) - TblProd[[#This Row],[Expenses Lumber]] + SUM(TblConstr[[#This Row],[Dest Hom]:[Dest Doc]])*TblConstr[[#This Row],[CPA Lumber -DB]]*tech_3_3_2*TblTech[[#This Row],[3-3]]</f>
        <v>46638</v>
      </c>
      <c r="K116" s="97">
        <f ca="1">OFFSET(TblProd[[#This Row],[Mana]],-1,0)+OFFSET(TblProd[[#This Row],[Mana/hr]],-1,0)- TblProd[[#This Row],[Expenses Mana]]</f>
        <v>12019.5</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76.250000000000085</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6" s="97">
        <f ca="1">MAX(3750,_xlfn.CEILING.MATH(TblProd[[#This Row],[Land]]*2.5+OFFSET(TblTech[[#This Row],[Sum of tech]],-1,0)*150))</f>
        <v>3750</v>
      </c>
      <c r="R116" s="145"/>
      <c r="S116" s="97">
        <f ca="1">ROUNDDOWN(TblProd[[#This Row],[Raw Plat/hr]]*(1+TblProd[[#This Row],[Bonus Plat/hr]]),0)</f>
        <v>30462</v>
      </c>
      <c r="T116" s="97">
        <f ca="1">ROUND(TblProd[[#This Row],[Raw Food/hr]]*(1+TblProd[[#This Row],[Bonus Food/hr]])-TblProd[[#This Row],[Food decay]]-TblProd[[#This Row],[Food eaten]],0)</f>
        <v>64</v>
      </c>
      <c r="U116" s="97">
        <f ca="1">ROUND(TblProd[[#This Row],[Raw Lumber/hr]]*(1+TblProd[[#This Row],[Bonus Lumber/hr]])-TblProd[[#This Row],[Lumber rot]],0)</f>
        <v>659</v>
      </c>
      <c r="V116" s="97">
        <f ca="1">ROUND(TblProd[[#This Row],[Raw Mana/hr]]*(1+TblProd[[#This Row],[Bonus Mana/hr]])-TblProd[[#This Row],[Mana drain]],0)</f>
        <v>485</v>
      </c>
      <c r="W116" s="97">
        <f ca="1">ROUNDDOWN(TblProd[[#This Row],[Raw Ore/hr]]*(1+TblProd[[#This Row],[Bonux Ore/hr]]),0)</f>
        <v>0</v>
      </c>
      <c r="X116" s="97">
        <f ca="1">ROUNDDOWN(TblProd[[#This Row],[Raw Gems/hr]]*(1+TblProd[[#This Row],[Bonus Gems/hr]]),0)</f>
        <v>0</v>
      </c>
      <c r="Y116" s="158">
        <f ca="1">OFFSET(TblConstr[[#This Row],[Tot Doc]],1,0)*dock_boats_hr * (1 + tech_4_1*TblTech[[#This Row],[4-1]])</f>
        <v>1.2000000000000002</v>
      </c>
      <c r="Z116" s="157"/>
      <c r="AA116" s="97">
        <f ca="1">TblPop[[#This Row],[Peasants]]*tax*TblPop[[#This Row],[Employment]] + (Construction!AZ117+Construction!BX117)*(alch_plat+(Magic!AM116&gt;0)*alchemist_flame_bonus)</f>
        <v>30462.300000000003</v>
      </c>
      <c r="AB116" s="97">
        <f ca="1">TblConstr[[#This Row],[Tot Farm]]*farm_food + TblConstr[[#This Row],[Tot Doc]]*dock_food</f>
        <v>3280</v>
      </c>
      <c r="AC116" s="97">
        <f ca="1">TblConstr[[#This Row],[Tot Ly]]*ly_lumber + TblConstr[[#This Row],[Tot Hav]]*fh_lumber</f>
        <v>1250</v>
      </c>
      <c r="AD116" s="97">
        <f ca="1">OFFSET(TblConstr[[#This Row],[Tot Tow]],1,0)*(tower_mana + tech_4_5*TblTech[[#This Row],[4-5]]) + OFFSET(TblConstr[[#This Row],[Tot WG]],1,0)*wg_mana_prod</f>
        <v>725</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6" s="159">
        <f ca="1">race_lumber_bonus+ IF(TblMagic[[#This Row],[Active Gaia''s Blessing]]&gt;0,gaias_blessing_lumber)+ tech_1_3*TblTech[[#This Row],[1-3]] + tech_1_6*TblTech[[#This Row],[1-6]] + tech_3_3*TblTech[[#This Row],[3-3]]</f>
        <v>-0.1</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0.15</v>
      </c>
      <c r="AN116" s="145"/>
      <c r="AO116" s="97">
        <f ca="1">TblProd[[#This Row],[Food]]*food_decay * (1 + tech_2_1*TblTech[[#This Row],[2-1]] + tech_2_8*TblTech[[#This Row],[2-8]])</f>
        <v>62.75</v>
      </c>
      <c r="AP116" s="97">
        <f ca="1">(1+race_food_consumption)*TblPop[[#This Row],[Total]]*food_per_person*(1+tech_1_10*TblTech[[#This Row],[1-10]]+tech_7_5*TblTech[[#This Row],[7-5]])</f>
        <v>3234.75</v>
      </c>
      <c r="AQ116" s="97">
        <f ca="1">TblProd[[#This Row],[Lumber]]*lumber_rot * (1 + tech_2_1*TblTech[[#This Row],[2-1]] + tech_2_8*TblTech[[#This Row],[2-8]] + tech_5_2*TblTech[[#This Row],[5-2]])</f>
        <v>466.38</v>
      </c>
      <c r="AR116" s="97">
        <f ca="1">TblProd[[#This Row],[Mana]]*mana_drain * (1 + tech_2_1*TblTech[[#This Row],[2-1]] + tech_2_8*TblTech[[#This Row],[2-8]])</f>
        <v>240.39000000000001</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45434.416666666395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1624543</v>
      </c>
      <c r="BJ116" s="97">
        <f ca="1">TblProd[[#This Row],[Food]]</f>
        <v>6275</v>
      </c>
      <c r="BK116" s="97">
        <f ca="1">TblProd[[#This Row],[Lumber]]</f>
        <v>46638</v>
      </c>
      <c r="BL116" s="97">
        <f ca="1">TblProd[[#This Row],[Mana]]</f>
        <v>12019.5</v>
      </c>
      <c r="BM116" s="97">
        <f ca="1">TblProd[[#This Row],[Ore]]</f>
        <v>0</v>
      </c>
    </row>
    <row r="117" spans="1:65" x14ac:dyDescent="0.2">
      <c r="A117" s="140">
        <v>42</v>
      </c>
      <c r="B117" s="155">
        <f ca="1">TblImps[[#This Row],[Time]]</f>
        <v>45434.458333333059</v>
      </c>
      <c r="C117" s="156"/>
      <c r="D117" s="157"/>
      <c r="E117" s="97">
        <f ca="1">TblConstr[[#This Row],[Land]]</f>
        <v>700</v>
      </c>
      <c r="F117" s="97">
        <f ca="1">TblPop[[#This Row],[Peasants]]</f>
        <v>6632</v>
      </c>
      <c r="G117" s="97">
        <f ca="1">TblMili[[#This Row],[Networth (2)]]</f>
        <v>42359.8</v>
      </c>
      <c r="H117" s="97">
        <f ca="1">OFFSET(TblProd[[#This Row],[Platinum]],-1,0)+OFFSET(TblProd[[#This Row],[Plat/hr]],-1,0) - TblProd[[#This Row],[Expenses Platinum]] + IF(TblProd[[#This Row],[Plat Bonus]],TblPop[[#This Row],[Peasants]]*4) + SUM(TblConstr[[#This Row],[Dest Hom]:[Dest Doc]])*TblConstr[[#This Row],[CPA Platinum -DB]]*tech_3_3_2*TblTech[[#This Row],[3-3]]</f>
        <v>1655005</v>
      </c>
      <c r="I117" s="97">
        <f ca="1">OFFSET(TblProd[[#This Row],[Food]],-1,0)+OFFSET(TblProd[[#This Row],[Food/hr]],-1,0)+ROUNDUP((TblConstr[[#This Row],[Farms]]*80+TblConstr[[#This Row],[Docks]]*35)*(1+OFFSET(TblProd[[#This Row],[Bonus Food/hr]],-1,0)),0)</f>
        <v>6339</v>
      </c>
      <c r="J117" s="97">
        <f ca="1">OFFSET(TblProd[[#This Row],[Lumber]],-1,0)+OFFSET(TblProd[[#This Row],[Lumber/hr]],-1,0) - TblProd[[#This Row],[Expenses Lumber]] + SUM(TblConstr[[#This Row],[Dest Hom]:[Dest Doc]])*TblConstr[[#This Row],[CPA Lumber -DB]]*tech_3_3_2*TblTech[[#This Row],[3-3]]</f>
        <v>47297</v>
      </c>
      <c r="K117" s="97">
        <f ca="1">OFFSET(TblProd[[#This Row],[Mana]],-1,0)+OFFSET(TblProd[[#This Row],[Mana/hr]],-1,0)- TblProd[[#This Row],[Expenses Mana]]</f>
        <v>12504.5</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77.450000000000088</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7" s="97">
        <f ca="1">MAX(3750,_xlfn.CEILING.MATH(TblProd[[#This Row],[Land]]*2.5+OFFSET(TblTech[[#This Row],[Sum of tech]],-1,0)*150))</f>
        <v>3750</v>
      </c>
      <c r="R117" s="145"/>
      <c r="S117" s="97">
        <f ca="1">ROUNDDOWN(TblProd[[#This Row],[Raw Plat/hr]]*(1+TblProd[[#This Row],[Bonus Plat/hr]]),0)</f>
        <v>30281</v>
      </c>
      <c r="T117" s="97">
        <f ca="1">ROUND(TblProd[[#This Row],[Raw Food/hr]]*(1+TblProd[[#This Row],[Bonus Food/hr]])-TblProd[[#This Row],[Food decay]]-TblProd[[#This Row],[Food eaten]],0)</f>
        <v>64</v>
      </c>
      <c r="U117" s="97">
        <f ca="1">ROUND(TblProd[[#This Row],[Raw Lumber/hr]]*(1+TblProd[[#This Row],[Bonus Lumber/hr]])-TblProd[[#This Row],[Lumber rot]],0)</f>
        <v>652</v>
      </c>
      <c r="V117" s="97">
        <f ca="1">ROUND(TblProd[[#This Row],[Raw Mana/hr]]*(1+TblProd[[#This Row],[Bonus Mana/hr]])-TblProd[[#This Row],[Mana drain]],0)</f>
        <v>475</v>
      </c>
      <c r="W117" s="97">
        <f ca="1">ROUNDDOWN(TblProd[[#This Row],[Raw Ore/hr]]*(1+TblProd[[#This Row],[Bonux Ore/hr]]),0)</f>
        <v>0</v>
      </c>
      <c r="X117" s="97">
        <f ca="1">ROUNDDOWN(TblProd[[#This Row],[Raw Gems/hr]]*(1+TblProd[[#This Row],[Bonus Gems/hr]]),0)</f>
        <v>0</v>
      </c>
      <c r="Y117" s="158">
        <f ca="1">OFFSET(TblConstr[[#This Row],[Tot Doc]],1,0)*dock_boats_hr * (1 + tech_4_1*TblTech[[#This Row],[4-1]])</f>
        <v>1.2000000000000002</v>
      </c>
      <c r="Z117" s="157"/>
      <c r="AA117" s="97">
        <f ca="1">TblPop[[#This Row],[Peasants]]*tax*TblPop[[#This Row],[Employment]] + (Construction!AZ118+Construction!BX118)*(alch_plat+(Magic!AM117&gt;0)*alchemist_flame_bonus)</f>
        <v>30281.4</v>
      </c>
      <c r="AB117" s="97">
        <f ca="1">TblConstr[[#This Row],[Tot Farm]]*farm_food + TblConstr[[#This Row],[Tot Doc]]*dock_food</f>
        <v>3280</v>
      </c>
      <c r="AC117" s="97">
        <f ca="1">TblConstr[[#This Row],[Tot Ly]]*ly_lumber + TblConstr[[#This Row],[Tot Hav]]*fh_lumber</f>
        <v>1250</v>
      </c>
      <c r="AD117" s="97">
        <f ca="1">OFFSET(TblConstr[[#This Row],[Tot Tow]],1,0)*(tower_mana + tech_4_5*TblTech[[#This Row],[4-5]]) + OFFSET(TblConstr[[#This Row],[Tot WG]],1,0)*wg_mana_prod</f>
        <v>725</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7" s="159">
        <f ca="1">race_lumber_bonus+ IF(TblMagic[[#This Row],[Active Gaia''s Blessing]]&gt;0,gaias_blessing_lumber)+ tech_1_3*TblTech[[#This Row],[1-3]] + tech_1_6*TblTech[[#This Row],[1-6]] + tech_3_3*TblTech[[#This Row],[3-3]]</f>
        <v>-0.1</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0.15</v>
      </c>
      <c r="AN117" s="145"/>
      <c r="AO117" s="97">
        <f ca="1">TblProd[[#This Row],[Food]]*food_decay * (1 + tech_2_1*TblTech[[#This Row],[2-1]] + tech_2_8*TblTech[[#This Row],[2-8]])</f>
        <v>63.39</v>
      </c>
      <c r="AP117" s="97">
        <f ca="1">(1+race_food_consumption)*TblPop[[#This Row],[Total]]*food_per_person*(1+tech_1_10*TblTech[[#This Row],[1-10]]+tech_7_5*TblTech[[#This Row],[7-5]])</f>
        <v>3234.75</v>
      </c>
      <c r="AQ117" s="97">
        <f ca="1">TblProd[[#This Row],[Lumber]]*lumber_rot * (1 + tech_2_1*TblTech[[#This Row],[2-1]] + tech_2_8*TblTech[[#This Row],[2-8]] + tech_5_2*TblTech[[#This Row],[5-2]])</f>
        <v>472.97</v>
      </c>
      <c r="AR117" s="97">
        <f ca="1">TblProd[[#This Row],[Mana]]*mana_drain * (1 + tech_2_1*TblTech[[#This Row],[2-1]] + tech_2_8*TblTech[[#This Row],[2-8]])</f>
        <v>250.09</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45434.458333333059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1655005</v>
      </c>
      <c r="BJ117" s="97">
        <f ca="1">TblProd[[#This Row],[Food]]</f>
        <v>6339</v>
      </c>
      <c r="BK117" s="97">
        <f ca="1">TblProd[[#This Row],[Lumber]]</f>
        <v>47297</v>
      </c>
      <c r="BL117" s="97">
        <f ca="1">TblProd[[#This Row],[Mana]]</f>
        <v>12504.5</v>
      </c>
      <c r="BM117" s="97">
        <f ca="1">TblProd[[#This Row],[Ore]]</f>
        <v>0</v>
      </c>
    </row>
    <row r="118" spans="1:65" x14ac:dyDescent="0.2">
      <c r="A118" s="140">
        <v>43</v>
      </c>
      <c r="B118" s="155">
        <f ca="1">TblImps[[#This Row],[Time]]</f>
        <v>45434.499999999724</v>
      </c>
      <c r="C118" s="156"/>
      <c r="D118" s="157"/>
      <c r="E118" s="97">
        <f ca="1">TblConstr[[#This Row],[Land]]</f>
        <v>700</v>
      </c>
      <c r="F118" s="97">
        <f ca="1">TblPop[[#This Row],[Peasants]]</f>
        <v>6566</v>
      </c>
      <c r="G118" s="97">
        <f ca="1">TblMili[[#This Row],[Networth (2)]]</f>
        <v>42359.8</v>
      </c>
      <c r="H118" s="97">
        <f ca="1">OFFSET(TblProd[[#This Row],[Platinum]],-1,0)+OFFSET(TblProd[[#This Row],[Plat/hr]],-1,0) - TblProd[[#This Row],[Expenses Platinum]] + IF(TblProd[[#This Row],[Plat Bonus]],TblPop[[#This Row],[Peasants]]*4) + SUM(TblConstr[[#This Row],[Dest Hom]:[Dest Doc]])*TblConstr[[#This Row],[CPA Platinum -DB]]*tech_3_3_2*TblTech[[#This Row],[3-3]]</f>
        <v>1685286</v>
      </c>
      <c r="I118" s="97">
        <f ca="1">OFFSET(TblProd[[#This Row],[Food]],-1,0)+OFFSET(TblProd[[#This Row],[Food/hr]],-1,0)+ROUNDUP((TblConstr[[#This Row],[Farms]]*80+TblConstr[[#This Row],[Docks]]*35)*(1+OFFSET(TblProd[[#This Row],[Bonus Food/hr]],-1,0)),0)</f>
        <v>6403</v>
      </c>
      <c r="J118" s="97">
        <f ca="1">OFFSET(TblProd[[#This Row],[Lumber]],-1,0)+OFFSET(TblProd[[#This Row],[Lumber/hr]],-1,0) - TblProd[[#This Row],[Expenses Lumber]] + SUM(TblConstr[[#This Row],[Dest Hom]:[Dest Doc]])*TblConstr[[#This Row],[CPA Lumber -DB]]*tech_3_3_2*TblTech[[#This Row],[3-3]]</f>
        <v>47949</v>
      </c>
      <c r="K118" s="97">
        <f ca="1">OFFSET(TblProd[[#This Row],[Mana]],-1,0)+OFFSET(TblProd[[#This Row],[Mana/hr]],-1,0)- TblProd[[#This Row],[Expenses Mana]]</f>
        <v>12979.5</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78.650000000000091</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8" s="97">
        <f ca="1">MAX(3750,_xlfn.CEILING.MATH(TblProd[[#This Row],[Land]]*2.5+OFFSET(TblTech[[#This Row],[Sum of tech]],-1,0)*150))</f>
        <v>3750</v>
      </c>
      <c r="R118" s="145"/>
      <c r="S118" s="97">
        <f ca="1">ROUNDDOWN(TblProd[[#This Row],[Raw Plat/hr]]*(1+TblProd[[#This Row],[Bonus Plat/hr]]),0)</f>
        <v>30103</v>
      </c>
      <c r="T118" s="97">
        <f ca="1">ROUND(TblProd[[#This Row],[Raw Food/hr]]*(1+TblProd[[#This Row],[Bonus Food/hr]])-TblProd[[#This Row],[Food decay]]-TblProd[[#This Row],[Food eaten]],0)</f>
        <v>63</v>
      </c>
      <c r="U118" s="97">
        <f ca="1">ROUND(TblProd[[#This Row],[Raw Lumber/hr]]*(1+TblProd[[#This Row],[Bonus Lumber/hr]])-TblProd[[#This Row],[Lumber rot]],0)</f>
        <v>646</v>
      </c>
      <c r="V118" s="97">
        <f ca="1">ROUND(TblProd[[#This Row],[Raw Mana/hr]]*(1+TblProd[[#This Row],[Bonus Mana/hr]])-TblProd[[#This Row],[Mana drain]],0)</f>
        <v>465</v>
      </c>
      <c r="W118" s="97">
        <f ca="1">ROUNDDOWN(TblProd[[#This Row],[Raw Ore/hr]]*(1+TblProd[[#This Row],[Bonux Ore/hr]]),0)</f>
        <v>0</v>
      </c>
      <c r="X118" s="97">
        <f ca="1">ROUNDDOWN(TblProd[[#This Row],[Raw Gems/hr]]*(1+TblProd[[#This Row],[Bonus Gems/hr]]),0)</f>
        <v>0</v>
      </c>
      <c r="Y118" s="158">
        <f ca="1">OFFSET(TblConstr[[#This Row],[Tot Doc]],1,0)*dock_boats_hr * (1 + tech_4_1*TblTech[[#This Row],[4-1]])</f>
        <v>1.2000000000000002</v>
      </c>
      <c r="Z118" s="157"/>
      <c r="AA118" s="97">
        <f ca="1">TblPop[[#This Row],[Peasants]]*tax*TblPop[[#This Row],[Employment]] + (Construction!AZ119+Construction!BX119)*(alch_plat+(Magic!AM118&gt;0)*alchemist_flame_bonus)</f>
        <v>30103.200000000001</v>
      </c>
      <c r="AB118" s="97">
        <f ca="1">TblConstr[[#This Row],[Tot Farm]]*farm_food + TblConstr[[#This Row],[Tot Doc]]*dock_food</f>
        <v>3280</v>
      </c>
      <c r="AC118" s="97">
        <f ca="1">TblConstr[[#This Row],[Tot Ly]]*ly_lumber + TblConstr[[#This Row],[Tot Hav]]*fh_lumber</f>
        <v>1250</v>
      </c>
      <c r="AD118" s="97">
        <f ca="1">OFFSET(TblConstr[[#This Row],[Tot Tow]],1,0)*(tower_mana + tech_4_5*TblTech[[#This Row],[4-5]]) + OFFSET(TblConstr[[#This Row],[Tot WG]],1,0)*wg_mana_prod</f>
        <v>725</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8" s="159">
        <f ca="1">race_lumber_bonus+ IF(TblMagic[[#This Row],[Active Gaia''s Blessing]]&gt;0,gaias_blessing_lumber)+ tech_1_3*TblTech[[#This Row],[1-3]] + tech_1_6*TblTech[[#This Row],[1-6]] + tech_3_3*TblTech[[#This Row],[3-3]]</f>
        <v>-0.1</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0.15</v>
      </c>
      <c r="AN118" s="145"/>
      <c r="AO118" s="97">
        <f ca="1">TblProd[[#This Row],[Food]]*food_decay * (1 + tech_2_1*TblTech[[#This Row],[2-1]] + tech_2_8*TblTech[[#This Row],[2-8]])</f>
        <v>64.03</v>
      </c>
      <c r="AP118" s="97">
        <f ca="1">(1+race_food_consumption)*TblPop[[#This Row],[Total]]*food_per_person*(1+tech_1_10*TblTech[[#This Row],[1-10]]+tech_7_5*TblTech[[#This Row],[7-5]])</f>
        <v>3234.75</v>
      </c>
      <c r="AQ118" s="97">
        <f ca="1">TblProd[[#This Row],[Lumber]]*lumber_rot * (1 + tech_2_1*TblTech[[#This Row],[2-1]] + tech_2_8*TblTech[[#This Row],[2-8]] + tech_5_2*TblTech[[#This Row],[5-2]])</f>
        <v>479.49</v>
      </c>
      <c r="AR118" s="97">
        <f ca="1">TblProd[[#This Row],[Mana]]*mana_drain * (1 + tech_2_1*TblTech[[#This Row],[2-1]] + tech_2_8*TblTech[[#This Row],[2-8]])</f>
        <v>259.59000000000003</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45434.499999999724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1685286</v>
      </c>
      <c r="BJ118" s="97">
        <f ca="1">TblProd[[#This Row],[Food]]</f>
        <v>6403</v>
      </c>
      <c r="BK118" s="97">
        <f ca="1">TblProd[[#This Row],[Lumber]]</f>
        <v>47949</v>
      </c>
      <c r="BL118" s="97">
        <f ca="1">TblProd[[#This Row],[Mana]]</f>
        <v>12979.5</v>
      </c>
      <c r="BM118" s="97">
        <f ca="1">TblProd[[#This Row],[Ore]]</f>
        <v>0</v>
      </c>
    </row>
    <row r="119" spans="1:65" x14ac:dyDescent="0.2">
      <c r="A119" s="140">
        <v>44</v>
      </c>
      <c r="B119" s="155">
        <f ca="1">TblImps[[#This Row],[Time]]</f>
        <v>45434.541666666388</v>
      </c>
      <c r="C119" s="156"/>
      <c r="D119" s="157"/>
      <c r="E119" s="97">
        <f ca="1">TblConstr[[#This Row],[Land]]</f>
        <v>700</v>
      </c>
      <c r="F119" s="97">
        <f ca="1">TblPop[[#This Row],[Peasants]]</f>
        <v>6500</v>
      </c>
      <c r="G119" s="97">
        <f ca="1">TblMili[[#This Row],[Networth (2)]]</f>
        <v>42359.8</v>
      </c>
      <c r="H119" s="97">
        <f ca="1">OFFSET(TblProd[[#This Row],[Platinum]],-1,0)+OFFSET(TblProd[[#This Row],[Plat/hr]],-1,0) - TblProd[[#This Row],[Expenses Platinum]] + IF(TblProd[[#This Row],[Plat Bonus]],TblPop[[#This Row],[Peasants]]*4) + SUM(TblConstr[[#This Row],[Dest Hom]:[Dest Doc]])*TblConstr[[#This Row],[CPA Platinum -DB]]*tech_3_3_2*TblTech[[#This Row],[3-3]]</f>
        <v>1715389</v>
      </c>
      <c r="I119" s="97">
        <f ca="1">OFFSET(TblProd[[#This Row],[Food]],-1,0)+OFFSET(TblProd[[#This Row],[Food/hr]],-1,0)+ROUNDUP((TblConstr[[#This Row],[Farms]]*80+TblConstr[[#This Row],[Docks]]*35)*(1+OFFSET(TblProd[[#This Row],[Bonus Food/hr]],-1,0)),0)</f>
        <v>6466</v>
      </c>
      <c r="J119" s="97">
        <f ca="1">OFFSET(TblProd[[#This Row],[Lumber]],-1,0)+OFFSET(TblProd[[#This Row],[Lumber/hr]],-1,0) - TblProd[[#This Row],[Expenses Lumber]] + SUM(TblConstr[[#This Row],[Dest Hom]:[Dest Doc]])*TblConstr[[#This Row],[CPA Lumber -DB]]*tech_3_3_2*TblTech[[#This Row],[3-3]]</f>
        <v>48595</v>
      </c>
      <c r="K119" s="97">
        <f ca="1">OFFSET(TblProd[[#This Row],[Mana]],-1,0)+OFFSET(TblProd[[#This Row],[Mana/hr]],-1,0)- TblProd[[#This Row],[Expenses Mana]]</f>
        <v>13444.5</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79.850000000000094</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9" s="97">
        <f ca="1">MAX(3750,_xlfn.CEILING.MATH(TblProd[[#This Row],[Land]]*2.5+OFFSET(TblTech[[#This Row],[Sum of tech]],-1,0)*150))</f>
        <v>3750</v>
      </c>
      <c r="R119" s="145"/>
      <c r="S119" s="97">
        <f ca="1">ROUNDDOWN(TblProd[[#This Row],[Raw Plat/hr]]*(1+TblProd[[#This Row],[Bonus Plat/hr]]),0)</f>
        <v>29925</v>
      </c>
      <c r="T119" s="97">
        <f ca="1">ROUND(TblProd[[#This Row],[Raw Food/hr]]*(1+TblProd[[#This Row],[Bonus Food/hr]])-TblProd[[#This Row],[Food decay]]-TblProd[[#This Row],[Food eaten]],0)</f>
        <v>63</v>
      </c>
      <c r="U119" s="97">
        <f ca="1">ROUND(TblProd[[#This Row],[Raw Lumber/hr]]*(1+TblProd[[#This Row],[Bonus Lumber/hr]])-TblProd[[#This Row],[Lumber rot]],0)</f>
        <v>639</v>
      </c>
      <c r="V119" s="97">
        <f ca="1">ROUND(TblProd[[#This Row],[Raw Mana/hr]]*(1+TblProd[[#This Row],[Bonus Mana/hr]])-TblProd[[#This Row],[Mana drain]],0)</f>
        <v>456</v>
      </c>
      <c r="W119" s="97">
        <f ca="1">ROUNDDOWN(TblProd[[#This Row],[Raw Ore/hr]]*(1+TblProd[[#This Row],[Bonux Ore/hr]]),0)</f>
        <v>0</v>
      </c>
      <c r="X119" s="97">
        <f ca="1">ROUNDDOWN(TblProd[[#This Row],[Raw Gems/hr]]*(1+TblProd[[#This Row],[Bonus Gems/hr]]),0)</f>
        <v>0</v>
      </c>
      <c r="Y119" s="158">
        <f ca="1">OFFSET(TblConstr[[#This Row],[Tot Doc]],1,0)*dock_boats_hr * (1 + tech_4_1*TblTech[[#This Row],[4-1]])</f>
        <v>1.2000000000000002</v>
      </c>
      <c r="Z119" s="157"/>
      <c r="AA119" s="97">
        <f ca="1">TblPop[[#This Row],[Peasants]]*tax*TblPop[[#This Row],[Employment]] + (Construction!AZ120+Construction!BX120)*(alch_plat+(Magic!AM119&gt;0)*alchemist_flame_bonus)</f>
        <v>29925</v>
      </c>
      <c r="AB119" s="97">
        <f ca="1">TblConstr[[#This Row],[Tot Farm]]*farm_food + TblConstr[[#This Row],[Tot Doc]]*dock_food</f>
        <v>3280</v>
      </c>
      <c r="AC119" s="97">
        <f ca="1">TblConstr[[#This Row],[Tot Ly]]*ly_lumber + TblConstr[[#This Row],[Tot Hav]]*fh_lumber</f>
        <v>1250</v>
      </c>
      <c r="AD119" s="97">
        <f ca="1">OFFSET(TblConstr[[#This Row],[Tot Tow]],1,0)*(tower_mana + tech_4_5*TblTech[[#This Row],[4-5]]) + OFFSET(TblConstr[[#This Row],[Tot WG]],1,0)*wg_mana_prod</f>
        <v>725</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19" s="159">
        <f ca="1">race_lumber_bonus+ IF(TblMagic[[#This Row],[Active Gaia''s Blessing]]&gt;0,gaias_blessing_lumber)+ tech_1_3*TblTech[[#This Row],[1-3]] + tech_1_6*TblTech[[#This Row],[1-6]] + tech_3_3*TblTech[[#This Row],[3-3]]</f>
        <v>-0.1</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0.15</v>
      </c>
      <c r="AN119" s="145"/>
      <c r="AO119" s="97">
        <f ca="1">TblProd[[#This Row],[Food]]*food_decay * (1 + tech_2_1*TblTech[[#This Row],[2-1]] + tech_2_8*TblTech[[#This Row],[2-8]])</f>
        <v>64.66</v>
      </c>
      <c r="AP119" s="97">
        <f ca="1">(1+race_food_consumption)*TblPop[[#This Row],[Total]]*food_per_person*(1+tech_1_10*TblTech[[#This Row],[1-10]]+tech_7_5*TblTech[[#This Row],[7-5]])</f>
        <v>3234.75</v>
      </c>
      <c r="AQ119" s="97">
        <f ca="1">TblProd[[#This Row],[Lumber]]*lumber_rot * (1 + tech_2_1*TblTech[[#This Row],[2-1]] + tech_2_8*TblTech[[#This Row],[2-8]] + tech_5_2*TblTech[[#This Row],[5-2]])</f>
        <v>485.95</v>
      </c>
      <c r="AR119" s="97">
        <f ca="1">TblProd[[#This Row],[Mana]]*mana_drain * (1 + tech_2_1*TblTech[[#This Row],[2-1]] + tech_2_8*TblTech[[#This Row],[2-8]])</f>
        <v>268.89</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45434.541666666388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1715389</v>
      </c>
      <c r="BJ119" s="97">
        <f ca="1">TblProd[[#This Row],[Food]]</f>
        <v>6466</v>
      </c>
      <c r="BK119" s="97">
        <f ca="1">TblProd[[#This Row],[Lumber]]</f>
        <v>48595</v>
      </c>
      <c r="BL119" s="97">
        <f ca="1">TblProd[[#This Row],[Mana]]</f>
        <v>13444.5</v>
      </c>
      <c r="BM119" s="97">
        <f ca="1">TblProd[[#This Row],[Ore]]</f>
        <v>0</v>
      </c>
    </row>
    <row r="120" spans="1:65" x14ac:dyDescent="0.2">
      <c r="A120" s="140">
        <v>45</v>
      </c>
      <c r="B120" s="155">
        <f ca="1">TblImps[[#This Row],[Time]]</f>
        <v>45434.583333333052</v>
      </c>
      <c r="C120" s="156"/>
      <c r="D120" s="157"/>
      <c r="E120" s="97">
        <f ca="1">TblConstr[[#This Row],[Land]]</f>
        <v>700</v>
      </c>
      <c r="F120" s="97">
        <f ca="1">TblPop[[#This Row],[Peasants]]</f>
        <v>6435</v>
      </c>
      <c r="G120" s="97">
        <f ca="1">TblMili[[#This Row],[Networth (2)]]</f>
        <v>42359.8</v>
      </c>
      <c r="H120" s="97">
        <f ca="1">OFFSET(TblProd[[#This Row],[Platinum]],-1,0)+OFFSET(TblProd[[#This Row],[Plat/hr]],-1,0) - TblProd[[#This Row],[Expenses Platinum]] + IF(TblProd[[#This Row],[Plat Bonus]],TblPop[[#This Row],[Peasants]]*4) + SUM(TblConstr[[#This Row],[Dest Hom]:[Dest Doc]])*TblConstr[[#This Row],[CPA Platinum -DB]]*tech_3_3_2*TblTech[[#This Row],[3-3]]</f>
        <v>1745314</v>
      </c>
      <c r="I120" s="97">
        <f ca="1">OFFSET(TblProd[[#This Row],[Food]],-1,0)+OFFSET(TblProd[[#This Row],[Food/hr]],-1,0)+ROUNDUP((TblConstr[[#This Row],[Farms]]*80+TblConstr[[#This Row],[Docks]]*35)*(1+OFFSET(TblProd[[#This Row],[Bonus Food/hr]],-1,0)),0)</f>
        <v>6529</v>
      </c>
      <c r="J120" s="97">
        <f ca="1">OFFSET(TblProd[[#This Row],[Lumber]],-1,0)+OFFSET(TblProd[[#This Row],[Lumber/hr]],-1,0) - TblProd[[#This Row],[Expenses Lumber]] + SUM(TblConstr[[#This Row],[Dest Hom]:[Dest Doc]])*TblConstr[[#This Row],[CPA Lumber -DB]]*tech_3_3_2*TblTech[[#This Row],[3-3]]</f>
        <v>49234</v>
      </c>
      <c r="K120" s="97">
        <f ca="1">OFFSET(TblProd[[#This Row],[Mana]],-1,0)+OFFSET(TblProd[[#This Row],[Mana/hr]],-1,0)- TblProd[[#This Row],[Expenses Mana]]</f>
        <v>13900.5</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81.050000000000097</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0" s="97">
        <f ca="1">MAX(3750,_xlfn.CEILING.MATH(TblProd[[#This Row],[Land]]*2.5+OFFSET(TblTech[[#This Row],[Sum of tech]],-1,0)*150))</f>
        <v>3750</v>
      </c>
      <c r="R120" s="145"/>
      <c r="S120" s="97">
        <f ca="1">ROUNDDOWN(TblProd[[#This Row],[Raw Plat/hr]]*(1+TblProd[[#This Row],[Bonus Plat/hr]]),0)</f>
        <v>29749</v>
      </c>
      <c r="T120" s="97">
        <f ca="1">ROUND(TblProd[[#This Row],[Raw Food/hr]]*(1+TblProd[[#This Row],[Bonus Food/hr]])-TblProd[[#This Row],[Food decay]]-TblProd[[#This Row],[Food eaten]],0)</f>
        <v>62</v>
      </c>
      <c r="U120" s="97">
        <f ca="1">ROUND(TblProd[[#This Row],[Raw Lumber/hr]]*(1+TblProd[[#This Row],[Bonus Lumber/hr]])-TblProd[[#This Row],[Lumber rot]],0)</f>
        <v>633</v>
      </c>
      <c r="V120" s="97">
        <f ca="1">ROUND(TblProd[[#This Row],[Raw Mana/hr]]*(1+TblProd[[#This Row],[Bonus Mana/hr]])-TblProd[[#This Row],[Mana drain]],0)</f>
        <v>447</v>
      </c>
      <c r="W120" s="97">
        <f ca="1">ROUNDDOWN(TblProd[[#This Row],[Raw Ore/hr]]*(1+TblProd[[#This Row],[Bonux Ore/hr]]),0)</f>
        <v>0</v>
      </c>
      <c r="X120" s="97">
        <f ca="1">ROUNDDOWN(TblProd[[#This Row],[Raw Gems/hr]]*(1+TblProd[[#This Row],[Bonus Gems/hr]]),0)</f>
        <v>0</v>
      </c>
      <c r="Y120" s="158">
        <f ca="1">OFFSET(TblConstr[[#This Row],[Tot Doc]],1,0)*dock_boats_hr * (1 + tech_4_1*TblTech[[#This Row],[4-1]])</f>
        <v>1.2000000000000002</v>
      </c>
      <c r="Z120" s="157"/>
      <c r="AA120" s="97">
        <f ca="1">TblPop[[#This Row],[Peasants]]*tax*TblPop[[#This Row],[Employment]] + (Construction!AZ121+Construction!BX121)*(alch_plat+(Magic!AM120&gt;0)*alchemist_flame_bonus)</f>
        <v>29749.5</v>
      </c>
      <c r="AB120" s="97">
        <f ca="1">TblConstr[[#This Row],[Tot Farm]]*farm_food + TblConstr[[#This Row],[Tot Doc]]*dock_food</f>
        <v>3280</v>
      </c>
      <c r="AC120" s="97">
        <f ca="1">TblConstr[[#This Row],[Tot Ly]]*ly_lumber + TblConstr[[#This Row],[Tot Hav]]*fh_lumber</f>
        <v>1250</v>
      </c>
      <c r="AD120" s="97">
        <f ca="1">OFFSET(TblConstr[[#This Row],[Tot Tow]],1,0)*(tower_mana + tech_4_5*TblTech[[#This Row],[4-5]]) + OFFSET(TblConstr[[#This Row],[Tot WG]],1,0)*wg_mana_prod</f>
        <v>725</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0" s="159">
        <f ca="1">race_lumber_bonus+ IF(TblMagic[[#This Row],[Active Gaia''s Blessing]]&gt;0,gaias_blessing_lumber)+ tech_1_3*TblTech[[#This Row],[1-3]] + tech_1_6*TblTech[[#This Row],[1-6]] + tech_3_3*TblTech[[#This Row],[3-3]]</f>
        <v>-0.1</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0.15</v>
      </c>
      <c r="AN120" s="145"/>
      <c r="AO120" s="97">
        <f ca="1">TblProd[[#This Row],[Food]]*food_decay * (1 + tech_2_1*TblTech[[#This Row],[2-1]] + tech_2_8*TblTech[[#This Row],[2-8]])</f>
        <v>65.290000000000006</v>
      </c>
      <c r="AP120" s="97">
        <f ca="1">(1+race_food_consumption)*TblPop[[#This Row],[Total]]*food_per_person*(1+tech_1_10*TblTech[[#This Row],[1-10]]+tech_7_5*TblTech[[#This Row],[7-5]])</f>
        <v>3234.75</v>
      </c>
      <c r="AQ120" s="97">
        <f ca="1">TblProd[[#This Row],[Lumber]]*lumber_rot * (1 + tech_2_1*TblTech[[#This Row],[2-1]] + tech_2_8*TblTech[[#This Row],[2-8]] + tech_5_2*TblTech[[#This Row],[5-2]])</f>
        <v>492.34000000000003</v>
      </c>
      <c r="AR120" s="97">
        <f ca="1">TblProd[[#This Row],[Mana]]*mana_drain * (1 + tech_2_1*TblTech[[#This Row],[2-1]] + tech_2_8*TblTech[[#This Row],[2-8]])</f>
        <v>278.01</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45434.583333333052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1745314</v>
      </c>
      <c r="BJ120" s="97">
        <f ca="1">TblProd[[#This Row],[Food]]</f>
        <v>6529</v>
      </c>
      <c r="BK120" s="97">
        <f ca="1">TblProd[[#This Row],[Lumber]]</f>
        <v>49234</v>
      </c>
      <c r="BL120" s="97">
        <f ca="1">TblProd[[#This Row],[Mana]]</f>
        <v>13900.5</v>
      </c>
      <c r="BM120" s="97">
        <f ca="1">TblProd[[#This Row],[Ore]]</f>
        <v>0</v>
      </c>
    </row>
    <row r="121" spans="1:65" x14ac:dyDescent="0.2">
      <c r="A121" s="140">
        <v>46</v>
      </c>
      <c r="B121" s="155">
        <f ca="1">TblImps[[#This Row],[Time]]</f>
        <v>45434.624999999716</v>
      </c>
      <c r="C121" s="156"/>
      <c r="D121" s="157"/>
      <c r="E121" s="97">
        <f ca="1">TblConstr[[#This Row],[Land]]</f>
        <v>700</v>
      </c>
      <c r="F121" s="97">
        <f ca="1">TblPop[[#This Row],[Peasants]]</f>
        <v>6371</v>
      </c>
      <c r="G121" s="97">
        <f ca="1">TblMili[[#This Row],[Networth (2)]]</f>
        <v>42359.8</v>
      </c>
      <c r="H121" s="97">
        <f ca="1">OFFSET(TblProd[[#This Row],[Platinum]],-1,0)+OFFSET(TblProd[[#This Row],[Plat/hr]],-1,0) - TblProd[[#This Row],[Expenses Platinum]] + IF(TblProd[[#This Row],[Plat Bonus]],TblPop[[#This Row],[Peasants]]*4) + SUM(TblConstr[[#This Row],[Dest Hom]:[Dest Doc]])*TblConstr[[#This Row],[CPA Platinum -DB]]*tech_3_3_2*TblTech[[#This Row],[3-3]]</f>
        <v>1775063</v>
      </c>
      <c r="I121" s="97">
        <f ca="1">OFFSET(TblProd[[#This Row],[Food]],-1,0)+OFFSET(TblProd[[#This Row],[Food/hr]],-1,0)+ROUNDUP((TblConstr[[#This Row],[Farms]]*80+TblConstr[[#This Row],[Docks]]*35)*(1+OFFSET(TblProd[[#This Row],[Bonus Food/hr]],-1,0)),0)</f>
        <v>6591</v>
      </c>
      <c r="J121" s="97">
        <f ca="1">OFFSET(TblProd[[#This Row],[Lumber]],-1,0)+OFFSET(TblProd[[#This Row],[Lumber/hr]],-1,0) - TblProd[[#This Row],[Expenses Lumber]] + SUM(TblConstr[[#This Row],[Dest Hom]:[Dest Doc]])*TblConstr[[#This Row],[CPA Lumber -DB]]*tech_3_3_2*TblTech[[#This Row],[3-3]]</f>
        <v>49867</v>
      </c>
      <c r="K121" s="97">
        <f ca="1">OFFSET(TblProd[[#This Row],[Mana]],-1,0)+OFFSET(TblProd[[#This Row],[Mana/hr]],-1,0)- TblProd[[#This Row],[Expenses Mana]]</f>
        <v>14347.5</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82.250000000000099</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1" s="97">
        <f ca="1">MAX(3750,_xlfn.CEILING.MATH(TblProd[[#This Row],[Land]]*2.5+OFFSET(TblTech[[#This Row],[Sum of tech]],-1,0)*150))</f>
        <v>3750</v>
      </c>
      <c r="R121" s="145"/>
      <c r="S121" s="97">
        <f ca="1">ROUNDDOWN(TblProd[[#This Row],[Raw Plat/hr]]*(1+TblProd[[#This Row],[Bonus Plat/hr]]),0)</f>
        <v>29576</v>
      </c>
      <c r="T121" s="97">
        <f ca="1">ROUND(TblProd[[#This Row],[Raw Food/hr]]*(1+TblProd[[#This Row],[Bonus Food/hr]])-TblProd[[#This Row],[Food decay]]-TblProd[[#This Row],[Food eaten]],0)</f>
        <v>61</v>
      </c>
      <c r="U121" s="97">
        <f ca="1">ROUND(TblProd[[#This Row],[Raw Lumber/hr]]*(1+TblProd[[#This Row],[Bonus Lumber/hr]])-TblProd[[#This Row],[Lumber rot]],0)</f>
        <v>626</v>
      </c>
      <c r="V121" s="97">
        <f ca="1">ROUND(TblProd[[#This Row],[Raw Mana/hr]]*(1+TblProd[[#This Row],[Bonus Mana/hr]])-TblProd[[#This Row],[Mana drain]],0)</f>
        <v>438</v>
      </c>
      <c r="W121" s="97">
        <f ca="1">ROUNDDOWN(TblProd[[#This Row],[Raw Ore/hr]]*(1+TblProd[[#This Row],[Bonux Ore/hr]]),0)</f>
        <v>0</v>
      </c>
      <c r="X121" s="97">
        <f ca="1">ROUNDDOWN(TblProd[[#This Row],[Raw Gems/hr]]*(1+TblProd[[#This Row],[Bonus Gems/hr]]),0)</f>
        <v>0</v>
      </c>
      <c r="Y121" s="158">
        <f ca="1">OFFSET(TblConstr[[#This Row],[Tot Doc]],1,0)*dock_boats_hr * (1 + tech_4_1*TblTech[[#This Row],[4-1]])</f>
        <v>1.2000000000000002</v>
      </c>
      <c r="Z121" s="157"/>
      <c r="AA121" s="97">
        <f ca="1">TblPop[[#This Row],[Peasants]]*tax*TblPop[[#This Row],[Employment]] + (Construction!AZ122+Construction!BX122)*(alch_plat+(Magic!AM121&gt;0)*alchemist_flame_bonus)</f>
        <v>29576.7</v>
      </c>
      <c r="AB121" s="97">
        <f ca="1">TblConstr[[#This Row],[Tot Farm]]*farm_food + TblConstr[[#This Row],[Tot Doc]]*dock_food</f>
        <v>3280</v>
      </c>
      <c r="AC121" s="97">
        <f ca="1">TblConstr[[#This Row],[Tot Ly]]*ly_lumber + TblConstr[[#This Row],[Tot Hav]]*fh_lumber</f>
        <v>1250</v>
      </c>
      <c r="AD121" s="97">
        <f ca="1">OFFSET(TblConstr[[#This Row],[Tot Tow]],1,0)*(tower_mana + tech_4_5*TblTech[[#This Row],[4-5]]) + OFFSET(TblConstr[[#This Row],[Tot WG]],1,0)*wg_mana_prod</f>
        <v>725</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1" s="159">
        <f ca="1">race_lumber_bonus+ IF(TblMagic[[#This Row],[Active Gaia''s Blessing]]&gt;0,gaias_blessing_lumber)+ tech_1_3*TblTech[[#This Row],[1-3]] + tech_1_6*TblTech[[#This Row],[1-6]] + tech_3_3*TblTech[[#This Row],[3-3]]</f>
        <v>-0.1</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0.15</v>
      </c>
      <c r="AN121" s="145"/>
      <c r="AO121" s="97">
        <f ca="1">TblProd[[#This Row],[Food]]*food_decay * (1 + tech_2_1*TblTech[[#This Row],[2-1]] + tech_2_8*TblTech[[#This Row],[2-8]])</f>
        <v>65.91</v>
      </c>
      <c r="AP121" s="97">
        <f ca="1">(1+race_food_consumption)*TblPop[[#This Row],[Total]]*food_per_person*(1+tech_1_10*TblTech[[#This Row],[1-10]]+tech_7_5*TblTech[[#This Row],[7-5]])</f>
        <v>3234.75</v>
      </c>
      <c r="AQ121" s="97">
        <f ca="1">TblProd[[#This Row],[Lumber]]*lumber_rot * (1 + tech_2_1*TblTech[[#This Row],[2-1]] + tech_2_8*TblTech[[#This Row],[2-8]] + tech_5_2*TblTech[[#This Row],[5-2]])</f>
        <v>498.67</v>
      </c>
      <c r="AR121" s="97">
        <f ca="1">TblProd[[#This Row],[Mana]]*mana_drain * (1 + tech_2_1*TblTech[[#This Row],[2-1]] + tech_2_8*TblTech[[#This Row],[2-8]])</f>
        <v>286.95</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45434.624999999716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1775063</v>
      </c>
      <c r="BJ121" s="97">
        <f ca="1">TblProd[[#This Row],[Food]]</f>
        <v>6591</v>
      </c>
      <c r="BK121" s="97">
        <f ca="1">TblProd[[#This Row],[Lumber]]</f>
        <v>49867</v>
      </c>
      <c r="BL121" s="97">
        <f ca="1">TblProd[[#This Row],[Mana]]</f>
        <v>14347.5</v>
      </c>
      <c r="BM121" s="97">
        <f ca="1">TblProd[[#This Row],[Ore]]</f>
        <v>0</v>
      </c>
    </row>
    <row r="122" spans="1:65" x14ac:dyDescent="0.2">
      <c r="A122" s="140">
        <v>47</v>
      </c>
      <c r="B122" s="155">
        <f ca="1">TblImps[[#This Row],[Time]]</f>
        <v>45434.66666666638</v>
      </c>
      <c r="C122" s="156"/>
      <c r="D122" s="157"/>
      <c r="E122" s="97">
        <f ca="1">TblConstr[[#This Row],[Land]]</f>
        <v>700</v>
      </c>
      <c r="F122" s="97">
        <f ca="1">TblPop[[#This Row],[Peasants]]</f>
        <v>6307</v>
      </c>
      <c r="G122" s="97">
        <f ca="1">TblMili[[#This Row],[Networth (2)]]</f>
        <v>42359.8</v>
      </c>
      <c r="H122" s="97">
        <f ca="1">OFFSET(TblProd[[#This Row],[Platinum]],-1,0)+OFFSET(TblProd[[#This Row],[Plat/hr]],-1,0) - TblProd[[#This Row],[Expenses Platinum]] + IF(TblProd[[#This Row],[Plat Bonus]],TblPop[[#This Row],[Peasants]]*4) + SUM(TblConstr[[#This Row],[Dest Hom]:[Dest Doc]])*TblConstr[[#This Row],[CPA Platinum -DB]]*tech_3_3_2*TblTech[[#This Row],[3-3]]</f>
        <v>1804639</v>
      </c>
      <c r="I122" s="97">
        <f ca="1">OFFSET(TblProd[[#This Row],[Food]],-1,0)+OFFSET(TblProd[[#This Row],[Food/hr]],-1,0)+ROUNDUP((TblConstr[[#This Row],[Farms]]*80+TblConstr[[#This Row],[Docks]]*35)*(1+OFFSET(TblProd[[#This Row],[Bonus Food/hr]],-1,0)),0)</f>
        <v>6652</v>
      </c>
      <c r="J122" s="97">
        <f ca="1">OFFSET(TblProd[[#This Row],[Lumber]],-1,0)+OFFSET(TblProd[[#This Row],[Lumber/hr]],-1,0) - TblProd[[#This Row],[Expenses Lumber]] + SUM(TblConstr[[#This Row],[Dest Hom]:[Dest Doc]])*TblConstr[[#This Row],[CPA Lumber -DB]]*tech_3_3_2*TblTech[[#This Row],[3-3]]</f>
        <v>50493</v>
      </c>
      <c r="K122" s="97">
        <f ca="1">OFFSET(TblProd[[#This Row],[Mana]],-1,0)+OFFSET(TblProd[[#This Row],[Mana/hr]],-1,0)- TblProd[[#This Row],[Expenses Mana]]</f>
        <v>14785.5</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83.450000000000102</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2" s="97">
        <f ca="1">MAX(3750,_xlfn.CEILING.MATH(TblProd[[#This Row],[Land]]*2.5+OFFSET(TblTech[[#This Row],[Sum of tech]],-1,0)*150))</f>
        <v>3750</v>
      </c>
      <c r="R122" s="145"/>
      <c r="S122" s="97">
        <f ca="1">ROUNDDOWN(TblProd[[#This Row],[Raw Plat/hr]]*(1+TblProd[[#This Row],[Bonus Plat/hr]]),0)</f>
        <v>29403</v>
      </c>
      <c r="T122" s="97">
        <f ca="1">ROUND(TblProd[[#This Row],[Raw Food/hr]]*(1+TblProd[[#This Row],[Bonus Food/hr]])-TblProd[[#This Row],[Food decay]]-TblProd[[#This Row],[Food eaten]],0)</f>
        <v>61</v>
      </c>
      <c r="U122" s="97">
        <f ca="1">ROUND(TblProd[[#This Row],[Raw Lumber/hr]]*(1+TblProd[[#This Row],[Bonus Lumber/hr]])-TblProd[[#This Row],[Lumber rot]],0)</f>
        <v>620</v>
      </c>
      <c r="V122" s="97">
        <f ca="1">ROUND(TblProd[[#This Row],[Raw Mana/hr]]*(1+TblProd[[#This Row],[Bonus Mana/hr]])-TblProd[[#This Row],[Mana drain]],0)</f>
        <v>429</v>
      </c>
      <c r="W122" s="97">
        <f ca="1">ROUNDDOWN(TblProd[[#This Row],[Raw Ore/hr]]*(1+TblProd[[#This Row],[Bonux Ore/hr]]),0)</f>
        <v>0</v>
      </c>
      <c r="X122" s="97">
        <f ca="1">ROUNDDOWN(TblProd[[#This Row],[Raw Gems/hr]]*(1+TblProd[[#This Row],[Bonus Gems/hr]]),0)</f>
        <v>0</v>
      </c>
      <c r="Y122" s="158">
        <f ca="1">OFFSET(TblConstr[[#This Row],[Tot Doc]],1,0)*dock_boats_hr * (1 + tech_4_1*TblTech[[#This Row],[4-1]])</f>
        <v>1.2000000000000002</v>
      </c>
      <c r="Z122" s="157"/>
      <c r="AA122" s="97">
        <f ca="1">TblPop[[#This Row],[Peasants]]*tax*TblPop[[#This Row],[Employment]] + (Construction!AZ123+Construction!BX123)*(alch_plat+(Magic!AM122&gt;0)*alchemist_flame_bonus)</f>
        <v>29403.9</v>
      </c>
      <c r="AB122" s="97">
        <f ca="1">TblConstr[[#This Row],[Tot Farm]]*farm_food + TblConstr[[#This Row],[Tot Doc]]*dock_food</f>
        <v>3280</v>
      </c>
      <c r="AC122" s="97">
        <f ca="1">TblConstr[[#This Row],[Tot Ly]]*ly_lumber + TblConstr[[#This Row],[Tot Hav]]*fh_lumber</f>
        <v>1250</v>
      </c>
      <c r="AD122" s="97">
        <f ca="1">OFFSET(TblConstr[[#This Row],[Tot Tow]],1,0)*(tower_mana + tech_4_5*TblTech[[#This Row],[4-5]]) + OFFSET(TblConstr[[#This Row],[Tot WG]],1,0)*wg_mana_prod</f>
        <v>725</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2" s="159">
        <f ca="1">race_lumber_bonus+ IF(TblMagic[[#This Row],[Active Gaia''s Blessing]]&gt;0,gaias_blessing_lumber)+ tech_1_3*TblTech[[#This Row],[1-3]] + tech_1_6*TblTech[[#This Row],[1-6]] + tech_3_3*TblTech[[#This Row],[3-3]]</f>
        <v>-0.1</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0.15</v>
      </c>
      <c r="AN122" s="145"/>
      <c r="AO122" s="97">
        <f ca="1">TblProd[[#This Row],[Food]]*food_decay * (1 + tech_2_1*TblTech[[#This Row],[2-1]] + tech_2_8*TblTech[[#This Row],[2-8]])</f>
        <v>66.52</v>
      </c>
      <c r="AP122" s="97">
        <f ca="1">(1+race_food_consumption)*TblPop[[#This Row],[Total]]*food_per_person*(1+tech_1_10*TblTech[[#This Row],[1-10]]+tech_7_5*TblTech[[#This Row],[7-5]])</f>
        <v>3234.75</v>
      </c>
      <c r="AQ122" s="97">
        <f ca="1">TblProd[[#This Row],[Lumber]]*lumber_rot * (1 + tech_2_1*TblTech[[#This Row],[2-1]] + tech_2_8*TblTech[[#This Row],[2-8]] + tech_5_2*TblTech[[#This Row],[5-2]])</f>
        <v>504.93</v>
      </c>
      <c r="AR122" s="97">
        <f ca="1">TblProd[[#This Row],[Mana]]*mana_drain * (1 + tech_2_1*TblTech[[#This Row],[2-1]] + tech_2_8*TblTech[[#This Row],[2-8]])</f>
        <v>295.70999999999998</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45434.66666666638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1804639</v>
      </c>
      <c r="BJ122" s="97">
        <f ca="1">TblProd[[#This Row],[Food]]</f>
        <v>6652</v>
      </c>
      <c r="BK122" s="97">
        <f ca="1">TblProd[[#This Row],[Lumber]]</f>
        <v>50493</v>
      </c>
      <c r="BL122" s="97">
        <f ca="1">TblProd[[#This Row],[Mana]]</f>
        <v>14785.5</v>
      </c>
      <c r="BM122" s="97">
        <f ca="1">TblProd[[#This Row],[Ore]]</f>
        <v>0</v>
      </c>
    </row>
    <row r="123" spans="1:65" x14ac:dyDescent="0.2">
      <c r="A123" s="140">
        <v>48</v>
      </c>
      <c r="B123" s="155">
        <f ca="1">TblImps[[#This Row],[Time]]</f>
        <v>45434.708333333045</v>
      </c>
      <c r="C123" s="156"/>
      <c r="D123" s="157"/>
      <c r="E123" s="97">
        <f ca="1">TblConstr[[#This Row],[Land]]</f>
        <v>700</v>
      </c>
      <c r="F123" s="97">
        <f ca="1">TblPop[[#This Row],[Peasants]]</f>
        <v>6244</v>
      </c>
      <c r="G123" s="97">
        <f ca="1">TblMili[[#This Row],[Networth (2)]]</f>
        <v>42359.8</v>
      </c>
      <c r="H123" s="97">
        <f ca="1">OFFSET(TblProd[[#This Row],[Platinum]],-1,0)+OFFSET(TblProd[[#This Row],[Plat/hr]],-1,0) - TblProd[[#This Row],[Expenses Platinum]] + IF(TblProd[[#This Row],[Plat Bonus]],TblPop[[#This Row],[Peasants]]*4) + SUM(TblConstr[[#This Row],[Dest Hom]:[Dest Doc]])*TblConstr[[#This Row],[CPA Platinum -DB]]*tech_3_3_2*TblTech[[#This Row],[3-3]]</f>
        <v>1834042</v>
      </c>
      <c r="I123" s="97">
        <f ca="1">OFFSET(TblProd[[#This Row],[Food]],-1,0)+OFFSET(TblProd[[#This Row],[Food/hr]],-1,0)+ROUNDUP((TblConstr[[#This Row],[Farms]]*80+TblConstr[[#This Row],[Docks]]*35)*(1+OFFSET(TblProd[[#This Row],[Bonus Food/hr]],-1,0)),0)</f>
        <v>6713</v>
      </c>
      <c r="J123" s="97">
        <f ca="1">OFFSET(TblProd[[#This Row],[Lumber]],-1,0)+OFFSET(TblProd[[#This Row],[Lumber/hr]],-1,0) - TblProd[[#This Row],[Expenses Lumber]] + SUM(TblConstr[[#This Row],[Dest Hom]:[Dest Doc]])*TblConstr[[#This Row],[CPA Lumber -DB]]*tech_3_3_2*TblTech[[#This Row],[3-3]]</f>
        <v>51113</v>
      </c>
      <c r="K123" s="97">
        <f ca="1">OFFSET(TblProd[[#This Row],[Mana]],-1,0)+OFFSET(TblProd[[#This Row],[Mana/hr]],-1,0)- TblProd[[#This Row],[Expenses Mana]]</f>
        <v>15214.5</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84.650000000000105</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3" s="97">
        <f ca="1">MAX(3750,_xlfn.CEILING.MATH(TblProd[[#This Row],[Land]]*2.5+OFFSET(TblTech[[#This Row],[Sum of tech]],-1,0)*150))</f>
        <v>3750</v>
      </c>
      <c r="R123" s="145"/>
      <c r="S123" s="97">
        <f ca="1">ROUNDDOWN(TblProd[[#This Row],[Raw Plat/hr]]*(1+TblProd[[#This Row],[Bonus Plat/hr]]),0)</f>
        <v>29233</v>
      </c>
      <c r="T123" s="97">
        <f ca="1">ROUND(TblProd[[#This Row],[Raw Food/hr]]*(1+TblProd[[#This Row],[Bonus Food/hr]])-TblProd[[#This Row],[Food decay]]-TblProd[[#This Row],[Food eaten]],0)</f>
        <v>60</v>
      </c>
      <c r="U123" s="97">
        <f ca="1">ROUND(TblProd[[#This Row],[Raw Lumber/hr]]*(1+TblProd[[#This Row],[Bonus Lumber/hr]])-TblProd[[#This Row],[Lumber rot]],0)</f>
        <v>614</v>
      </c>
      <c r="V123" s="97">
        <f ca="1">ROUND(TblProd[[#This Row],[Raw Mana/hr]]*(1+TblProd[[#This Row],[Bonus Mana/hr]])-TblProd[[#This Row],[Mana drain]],0)</f>
        <v>421</v>
      </c>
      <c r="W123" s="97">
        <f ca="1">ROUNDDOWN(TblProd[[#This Row],[Raw Ore/hr]]*(1+TblProd[[#This Row],[Bonux Ore/hr]]),0)</f>
        <v>0</v>
      </c>
      <c r="X123" s="97">
        <f ca="1">ROUNDDOWN(TblProd[[#This Row],[Raw Gems/hr]]*(1+TblProd[[#This Row],[Bonus Gems/hr]]),0)</f>
        <v>0</v>
      </c>
      <c r="Y123" s="158">
        <f ca="1">OFFSET(TblConstr[[#This Row],[Tot Doc]],1,0)*dock_boats_hr * (1 + tech_4_1*TblTech[[#This Row],[4-1]])</f>
        <v>1.2000000000000002</v>
      </c>
      <c r="Z123" s="157"/>
      <c r="AA123" s="97">
        <f ca="1">TblPop[[#This Row],[Peasants]]*tax*TblPop[[#This Row],[Employment]] + (Construction!AZ124+Construction!BX124)*(alch_plat+(Magic!AM123&gt;0)*alchemist_flame_bonus)</f>
        <v>29233.800000000003</v>
      </c>
      <c r="AB123" s="97">
        <f ca="1">TblConstr[[#This Row],[Tot Farm]]*farm_food + TblConstr[[#This Row],[Tot Doc]]*dock_food</f>
        <v>3280</v>
      </c>
      <c r="AC123" s="97">
        <f ca="1">TblConstr[[#This Row],[Tot Ly]]*ly_lumber + TblConstr[[#This Row],[Tot Hav]]*fh_lumber</f>
        <v>1250</v>
      </c>
      <c r="AD123" s="97">
        <f ca="1">OFFSET(TblConstr[[#This Row],[Tot Tow]],1,0)*(tower_mana + tech_4_5*TblTech[[#This Row],[4-5]]) + OFFSET(TblConstr[[#This Row],[Tot WG]],1,0)*wg_mana_prod</f>
        <v>725</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3" s="159">
        <f ca="1">race_lumber_bonus+ IF(TblMagic[[#This Row],[Active Gaia''s Blessing]]&gt;0,gaias_blessing_lumber)+ tech_1_3*TblTech[[#This Row],[1-3]] + tech_1_6*TblTech[[#This Row],[1-6]] + tech_3_3*TblTech[[#This Row],[3-3]]</f>
        <v>-0.1</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0.15</v>
      </c>
      <c r="AN123" s="145"/>
      <c r="AO123" s="97">
        <f ca="1">TblProd[[#This Row],[Food]]*food_decay * (1 + tech_2_1*TblTech[[#This Row],[2-1]] + tech_2_8*TblTech[[#This Row],[2-8]])</f>
        <v>67.13</v>
      </c>
      <c r="AP123" s="97">
        <f ca="1">(1+race_food_consumption)*TblPop[[#This Row],[Total]]*food_per_person*(1+tech_1_10*TblTech[[#This Row],[1-10]]+tech_7_5*TblTech[[#This Row],[7-5]])</f>
        <v>3234.75</v>
      </c>
      <c r="AQ123" s="97">
        <f ca="1">TblProd[[#This Row],[Lumber]]*lumber_rot * (1 + tech_2_1*TblTech[[#This Row],[2-1]] + tech_2_8*TblTech[[#This Row],[2-8]] + tech_5_2*TblTech[[#This Row],[5-2]])</f>
        <v>511.13</v>
      </c>
      <c r="AR123" s="97">
        <f ca="1">TblProd[[#This Row],[Mana]]*mana_drain * (1 + tech_2_1*TblTech[[#This Row],[2-1]] + tech_2_8*TblTech[[#This Row],[2-8]])</f>
        <v>304.29000000000002</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45434.708333333045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1834042</v>
      </c>
      <c r="BJ123" s="97">
        <f ca="1">TblProd[[#This Row],[Food]]</f>
        <v>6713</v>
      </c>
      <c r="BK123" s="97">
        <f ca="1">TblProd[[#This Row],[Lumber]]</f>
        <v>51113</v>
      </c>
      <c r="BL123" s="97">
        <f ca="1">TblProd[[#This Row],[Mana]]</f>
        <v>15214.5</v>
      </c>
      <c r="BM123" s="97">
        <f ca="1">TblProd[[#This Row],[Ore]]</f>
        <v>0</v>
      </c>
    </row>
    <row r="124" spans="1:65" x14ac:dyDescent="0.2">
      <c r="A124" s="140">
        <v>49</v>
      </c>
      <c r="B124" s="155">
        <f ca="1">TblImps[[#This Row],[Time]]</f>
        <v>45434.749999999709</v>
      </c>
      <c r="C124" s="156"/>
      <c r="D124" s="157"/>
      <c r="E124" s="97">
        <f ca="1">TblConstr[[#This Row],[Land]]</f>
        <v>700</v>
      </c>
      <c r="F124" s="97">
        <f ca="1">TblPop[[#This Row],[Peasants]]</f>
        <v>6182</v>
      </c>
      <c r="G124" s="97">
        <f ca="1">TblMili[[#This Row],[Networth (2)]]</f>
        <v>42359.8</v>
      </c>
      <c r="H124" s="97">
        <f ca="1">OFFSET(TblProd[[#This Row],[Platinum]],-1,0)+OFFSET(TblProd[[#This Row],[Plat/hr]],-1,0) - TblProd[[#This Row],[Expenses Platinum]] + IF(TblProd[[#This Row],[Plat Bonus]],TblPop[[#This Row],[Peasants]]*4) + SUM(TblConstr[[#This Row],[Dest Hom]:[Dest Doc]])*TblConstr[[#This Row],[CPA Platinum -DB]]*tech_3_3_2*TblTech[[#This Row],[3-3]]</f>
        <v>1863275</v>
      </c>
      <c r="I124" s="97">
        <f ca="1">OFFSET(TblProd[[#This Row],[Food]],-1,0)+OFFSET(TblProd[[#This Row],[Food/hr]],-1,0)+ROUNDUP((TblConstr[[#This Row],[Farms]]*80+TblConstr[[#This Row],[Docks]]*35)*(1+OFFSET(TblProd[[#This Row],[Bonus Food/hr]],-1,0)),0)</f>
        <v>6773</v>
      </c>
      <c r="J124" s="97">
        <f ca="1">OFFSET(TblProd[[#This Row],[Lumber]],-1,0)+OFFSET(TblProd[[#This Row],[Lumber/hr]],-1,0) - TblProd[[#This Row],[Expenses Lumber]] + SUM(TblConstr[[#This Row],[Dest Hom]:[Dest Doc]])*TblConstr[[#This Row],[CPA Lumber -DB]]*tech_3_3_2*TblTech[[#This Row],[3-3]]</f>
        <v>51727</v>
      </c>
      <c r="K124" s="97">
        <f ca="1">OFFSET(TblProd[[#This Row],[Mana]],-1,0)+OFFSET(TblProd[[#This Row],[Mana/hr]],-1,0)- TblProd[[#This Row],[Expenses Mana]]</f>
        <v>15635.5</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85.850000000000108</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4" s="97">
        <f ca="1">MAX(3750,_xlfn.CEILING.MATH(TblProd[[#This Row],[Land]]*2.5+OFFSET(TblTech[[#This Row],[Sum of tech]],-1,0)*150))</f>
        <v>3750</v>
      </c>
      <c r="R124" s="145"/>
      <c r="S124" s="97">
        <f ca="1">ROUNDDOWN(TblProd[[#This Row],[Raw Plat/hr]]*(1+TblProd[[#This Row],[Bonus Plat/hr]]),0)</f>
        <v>29066</v>
      </c>
      <c r="T124" s="97">
        <f ca="1">ROUND(TblProd[[#This Row],[Raw Food/hr]]*(1+TblProd[[#This Row],[Bonus Food/hr]])-TblProd[[#This Row],[Food decay]]-TblProd[[#This Row],[Food eaten]],0)</f>
        <v>60</v>
      </c>
      <c r="U124" s="97">
        <f ca="1">ROUND(TblProd[[#This Row],[Raw Lumber/hr]]*(1+TblProd[[#This Row],[Bonus Lumber/hr]])-TblProd[[#This Row],[Lumber rot]],0)</f>
        <v>608</v>
      </c>
      <c r="V124" s="97">
        <f ca="1">ROUND(TblProd[[#This Row],[Raw Mana/hr]]*(1+TblProd[[#This Row],[Bonus Mana/hr]])-TblProd[[#This Row],[Mana drain]],0)</f>
        <v>412</v>
      </c>
      <c r="W124" s="97">
        <f ca="1">ROUNDDOWN(TblProd[[#This Row],[Raw Ore/hr]]*(1+TblProd[[#This Row],[Bonux Ore/hr]]),0)</f>
        <v>0</v>
      </c>
      <c r="X124" s="97">
        <f ca="1">ROUNDDOWN(TblProd[[#This Row],[Raw Gems/hr]]*(1+TblProd[[#This Row],[Bonus Gems/hr]]),0)</f>
        <v>0</v>
      </c>
      <c r="Y124" s="158">
        <f ca="1">OFFSET(TblConstr[[#This Row],[Tot Doc]],1,0)*dock_boats_hr * (1 + tech_4_1*TblTech[[#This Row],[4-1]])</f>
        <v>1.2000000000000002</v>
      </c>
      <c r="Z124" s="157"/>
      <c r="AA124" s="97">
        <f ca="1">TblPop[[#This Row],[Peasants]]*tax*TblPop[[#This Row],[Employment]] + (Construction!AZ125+Construction!BX125)*(alch_plat+(Magic!AM124&gt;0)*alchemist_flame_bonus)</f>
        <v>29066.400000000001</v>
      </c>
      <c r="AB124" s="97">
        <f ca="1">TblConstr[[#This Row],[Tot Farm]]*farm_food + TblConstr[[#This Row],[Tot Doc]]*dock_food</f>
        <v>3280</v>
      </c>
      <c r="AC124" s="97">
        <f ca="1">TblConstr[[#This Row],[Tot Ly]]*ly_lumber + TblConstr[[#This Row],[Tot Hav]]*fh_lumber</f>
        <v>1250</v>
      </c>
      <c r="AD124" s="97">
        <f ca="1">OFFSET(TblConstr[[#This Row],[Tot Tow]],1,0)*(tower_mana + tech_4_5*TblTech[[#This Row],[4-5]]) + OFFSET(TblConstr[[#This Row],[Tot WG]],1,0)*wg_mana_prod</f>
        <v>725</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4" s="159">
        <f ca="1">race_lumber_bonus+ IF(TblMagic[[#This Row],[Active Gaia''s Blessing]]&gt;0,gaias_blessing_lumber)+ tech_1_3*TblTech[[#This Row],[1-3]] + tech_1_6*TblTech[[#This Row],[1-6]] + tech_3_3*TblTech[[#This Row],[3-3]]</f>
        <v>-0.1</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0.15</v>
      </c>
      <c r="AN124" s="145"/>
      <c r="AO124" s="97">
        <f ca="1">TblProd[[#This Row],[Food]]*food_decay * (1 + tech_2_1*TblTech[[#This Row],[2-1]] + tech_2_8*TblTech[[#This Row],[2-8]])</f>
        <v>67.73</v>
      </c>
      <c r="AP124" s="97">
        <f ca="1">(1+race_food_consumption)*TblPop[[#This Row],[Total]]*food_per_person*(1+tech_1_10*TblTech[[#This Row],[1-10]]+tech_7_5*TblTech[[#This Row],[7-5]])</f>
        <v>3234.75</v>
      </c>
      <c r="AQ124" s="97">
        <f ca="1">TblProd[[#This Row],[Lumber]]*lumber_rot * (1 + tech_2_1*TblTech[[#This Row],[2-1]] + tech_2_8*TblTech[[#This Row],[2-8]] + tech_5_2*TblTech[[#This Row],[5-2]])</f>
        <v>517.27</v>
      </c>
      <c r="AR124" s="97">
        <f ca="1">TblProd[[#This Row],[Mana]]*mana_drain * (1 + tech_2_1*TblTech[[#This Row],[2-1]] + tech_2_8*TblTech[[#This Row],[2-8]])</f>
        <v>312.70999999999998</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45434.749999999709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1863275</v>
      </c>
      <c r="BJ124" s="97">
        <f ca="1">TblProd[[#This Row],[Food]]</f>
        <v>6773</v>
      </c>
      <c r="BK124" s="97">
        <f ca="1">TblProd[[#This Row],[Lumber]]</f>
        <v>51727</v>
      </c>
      <c r="BL124" s="97">
        <f ca="1">TblProd[[#This Row],[Mana]]</f>
        <v>15635.5</v>
      </c>
      <c r="BM124" s="97">
        <f ca="1">TblProd[[#This Row],[Ore]]</f>
        <v>0</v>
      </c>
    </row>
    <row r="125" spans="1:65" x14ac:dyDescent="0.2">
      <c r="A125" s="140">
        <v>50</v>
      </c>
      <c r="B125" s="155">
        <f ca="1">TblImps[[#This Row],[Time]]</f>
        <v>45434.791666666373</v>
      </c>
      <c r="C125" s="156"/>
      <c r="D125" s="157"/>
      <c r="E125" s="97">
        <f ca="1">TblConstr[[#This Row],[Land]]</f>
        <v>700</v>
      </c>
      <c r="F125" s="97">
        <f ca="1">TblPop[[#This Row],[Peasants]]</f>
        <v>6120</v>
      </c>
      <c r="G125" s="97">
        <f ca="1">TblMili[[#This Row],[Networth (2)]]</f>
        <v>42359.8</v>
      </c>
      <c r="H125" s="97">
        <f ca="1">OFFSET(TblProd[[#This Row],[Platinum]],-1,0)+OFFSET(TblProd[[#This Row],[Plat/hr]],-1,0) - TblProd[[#This Row],[Expenses Platinum]] + IF(TblProd[[#This Row],[Plat Bonus]],TblPop[[#This Row],[Peasants]]*4) + SUM(TblConstr[[#This Row],[Dest Hom]:[Dest Doc]])*TblConstr[[#This Row],[CPA Platinum -DB]]*tech_3_3_2*TblTech[[#This Row],[3-3]]</f>
        <v>1892341</v>
      </c>
      <c r="I125" s="97">
        <f ca="1">OFFSET(TblProd[[#This Row],[Food]],-1,0)+OFFSET(TblProd[[#This Row],[Food/hr]],-1,0)+ROUNDUP((TblConstr[[#This Row],[Farms]]*80+TblConstr[[#This Row],[Docks]]*35)*(1+OFFSET(TblProd[[#This Row],[Bonus Food/hr]],-1,0)),0)</f>
        <v>6833</v>
      </c>
      <c r="J125" s="97">
        <f ca="1">OFFSET(TblProd[[#This Row],[Lumber]],-1,0)+OFFSET(TblProd[[#This Row],[Lumber/hr]],-1,0) - TblProd[[#This Row],[Expenses Lumber]] + SUM(TblConstr[[#This Row],[Dest Hom]:[Dest Doc]])*TblConstr[[#This Row],[CPA Lumber -DB]]*tech_3_3_2*TblTech[[#This Row],[3-3]]</f>
        <v>52335</v>
      </c>
      <c r="K125" s="97">
        <f ca="1">OFFSET(TblProd[[#This Row],[Mana]],-1,0)+OFFSET(TblProd[[#This Row],[Mana/hr]],-1,0)- TblProd[[#This Row],[Expenses Mana]]</f>
        <v>16047.5</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87.050000000000111</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5" s="97">
        <f ca="1">MAX(3750,_xlfn.CEILING.MATH(TblProd[[#This Row],[Land]]*2.5+OFFSET(TblTech[[#This Row],[Sum of tech]],-1,0)*150))</f>
        <v>3750</v>
      </c>
      <c r="R125" s="145"/>
      <c r="S125" s="97">
        <f ca="1">ROUNDDOWN(TblProd[[#This Row],[Raw Plat/hr]]*(1+TblProd[[#This Row],[Bonus Plat/hr]]),0)</f>
        <v>28899</v>
      </c>
      <c r="T125" s="97">
        <f ca="1">ROUND(TblProd[[#This Row],[Raw Food/hr]]*(1+TblProd[[#This Row],[Bonus Food/hr]])-TblProd[[#This Row],[Food decay]]-TblProd[[#This Row],[Food eaten]],0)</f>
        <v>59</v>
      </c>
      <c r="U125" s="97">
        <f ca="1">ROUND(TblProd[[#This Row],[Raw Lumber/hr]]*(1+TblProd[[#This Row],[Bonus Lumber/hr]])-TblProd[[#This Row],[Lumber rot]],0)</f>
        <v>602</v>
      </c>
      <c r="V125" s="97">
        <f ca="1">ROUND(TblProd[[#This Row],[Raw Mana/hr]]*(1+TblProd[[#This Row],[Bonus Mana/hr]])-TblProd[[#This Row],[Mana drain]],0)</f>
        <v>404</v>
      </c>
      <c r="W125" s="97">
        <f ca="1">ROUNDDOWN(TblProd[[#This Row],[Raw Ore/hr]]*(1+TblProd[[#This Row],[Bonux Ore/hr]]),0)</f>
        <v>0</v>
      </c>
      <c r="X125" s="97">
        <f ca="1">ROUNDDOWN(TblProd[[#This Row],[Raw Gems/hr]]*(1+TblProd[[#This Row],[Bonus Gems/hr]]),0)</f>
        <v>0</v>
      </c>
      <c r="Y125" s="158">
        <f ca="1">OFFSET(TblConstr[[#This Row],[Tot Doc]],1,0)*dock_boats_hr * (1 + tech_4_1*TblTech[[#This Row],[4-1]])</f>
        <v>1.2000000000000002</v>
      </c>
      <c r="Z125" s="157"/>
      <c r="AA125" s="97">
        <f ca="1">TblPop[[#This Row],[Peasants]]*tax*TblPop[[#This Row],[Employment]] + (Construction!AZ126+Construction!BX126)*(alch_plat+(Magic!AM125&gt;0)*alchemist_flame_bonus)</f>
        <v>28899</v>
      </c>
      <c r="AB125" s="97">
        <f ca="1">TblConstr[[#This Row],[Tot Farm]]*farm_food + TblConstr[[#This Row],[Tot Doc]]*dock_food</f>
        <v>3280</v>
      </c>
      <c r="AC125" s="97">
        <f ca="1">TblConstr[[#This Row],[Tot Ly]]*ly_lumber + TblConstr[[#This Row],[Tot Hav]]*fh_lumber</f>
        <v>1250</v>
      </c>
      <c r="AD125" s="97">
        <f ca="1">OFFSET(TblConstr[[#This Row],[Tot Tow]],1,0)*(tower_mana + tech_4_5*TblTech[[#This Row],[4-5]]) + OFFSET(TblConstr[[#This Row],[Tot WG]],1,0)*wg_mana_prod</f>
        <v>725</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5" s="159">
        <f ca="1">race_lumber_bonus+ IF(TblMagic[[#This Row],[Active Gaia''s Blessing]]&gt;0,gaias_blessing_lumber)+ tech_1_3*TblTech[[#This Row],[1-3]] + tech_1_6*TblTech[[#This Row],[1-6]] + tech_3_3*TblTech[[#This Row],[3-3]]</f>
        <v>-0.1</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0.15</v>
      </c>
      <c r="AN125" s="145"/>
      <c r="AO125" s="97">
        <f ca="1">TblProd[[#This Row],[Food]]*food_decay * (1 + tech_2_1*TblTech[[#This Row],[2-1]] + tech_2_8*TblTech[[#This Row],[2-8]])</f>
        <v>68.33</v>
      </c>
      <c r="AP125" s="97">
        <f ca="1">(1+race_food_consumption)*TblPop[[#This Row],[Total]]*food_per_person*(1+tech_1_10*TblTech[[#This Row],[1-10]]+tech_7_5*TblTech[[#This Row],[7-5]])</f>
        <v>3234.75</v>
      </c>
      <c r="AQ125" s="97">
        <f ca="1">TblProd[[#This Row],[Lumber]]*lumber_rot * (1 + tech_2_1*TblTech[[#This Row],[2-1]] + tech_2_8*TblTech[[#This Row],[2-8]] + tech_5_2*TblTech[[#This Row],[5-2]])</f>
        <v>523.35</v>
      </c>
      <c r="AR125" s="97">
        <f ca="1">TblProd[[#This Row],[Mana]]*mana_drain * (1 + tech_2_1*TblTech[[#This Row],[2-1]] + tech_2_8*TblTech[[#This Row],[2-8]])</f>
        <v>320.95</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45434.791666666373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1892341</v>
      </c>
      <c r="BJ125" s="97">
        <f ca="1">TblProd[[#This Row],[Food]]</f>
        <v>6833</v>
      </c>
      <c r="BK125" s="97">
        <f ca="1">TblProd[[#This Row],[Lumber]]</f>
        <v>52335</v>
      </c>
      <c r="BL125" s="97">
        <f ca="1">TblProd[[#This Row],[Mana]]</f>
        <v>16047.5</v>
      </c>
      <c r="BM125" s="97">
        <f ca="1">TblProd[[#This Row],[Ore]]</f>
        <v>0</v>
      </c>
    </row>
    <row r="126" spans="1:65" x14ac:dyDescent="0.2">
      <c r="A126" s="140">
        <v>51</v>
      </c>
      <c r="B126" s="155">
        <f ca="1">TblImps[[#This Row],[Time]]</f>
        <v>45434.833333333037</v>
      </c>
      <c r="C126" s="156"/>
      <c r="D126" s="157"/>
      <c r="E126" s="97">
        <f ca="1">TblConstr[[#This Row],[Land]]</f>
        <v>700</v>
      </c>
      <c r="F126" s="97">
        <f ca="1">TblPop[[#This Row],[Peasants]]</f>
        <v>6059</v>
      </c>
      <c r="G126" s="97">
        <f ca="1">TblMili[[#This Row],[Networth (2)]]</f>
        <v>42359.8</v>
      </c>
      <c r="H126" s="97">
        <f ca="1">OFFSET(TblProd[[#This Row],[Platinum]],-1,0)+OFFSET(TblProd[[#This Row],[Plat/hr]],-1,0) - TblProd[[#This Row],[Expenses Platinum]] + IF(TblProd[[#This Row],[Plat Bonus]],TblPop[[#This Row],[Peasants]]*4) + SUM(TblConstr[[#This Row],[Dest Hom]:[Dest Doc]])*TblConstr[[#This Row],[CPA Platinum -DB]]*tech_3_3_2*TblTech[[#This Row],[3-3]]</f>
        <v>1921240</v>
      </c>
      <c r="I126" s="97">
        <f ca="1">OFFSET(TblProd[[#This Row],[Food]],-1,0)+OFFSET(TblProd[[#This Row],[Food/hr]],-1,0)+ROUNDUP((TblConstr[[#This Row],[Farms]]*80+TblConstr[[#This Row],[Docks]]*35)*(1+OFFSET(TblProd[[#This Row],[Bonus Food/hr]],-1,0)),0)</f>
        <v>6892</v>
      </c>
      <c r="J126" s="97">
        <f ca="1">OFFSET(TblProd[[#This Row],[Lumber]],-1,0)+OFFSET(TblProd[[#This Row],[Lumber/hr]],-1,0) - TblProd[[#This Row],[Expenses Lumber]] + SUM(TblConstr[[#This Row],[Dest Hom]:[Dest Doc]])*TblConstr[[#This Row],[CPA Lumber -DB]]*tech_3_3_2*TblTech[[#This Row],[3-3]]</f>
        <v>52937</v>
      </c>
      <c r="K126" s="97">
        <f ca="1">OFFSET(TblProd[[#This Row],[Mana]],-1,0)+OFFSET(TblProd[[#This Row],[Mana/hr]],-1,0)- TblProd[[#This Row],[Expenses Mana]]</f>
        <v>16451.5</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88.250000000000114</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6" s="97">
        <f ca="1">MAX(3750,_xlfn.CEILING.MATH(TblProd[[#This Row],[Land]]*2.5+OFFSET(TblTech[[#This Row],[Sum of tech]],-1,0)*150))</f>
        <v>3750</v>
      </c>
      <c r="R126" s="145"/>
      <c r="S126" s="97">
        <f ca="1">ROUNDDOWN(TblProd[[#This Row],[Raw Plat/hr]]*(1+TblProd[[#This Row],[Bonus Plat/hr]]),0)</f>
        <v>28734</v>
      </c>
      <c r="T126" s="97">
        <f ca="1">ROUND(TblProd[[#This Row],[Raw Food/hr]]*(1+TblProd[[#This Row],[Bonus Food/hr]])-TblProd[[#This Row],[Food decay]]-TblProd[[#This Row],[Food eaten]],0)</f>
        <v>58</v>
      </c>
      <c r="U126" s="97">
        <f ca="1">ROUND(TblProd[[#This Row],[Raw Lumber/hr]]*(1+TblProd[[#This Row],[Bonus Lumber/hr]])-TblProd[[#This Row],[Lumber rot]],0)</f>
        <v>596</v>
      </c>
      <c r="V126" s="97">
        <f ca="1">ROUND(TblProd[[#This Row],[Raw Mana/hr]]*(1+TblProd[[#This Row],[Bonus Mana/hr]])-TblProd[[#This Row],[Mana drain]],0)</f>
        <v>396</v>
      </c>
      <c r="W126" s="97">
        <f ca="1">ROUNDDOWN(TblProd[[#This Row],[Raw Ore/hr]]*(1+TblProd[[#This Row],[Bonux Ore/hr]]),0)</f>
        <v>0</v>
      </c>
      <c r="X126" s="97">
        <f ca="1">ROUNDDOWN(TblProd[[#This Row],[Raw Gems/hr]]*(1+TblProd[[#This Row],[Bonus Gems/hr]]),0)</f>
        <v>0</v>
      </c>
      <c r="Y126" s="158">
        <f ca="1">OFFSET(TblConstr[[#This Row],[Tot Doc]],1,0)*dock_boats_hr * (1 + tech_4_1*TblTech[[#This Row],[4-1]])</f>
        <v>1.2000000000000002</v>
      </c>
      <c r="Z126" s="157"/>
      <c r="AA126" s="97">
        <f ca="1">TblPop[[#This Row],[Peasants]]*tax*TblPop[[#This Row],[Employment]] + (Construction!AZ127+Construction!BX127)*(alch_plat+(Magic!AM126&gt;0)*alchemist_flame_bonus)</f>
        <v>28734.300000000003</v>
      </c>
      <c r="AB126" s="97">
        <f ca="1">TblConstr[[#This Row],[Tot Farm]]*farm_food + TblConstr[[#This Row],[Tot Doc]]*dock_food</f>
        <v>3280</v>
      </c>
      <c r="AC126" s="97">
        <f ca="1">TblConstr[[#This Row],[Tot Ly]]*ly_lumber + TblConstr[[#This Row],[Tot Hav]]*fh_lumber</f>
        <v>1250</v>
      </c>
      <c r="AD126" s="97">
        <f ca="1">OFFSET(TblConstr[[#This Row],[Tot Tow]],1,0)*(tower_mana + tech_4_5*TblTech[[#This Row],[4-5]]) + OFFSET(TblConstr[[#This Row],[Tot WG]],1,0)*wg_mana_prod</f>
        <v>725</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6" s="159">
        <f ca="1">race_lumber_bonus+ IF(TblMagic[[#This Row],[Active Gaia''s Blessing]]&gt;0,gaias_blessing_lumber)+ tech_1_3*TblTech[[#This Row],[1-3]] + tech_1_6*TblTech[[#This Row],[1-6]] + tech_3_3*TblTech[[#This Row],[3-3]]</f>
        <v>-0.1</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0.15</v>
      </c>
      <c r="AN126" s="145"/>
      <c r="AO126" s="97">
        <f ca="1">TblProd[[#This Row],[Food]]*food_decay * (1 + tech_2_1*TblTech[[#This Row],[2-1]] + tech_2_8*TblTech[[#This Row],[2-8]])</f>
        <v>68.92</v>
      </c>
      <c r="AP126" s="97">
        <f ca="1">(1+race_food_consumption)*TblPop[[#This Row],[Total]]*food_per_person*(1+tech_1_10*TblTech[[#This Row],[1-10]]+tech_7_5*TblTech[[#This Row],[7-5]])</f>
        <v>3234.75</v>
      </c>
      <c r="AQ126" s="97">
        <f ca="1">TblProd[[#This Row],[Lumber]]*lumber_rot * (1 + tech_2_1*TblTech[[#This Row],[2-1]] + tech_2_8*TblTech[[#This Row],[2-8]] + tech_5_2*TblTech[[#This Row],[5-2]])</f>
        <v>529.37</v>
      </c>
      <c r="AR126" s="97">
        <f ca="1">TblProd[[#This Row],[Mana]]*mana_drain * (1 + tech_2_1*TblTech[[#This Row],[2-1]] + tech_2_8*TblTech[[#This Row],[2-8]])</f>
        <v>329.03000000000003</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45434.833333333037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1921240</v>
      </c>
      <c r="BJ126" s="97">
        <f ca="1">TblProd[[#This Row],[Food]]</f>
        <v>6892</v>
      </c>
      <c r="BK126" s="97">
        <f ca="1">TblProd[[#This Row],[Lumber]]</f>
        <v>52937</v>
      </c>
      <c r="BL126" s="97">
        <f ca="1">TblProd[[#This Row],[Mana]]</f>
        <v>16451.5</v>
      </c>
      <c r="BM126" s="97">
        <f ca="1">TblProd[[#This Row],[Ore]]</f>
        <v>0</v>
      </c>
    </row>
    <row r="127" spans="1:65" x14ac:dyDescent="0.2">
      <c r="A127" s="140">
        <v>52</v>
      </c>
      <c r="B127" s="155">
        <f ca="1">TblImps[[#This Row],[Time]]</f>
        <v>45434.874999999702</v>
      </c>
      <c r="C127" s="156"/>
      <c r="D127" s="157"/>
      <c r="E127" s="97">
        <f ca="1">TblConstr[[#This Row],[Land]]</f>
        <v>700</v>
      </c>
      <c r="F127" s="97">
        <f ca="1">TblPop[[#This Row],[Peasants]]</f>
        <v>5998</v>
      </c>
      <c r="G127" s="97">
        <f ca="1">TblMili[[#This Row],[Networth (2)]]</f>
        <v>42359.8</v>
      </c>
      <c r="H127" s="97">
        <f ca="1">OFFSET(TblProd[[#This Row],[Platinum]],-1,0)+OFFSET(TblProd[[#This Row],[Plat/hr]],-1,0) - TblProd[[#This Row],[Expenses Platinum]] + IF(TblProd[[#This Row],[Plat Bonus]],TblPop[[#This Row],[Peasants]]*4) + SUM(TblConstr[[#This Row],[Dest Hom]:[Dest Doc]])*TblConstr[[#This Row],[CPA Platinum -DB]]*tech_3_3_2*TblTech[[#This Row],[3-3]]</f>
        <v>1949974</v>
      </c>
      <c r="I127" s="97">
        <f ca="1">OFFSET(TblProd[[#This Row],[Food]],-1,0)+OFFSET(TblProd[[#This Row],[Food/hr]],-1,0)+ROUNDUP((TblConstr[[#This Row],[Farms]]*80+TblConstr[[#This Row],[Docks]]*35)*(1+OFFSET(TblProd[[#This Row],[Bonus Food/hr]],-1,0)),0)</f>
        <v>6950</v>
      </c>
      <c r="J127" s="97">
        <f ca="1">OFFSET(TblProd[[#This Row],[Lumber]],-1,0)+OFFSET(TblProd[[#This Row],[Lumber/hr]],-1,0) - TblProd[[#This Row],[Expenses Lumber]] + SUM(TblConstr[[#This Row],[Dest Hom]:[Dest Doc]])*TblConstr[[#This Row],[CPA Lumber -DB]]*tech_3_3_2*TblTech[[#This Row],[3-3]]</f>
        <v>53533</v>
      </c>
      <c r="K127" s="97">
        <f ca="1">OFFSET(TblProd[[#This Row],[Mana]],-1,0)+OFFSET(TblProd[[#This Row],[Mana/hr]],-1,0)- TblProd[[#This Row],[Expenses Mana]]</f>
        <v>16847.5</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89.450000000000117</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7" s="97">
        <f ca="1">MAX(3750,_xlfn.CEILING.MATH(TblProd[[#This Row],[Land]]*2.5+OFFSET(TblTech[[#This Row],[Sum of tech]],-1,0)*150))</f>
        <v>3750</v>
      </c>
      <c r="R127" s="145"/>
      <c r="S127" s="97">
        <f ca="1">ROUNDDOWN(TblProd[[#This Row],[Raw Plat/hr]]*(1+TblProd[[#This Row],[Bonus Plat/hr]]),0)</f>
        <v>28569</v>
      </c>
      <c r="T127" s="97">
        <f ca="1">ROUND(TblProd[[#This Row],[Raw Food/hr]]*(1+TblProd[[#This Row],[Bonus Food/hr]])-TblProd[[#This Row],[Food decay]]-TblProd[[#This Row],[Food eaten]],0)</f>
        <v>58</v>
      </c>
      <c r="U127" s="97">
        <f ca="1">ROUND(TblProd[[#This Row],[Raw Lumber/hr]]*(1+TblProd[[#This Row],[Bonus Lumber/hr]])-TblProd[[#This Row],[Lumber rot]],0)</f>
        <v>590</v>
      </c>
      <c r="V127" s="97">
        <f ca="1">ROUND(TblProd[[#This Row],[Raw Mana/hr]]*(1+TblProd[[#This Row],[Bonus Mana/hr]])-TblProd[[#This Row],[Mana drain]],0)</f>
        <v>388</v>
      </c>
      <c r="W127" s="97">
        <f ca="1">ROUNDDOWN(TblProd[[#This Row],[Raw Ore/hr]]*(1+TblProd[[#This Row],[Bonux Ore/hr]]),0)</f>
        <v>0</v>
      </c>
      <c r="X127" s="97">
        <f ca="1">ROUNDDOWN(TblProd[[#This Row],[Raw Gems/hr]]*(1+TblProd[[#This Row],[Bonus Gems/hr]]),0)</f>
        <v>0</v>
      </c>
      <c r="Y127" s="158">
        <f ca="1">OFFSET(TblConstr[[#This Row],[Tot Doc]],1,0)*dock_boats_hr * (1 + tech_4_1*TblTech[[#This Row],[4-1]])</f>
        <v>1.2000000000000002</v>
      </c>
      <c r="Z127" s="157"/>
      <c r="AA127" s="97">
        <f ca="1">TblPop[[#This Row],[Peasants]]*tax*TblPop[[#This Row],[Employment]] + (Construction!AZ128+Construction!BX128)*(alch_plat+(Magic!AM127&gt;0)*alchemist_flame_bonus)</f>
        <v>28569.599999999999</v>
      </c>
      <c r="AB127" s="97">
        <f ca="1">TblConstr[[#This Row],[Tot Farm]]*farm_food + TblConstr[[#This Row],[Tot Doc]]*dock_food</f>
        <v>3280</v>
      </c>
      <c r="AC127" s="97">
        <f ca="1">TblConstr[[#This Row],[Tot Ly]]*ly_lumber + TblConstr[[#This Row],[Tot Hav]]*fh_lumber</f>
        <v>1250</v>
      </c>
      <c r="AD127" s="97">
        <f ca="1">OFFSET(TblConstr[[#This Row],[Tot Tow]],1,0)*(tower_mana + tech_4_5*TblTech[[#This Row],[4-5]]) + OFFSET(TblConstr[[#This Row],[Tot WG]],1,0)*wg_mana_prod</f>
        <v>725</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7" s="159">
        <f ca="1">race_lumber_bonus+ IF(TblMagic[[#This Row],[Active Gaia''s Blessing]]&gt;0,gaias_blessing_lumber)+ tech_1_3*TblTech[[#This Row],[1-3]] + tech_1_6*TblTech[[#This Row],[1-6]] + tech_3_3*TblTech[[#This Row],[3-3]]</f>
        <v>-0.1</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0.15</v>
      </c>
      <c r="AN127" s="145"/>
      <c r="AO127" s="97">
        <f ca="1">TblProd[[#This Row],[Food]]*food_decay * (1 + tech_2_1*TblTech[[#This Row],[2-1]] + tech_2_8*TblTech[[#This Row],[2-8]])</f>
        <v>69.5</v>
      </c>
      <c r="AP127" s="97">
        <f ca="1">(1+race_food_consumption)*TblPop[[#This Row],[Total]]*food_per_person*(1+tech_1_10*TblTech[[#This Row],[1-10]]+tech_7_5*TblTech[[#This Row],[7-5]])</f>
        <v>3234.75</v>
      </c>
      <c r="AQ127" s="97">
        <f ca="1">TblProd[[#This Row],[Lumber]]*lumber_rot * (1 + tech_2_1*TblTech[[#This Row],[2-1]] + tech_2_8*TblTech[[#This Row],[2-8]] + tech_5_2*TblTech[[#This Row],[5-2]])</f>
        <v>535.33000000000004</v>
      </c>
      <c r="AR127" s="97">
        <f ca="1">TblProd[[#This Row],[Mana]]*mana_drain * (1 + tech_2_1*TblTech[[#This Row],[2-1]] + tech_2_8*TblTech[[#This Row],[2-8]])</f>
        <v>336.95</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45434.874999999702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1949974</v>
      </c>
      <c r="BJ127" s="97">
        <f ca="1">TblProd[[#This Row],[Food]]</f>
        <v>6950</v>
      </c>
      <c r="BK127" s="97">
        <f ca="1">TblProd[[#This Row],[Lumber]]</f>
        <v>53533</v>
      </c>
      <c r="BL127" s="97">
        <f ca="1">TblProd[[#This Row],[Mana]]</f>
        <v>16847.5</v>
      </c>
      <c r="BM127" s="97">
        <f ca="1">TblProd[[#This Row],[Ore]]</f>
        <v>0</v>
      </c>
    </row>
    <row r="128" spans="1:65" x14ac:dyDescent="0.2">
      <c r="A128" s="140">
        <v>53</v>
      </c>
      <c r="B128" s="155">
        <f ca="1">TblImps[[#This Row],[Time]]</f>
        <v>45434.916666666366</v>
      </c>
      <c r="C128" s="156"/>
      <c r="D128" s="157"/>
      <c r="E128" s="97">
        <f ca="1">TblConstr[[#This Row],[Land]]</f>
        <v>700</v>
      </c>
      <c r="F128" s="97">
        <f ca="1">TblPop[[#This Row],[Peasants]]</f>
        <v>5938</v>
      </c>
      <c r="G128" s="97">
        <f ca="1">TblMili[[#This Row],[Networth (2)]]</f>
        <v>42359.8</v>
      </c>
      <c r="H128" s="97">
        <f ca="1">OFFSET(TblProd[[#This Row],[Platinum]],-1,0)+OFFSET(TblProd[[#This Row],[Plat/hr]],-1,0) - TblProd[[#This Row],[Expenses Platinum]] + IF(TblProd[[#This Row],[Plat Bonus]],TblPop[[#This Row],[Peasants]]*4) + SUM(TblConstr[[#This Row],[Dest Hom]:[Dest Doc]])*TblConstr[[#This Row],[CPA Platinum -DB]]*tech_3_3_2*TblTech[[#This Row],[3-3]]</f>
        <v>1978543</v>
      </c>
      <c r="I128" s="97">
        <f ca="1">OFFSET(TblProd[[#This Row],[Food]],-1,0)+OFFSET(TblProd[[#This Row],[Food/hr]],-1,0)+ROUNDUP((TblConstr[[#This Row],[Farms]]*80+TblConstr[[#This Row],[Docks]]*35)*(1+OFFSET(TblProd[[#This Row],[Bonus Food/hr]],-1,0)),0)</f>
        <v>7008</v>
      </c>
      <c r="J128" s="97">
        <f ca="1">OFFSET(TblProd[[#This Row],[Lumber]],-1,0)+OFFSET(TblProd[[#This Row],[Lumber/hr]],-1,0) - TblProd[[#This Row],[Expenses Lumber]] + SUM(TblConstr[[#This Row],[Dest Hom]:[Dest Doc]])*TblConstr[[#This Row],[CPA Lumber -DB]]*tech_3_3_2*TblTech[[#This Row],[3-3]]</f>
        <v>54123</v>
      </c>
      <c r="K128" s="97">
        <f ca="1">OFFSET(TblProd[[#This Row],[Mana]],-1,0)+OFFSET(TblProd[[#This Row],[Mana/hr]],-1,0)- TblProd[[#This Row],[Expenses Mana]]</f>
        <v>17235.5</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90.650000000000119</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8" s="97">
        <f ca="1">MAX(3750,_xlfn.CEILING.MATH(TblProd[[#This Row],[Land]]*2.5+OFFSET(TblTech[[#This Row],[Sum of tech]],-1,0)*150))</f>
        <v>3750</v>
      </c>
      <c r="R128" s="145"/>
      <c r="S128" s="97">
        <f ca="1">ROUNDDOWN(TblProd[[#This Row],[Raw Plat/hr]]*(1+TblProd[[#This Row],[Bonus Plat/hr]]),0)</f>
        <v>28407</v>
      </c>
      <c r="T128" s="97">
        <f ca="1">ROUND(TblProd[[#This Row],[Raw Food/hr]]*(1+TblProd[[#This Row],[Bonus Food/hr]])-TblProd[[#This Row],[Food decay]]-TblProd[[#This Row],[Food eaten]],0)</f>
        <v>57</v>
      </c>
      <c r="U128" s="97">
        <f ca="1">ROUND(TblProd[[#This Row],[Raw Lumber/hr]]*(1+TblProd[[#This Row],[Bonus Lumber/hr]])-TblProd[[#This Row],[Lumber rot]],0)</f>
        <v>584</v>
      </c>
      <c r="V128" s="97">
        <f ca="1">ROUND(TblProd[[#This Row],[Raw Mana/hr]]*(1+TblProd[[#This Row],[Bonus Mana/hr]])-TblProd[[#This Row],[Mana drain]],0)</f>
        <v>380</v>
      </c>
      <c r="W128" s="97">
        <f ca="1">ROUNDDOWN(TblProd[[#This Row],[Raw Ore/hr]]*(1+TblProd[[#This Row],[Bonux Ore/hr]]),0)</f>
        <v>0</v>
      </c>
      <c r="X128" s="97">
        <f ca="1">ROUNDDOWN(TblProd[[#This Row],[Raw Gems/hr]]*(1+TblProd[[#This Row],[Bonus Gems/hr]]),0)</f>
        <v>0</v>
      </c>
      <c r="Y128" s="158">
        <f ca="1">OFFSET(TblConstr[[#This Row],[Tot Doc]],1,0)*dock_boats_hr * (1 + tech_4_1*TblTech[[#This Row],[4-1]])</f>
        <v>1.2000000000000002</v>
      </c>
      <c r="Z128" s="157"/>
      <c r="AA128" s="97">
        <f ca="1">TblPop[[#This Row],[Peasants]]*tax*TblPop[[#This Row],[Employment]] + (Construction!AZ129+Construction!BX129)*(alch_plat+(Magic!AM128&gt;0)*alchemist_flame_bonus)</f>
        <v>28407.599999999999</v>
      </c>
      <c r="AB128" s="97">
        <f ca="1">TblConstr[[#This Row],[Tot Farm]]*farm_food + TblConstr[[#This Row],[Tot Doc]]*dock_food</f>
        <v>3280</v>
      </c>
      <c r="AC128" s="97">
        <f ca="1">TblConstr[[#This Row],[Tot Ly]]*ly_lumber + TblConstr[[#This Row],[Tot Hav]]*fh_lumber</f>
        <v>1250</v>
      </c>
      <c r="AD128" s="97">
        <f ca="1">OFFSET(TblConstr[[#This Row],[Tot Tow]],1,0)*(tower_mana + tech_4_5*TblTech[[#This Row],[4-5]]) + OFFSET(TblConstr[[#This Row],[Tot WG]],1,0)*wg_mana_prod</f>
        <v>725</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8" s="159">
        <f ca="1">race_lumber_bonus+ IF(TblMagic[[#This Row],[Active Gaia''s Blessing]]&gt;0,gaias_blessing_lumber)+ tech_1_3*TblTech[[#This Row],[1-3]] + tech_1_6*TblTech[[#This Row],[1-6]] + tech_3_3*TblTech[[#This Row],[3-3]]</f>
        <v>-0.1</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0.15</v>
      </c>
      <c r="AN128" s="145"/>
      <c r="AO128" s="97">
        <f ca="1">TblProd[[#This Row],[Food]]*food_decay * (1 + tech_2_1*TblTech[[#This Row],[2-1]] + tech_2_8*TblTech[[#This Row],[2-8]])</f>
        <v>70.08</v>
      </c>
      <c r="AP128" s="97">
        <f ca="1">(1+race_food_consumption)*TblPop[[#This Row],[Total]]*food_per_person*(1+tech_1_10*TblTech[[#This Row],[1-10]]+tech_7_5*TblTech[[#This Row],[7-5]])</f>
        <v>3234.75</v>
      </c>
      <c r="AQ128" s="97">
        <f ca="1">TblProd[[#This Row],[Lumber]]*lumber_rot * (1 + tech_2_1*TblTech[[#This Row],[2-1]] + tech_2_8*TblTech[[#This Row],[2-8]] + tech_5_2*TblTech[[#This Row],[5-2]])</f>
        <v>541.23</v>
      </c>
      <c r="AR128" s="97">
        <f ca="1">TblProd[[#This Row],[Mana]]*mana_drain * (1 + tech_2_1*TblTech[[#This Row],[2-1]] + tech_2_8*TblTech[[#This Row],[2-8]])</f>
        <v>344.71</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45434.916666666366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1978543</v>
      </c>
      <c r="BJ128" s="97">
        <f ca="1">TblProd[[#This Row],[Food]]</f>
        <v>7008</v>
      </c>
      <c r="BK128" s="97">
        <f ca="1">TblProd[[#This Row],[Lumber]]</f>
        <v>54123</v>
      </c>
      <c r="BL128" s="97">
        <f ca="1">TblProd[[#This Row],[Mana]]</f>
        <v>17235.5</v>
      </c>
      <c r="BM128" s="97">
        <f ca="1">TblProd[[#This Row],[Ore]]</f>
        <v>0</v>
      </c>
    </row>
    <row r="129" spans="1:65" x14ac:dyDescent="0.2">
      <c r="A129" s="140">
        <v>54</v>
      </c>
      <c r="B129" s="155">
        <f ca="1">TblImps[[#This Row],[Time]]</f>
        <v>45434.95833333303</v>
      </c>
      <c r="C129" s="156"/>
      <c r="D129" s="157"/>
      <c r="E129" s="97">
        <f ca="1">TblConstr[[#This Row],[Land]]</f>
        <v>700</v>
      </c>
      <c r="F129" s="97">
        <f ca="1">TblPop[[#This Row],[Peasants]]</f>
        <v>5879</v>
      </c>
      <c r="G129" s="97">
        <f ca="1">TblMili[[#This Row],[Networth (2)]]</f>
        <v>42359.8</v>
      </c>
      <c r="H129" s="97">
        <f ca="1">OFFSET(TblProd[[#This Row],[Platinum]],-1,0)+OFFSET(TblProd[[#This Row],[Plat/hr]],-1,0) - TblProd[[#This Row],[Expenses Platinum]] + IF(TblProd[[#This Row],[Plat Bonus]],TblPop[[#This Row],[Peasants]]*4) + SUM(TblConstr[[#This Row],[Dest Hom]:[Dest Doc]])*TblConstr[[#This Row],[CPA Platinum -DB]]*tech_3_3_2*TblTech[[#This Row],[3-3]]</f>
        <v>2006950</v>
      </c>
      <c r="I129" s="97">
        <f ca="1">OFFSET(TblProd[[#This Row],[Food]],-1,0)+OFFSET(TblProd[[#This Row],[Food/hr]],-1,0)+ROUNDUP((TblConstr[[#This Row],[Farms]]*80+TblConstr[[#This Row],[Docks]]*35)*(1+OFFSET(TblProd[[#This Row],[Bonus Food/hr]],-1,0)),0)</f>
        <v>7065</v>
      </c>
      <c r="J129" s="97">
        <f ca="1">OFFSET(TblProd[[#This Row],[Lumber]],-1,0)+OFFSET(TblProd[[#This Row],[Lumber/hr]],-1,0) - TblProd[[#This Row],[Expenses Lumber]] + SUM(TblConstr[[#This Row],[Dest Hom]:[Dest Doc]])*TblConstr[[#This Row],[CPA Lumber -DB]]*tech_3_3_2*TblTech[[#This Row],[3-3]]</f>
        <v>54707</v>
      </c>
      <c r="K129" s="97">
        <f ca="1">OFFSET(TblProd[[#This Row],[Mana]],-1,0)+OFFSET(TblProd[[#This Row],[Mana/hr]],-1,0)- TblProd[[#This Row],[Expenses Mana]]</f>
        <v>17615.5</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91.850000000000122</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9" s="97">
        <f ca="1">MAX(3750,_xlfn.CEILING.MATH(TblProd[[#This Row],[Land]]*2.5+OFFSET(TblTech[[#This Row],[Sum of tech]],-1,0)*150))</f>
        <v>3750</v>
      </c>
      <c r="R129" s="145"/>
      <c r="S129" s="97">
        <f ca="1">ROUNDDOWN(TblProd[[#This Row],[Raw Plat/hr]]*(1+TblProd[[#This Row],[Bonus Plat/hr]]),0)</f>
        <v>28248</v>
      </c>
      <c r="T129" s="97">
        <f ca="1">ROUND(TblProd[[#This Row],[Raw Food/hr]]*(1+TblProd[[#This Row],[Bonus Food/hr]])-TblProd[[#This Row],[Food decay]]-TblProd[[#This Row],[Food eaten]],0)</f>
        <v>57</v>
      </c>
      <c r="U129" s="97">
        <f ca="1">ROUND(TblProd[[#This Row],[Raw Lumber/hr]]*(1+TblProd[[#This Row],[Bonus Lumber/hr]])-TblProd[[#This Row],[Lumber rot]],0)</f>
        <v>578</v>
      </c>
      <c r="V129" s="97">
        <f ca="1">ROUND(TblProd[[#This Row],[Raw Mana/hr]]*(1+TblProd[[#This Row],[Bonus Mana/hr]])-TblProd[[#This Row],[Mana drain]],0)</f>
        <v>373</v>
      </c>
      <c r="W129" s="97">
        <f ca="1">ROUNDDOWN(TblProd[[#This Row],[Raw Ore/hr]]*(1+TblProd[[#This Row],[Bonux Ore/hr]]),0)</f>
        <v>0</v>
      </c>
      <c r="X129" s="97">
        <f ca="1">ROUNDDOWN(TblProd[[#This Row],[Raw Gems/hr]]*(1+TblProd[[#This Row],[Bonus Gems/hr]]),0)</f>
        <v>0</v>
      </c>
      <c r="Y129" s="158">
        <f ca="1">OFFSET(TblConstr[[#This Row],[Tot Doc]],1,0)*dock_boats_hr * (1 + tech_4_1*TblTech[[#This Row],[4-1]])</f>
        <v>1.2000000000000002</v>
      </c>
      <c r="Z129" s="157"/>
      <c r="AA129" s="97">
        <f ca="1">TblPop[[#This Row],[Peasants]]*tax*TblPop[[#This Row],[Employment]] + (Construction!AZ130+Construction!BX130)*(alch_plat+(Magic!AM129&gt;0)*alchemist_flame_bonus)</f>
        <v>28248.300000000003</v>
      </c>
      <c r="AB129" s="97">
        <f ca="1">TblConstr[[#This Row],[Tot Farm]]*farm_food + TblConstr[[#This Row],[Tot Doc]]*dock_food</f>
        <v>3280</v>
      </c>
      <c r="AC129" s="97">
        <f ca="1">TblConstr[[#This Row],[Tot Ly]]*ly_lumber + TblConstr[[#This Row],[Tot Hav]]*fh_lumber</f>
        <v>1250</v>
      </c>
      <c r="AD129" s="97">
        <f ca="1">OFFSET(TblConstr[[#This Row],[Tot Tow]],1,0)*(tower_mana + tech_4_5*TblTech[[#This Row],[4-5]]) + OFFSET(TblConstr[[#This Row],[Tot WG]],1,0)*wg_mana_prod</f>
        <v>725</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29" s="159">
        <f ca="1">race_lumber_bonus+ IF(TblMagic[[#This Row],[Active Gaia''s Blessing]]&gt;0,gaias_blessing_lumber)+ tech_1_3*TblTech[[#This Row],[1-3]] + tech_1_6*TblTech[[#This Row],[1-6]] + tech_3_3*TblTech[[#This Row],[3-3]]</f>
        <v>-0.1</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0.15</v>
      </c>
      <c r="AN129" s="145"/>
      <c r="AO129" s="97">
        <f ca="1">TblProd[[#This Row],[Food]]*food_decay * (1 + tech_2_1*TblTech[[#This Row],[2-1]] + tech_2_8*TblTech[[#This Row],[2-8]])</f>
        <v>70.650000000000006</v>
      </c>
      <c r="AP129" s="97">
        <f ca="1">(1+race_food_consumption)*TblPop[[#This Row],[Total]]*food_per_person*(1+tech_1_10*TblTech[[#This Row],[1-10]]+tech_7_5*TblTech[[#This Row],[7-5]])</f>
        <v>3234.75</v>
      </c>
      <c r="AQ129" s="97">
        <f ca="1">TblProd[[#This Row],[Lumber]]*lumber_rot * (1 + tech_2_1*TblTech[[#This Row],[2-1]] + tech_2_8*TblTech[[#This Row],[2-8]] + tech_5_2*TblTech[[#This Row],[5-2]])</f>
        <v>547.07000000000005</v>
      </c>
      <c r="AR129" s="97">
        <f ca="1">TblProd[[#This Row],[Mana]]*mana_drain * (1 + tech_2_1*TblTech[[#This Row],[2-1]] + tech_2_8*TblTech[[#This Row],[2-8]])</f>
        <v>352.31</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45434.95833333303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2006950</v>
      </c>
      <c r="BJ129" s="97">
        <f ca="1">TblProd[[#This Row],[Food]]</f>
        <v>7065</v>
      </c>
      <c r="BK129" s="97">
        <f ca="1">TblProd[[#This Row],[Lumber]]</f>
        <v>54707</v>
      </c>
      <c r="BL129" s="97">
        <f ca="1">TblProd[[#This Row],[Mana]]</f>
        <v>17615.5</v>
      </c>
      <c r="BM129" s="97">
        <f ca="1">TblProd[[#This Row],[Ore]]</f>
        <v>0</v>
      </c>
    </row>
    <row r="130" spans="1:65" x14ac:dyDescent="0.2">
      <c r="A130" s="140">
        <v>55</v>
      </c>
      <c r="B130" s="155">
        <f ca="1">TblImps[[#This Row],[Time]]</f>
        <v>45434.999999999694</v>
      </c>
      <c r="C130" s="156"/>
      <c r="D130" s="157"/>
      <c r="E130" s="97">
        <f ca="1">TblConstr[[#This Row],[Land]]</f>
        <v>700</v>
      </c>
      <c r="F130" s="97">
        <f ca="1">TblPop[[#This Row],[Peasants]]</f>
        <v>5820</v>
      </c>
      <c r="G130" s="97">
        <f ca="1">TblMili[[#This Row],[Networth (2)]]</f>
        <v>42359.8</v>
      </c>
      <c r="H130" s="97">
        <f ca="1">OFFSET(TblProd[[#This Row],[Platinum]],-1,0)+OFFSET(TblProd[[#This Row],[Plat/hr]],-1,0) - TblProd[[#This Row],[Expenses Platinum]] + IF(TblProd[[#This Row],[Plat Bonus]],TblPop[[#This Row],[Peasants]]*4) + SUM(TblConstr[[#This Row],[Dest Hom]:[Dest Doc]])*TblConstr[[#This Row],[CPA Platinum -DB]]*tech_3_3_2*TblTech[[#This Row],[3-3]]</f>
        <v>2035198</v>
      </c>
      <c r="I130" s="97">
        <f ca="1">OFFSET(TblProd[[#This Row],[Food]],-1,0)+OFFSET(TblProd[[#This Row],[Food/hr]],-1,0)+ROUNDUP((TblConstr[[#This Row],[Farms]]*80+TblConstr[[#This Row],[Docks]]*35)*(1+OFFSET(TblProd[[#This Row],[Bonus Food/hr]],-1,0)),0)</f>
        <v>7122</v>
      </c>
      <c r="J130" s="97">
        <f ca="1">OFFSET(TblProd[[#This Row],[Lumber]],-1,0)+OFFSET(TblProd[[#This Row],[Lumber/hr]],-1,0) - TblProd[[#This Row],[Expenses Lumber]] + SUM(TblConstr[[#This Row],[Dest Hom]:[Dest Doc]])*TblConstr[[#This Row],[CPA Lumber -DB]]*tech_3_3_2*TblTech[[#This Row],[3-3]]</f>
        <v>55285</v>
      </c>
      <c r="K130" s="97">
        <f ca="1">OFFSET(TblProd[[#This Row],[Mana]],-1,0)+OFFSET(TblProd[[#This Row],[Mana/hr]],-1,0)- TblProd[[#This Row],[Expenses Mana]]</f>
        <v>17988.5</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93.050000000000125</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0" s="97">
        <f ca="1">MAX(3750,_xlfn.CEILING.MATH(TblProd[[#This Row],[Land]]*2.5+OFFSET(TblTech[[#This Row],[Sum of tech]],-1,0)*150))</f>
        <v>3750</v>
      </c>
      <c r="R130" s="145"/>
      <c r="S130" s="97">
        <f ca="1">ROUNDDOWN(TblProd[[#This Row],[Raw Plat/hr]]*(1+TblProd[[#This Row],[Bonus Plat/hr]]),0)</f>
        <v>28089</v>
      </c>
      <c r="T130" s="97">
        <f ca="1">ROUND(TblProd[[#This Row],[Raw Food/hr]]*(1+TblProd[[#This Row],[Bonus Food/hr]])-TblProd[[#This Row],[Food decay]]-TblProd[[#This Row],[Food eaten]],0)</f>
        <v>56</v>
      </c>
      <c r="U130" s="97">
        <f ca="1">ROUND(TblProd[[#This Row],[Raw Lumber/hr]]*(1+TblProd[[#This Row],[Bonus Lumber/hr]])-TblProd[[#This Row],[Lumber rot]],0)</f>
        <v>572</v>
      </c>
      <c r="V130" s="97">
        <f ca="1">ROUND(TblProd[[#This Row],[Raw Mana/hr]]*(1+TblProd[[#This Row],[Bonus Mana/hr]])-TblProd[[#This Row],[Mana drain]],0)</f>
        <v>365</v>
      </c>
      <c r="W130" s="97">
        <f ca="1">ROUNDDOWN(TblProd[[#This Row],[Raw Ore/hr]]*(1+TblProd[[#This Row],[Bonux Ore/hr]]),0)</f>
        <v>0</v>
      </c>
      <c r="X130" s="97">
        <f ca="1">ROUNDDOWN(TblProd[[#This Row],[Raw Gems/hr]]*(1+TblProd[[#This Row],[Bonus Gems/hr]]),0)</f>
        <v>0</v>
      </c>
      <c r="Y130" s="158">
        <f ca="1">OFFSET(TblConstr[[#This Row],[Tot Doc]],1,0)*dock_boats_hr * (1 + tech_4_1*TblTech[[#This Row],[4-1]])</f>
        <v>1.2000000000000002</v>
      </c>
      <c r="Z130" s="157"/>
      <c r="AA130" s="97">
        <f ca="1">TblPop[[#This Row],[Peasants]]*tax*TblPop[[#This Row],[Employment]] + (Construction!AZ131+Construction!BX131)*(alch_plat+(Magic!AM130&gt;0)*alchemist_flame_bonus)</f>
        <v>28089</v>
      </c>
      <c r="AB130" s="97">
        <f ca="1">TblConstr[[#This Row],[Tot Farm]]*farm_food + TblConstr[[#This Row],[Tot Doc]]*dock_food</f>
        <v>3280</v>
      </c>
      <c r="AC130" s="97">
        <f ca="1">TblConstr[[#This Row],[Tot Ly]]*ly_lumber + TblConstr[[#This Row],[Tot Hav]]*fh_lumber</f>
        <v>1250</v>
      </c>
      <c r="AD130" s="97">
        <f ca="1">OFFSET(TblConstr[[#This Row],[Tot Tow]],1,0)*(tower_mana + tech_4_5*TblTech[[#This Row],[4-5]]) + OFFSET(TblConstr[[#This Row],[Tot WG]],1,0)*wg_mana_prod</f>
        <v>725</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0" s="159">
        <f ca="1">race_lumber_bonus+ IF(TblMagic[[#This Row],[Active Gaia''s Blessing]]&gt;0,gaias_blessing_lumber)+ tech_1_3*TblTech[[#This Row],[1-3]] + tech_1_6*TblTech[[#This Row],[1-6]] + tech_3_3*TblTech[[#This Row],[3-3]]</f>
        <v>-0.1</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0.15</v>
      </c>
      <c r="AN130" s="145"/>
      <c r="AO130" s="97">
        <f ca="1">TblProd[[#This Row],[Food]]*food_decay * (1 + tech_2_1*TblTech[[#This Row],[2-1]] + tech_2_8*TblTech[[#This Row],[2-8]])</f>
        <v>71.22</v>
      </c>
      <c r="AP130" s="97">
        <f ca="1">(1+race_food_consumption)*TblPop[[#This Row],[Total]]*food_per_person*(1+tech_1_10*TblTech[[#This Row],[1-10]]+tech_7_5*TblTech[[#This Row],[7-5]])</f>
        <v>3234.75</v>
      </c>
      <c r="AQ130" s="97">
        <f ca="1">TblProd[[#This Row],[Lumber]]*lumber_rot * (1 + tech_2_1*TblTech[[#This Row],[2-1]] + tech_2_8*TblTech[[#This Row],[2-8]] + tech_5_2*TblTech[[#This Row],[5-2]])</f>
        <v>552.85</v>
      </c>
      <c r="AR130" s="97">
        <f ca="1">TblProd[[#This Row],[Mana]]*mana_drain * (1 + tech_2_1*TblTech[[#This Row],[2-1]] + tech_2_8*TblTech[[#This Row],[2-8]])</f>
        <v>359.77</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45434.999999999694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2035198</v>
      </c>
      <c r="BJ130" s="97">
        <f ca="1">TblProd[[#This Row],[Food]]</f>
        <v>7122</v>
      </c>
      <c r="BK130" s="97">
        <f ca="1">TblProd[[#This Row],[Lumber]]</f>
        <v>55285</v>
      </c>
      <c r="BL130" s="97">
        <f ca="1">TblProd[[#This Row],[Mana]]</f>
        <v>17988.5</v>
      </c>
      <c r="BM130" s="97">
        <f ca="1">TblProd[[#This Row],[Ore]]</f>
        <v>0</v>
      </c>
    </row>
    <row r="131" spans="1:65" x14ac:dyDescent="0.2">
      <c r="A131" s="140">
        <v>56</v>
      </c>
      <c r="B131" s="155">
        <f ca="1">TblImps[[#This Row],[Time]]</f>
        <v>45435.041666666359</v>
      </c>
      <c r="C131" s="156"/>
      <c r="D131" s="157"/>
      <c r="E131" s="97">
        <f ca="1">TblConstr[[#This Row],[Land]]</f>
        <v>700</v>
      </c>
      <c r="F131" s="97">
        <f ca="1">TblPop[[#This Row],[Peasants]]</f>
        <v>5762</v>
      </c>
      <c r="G131" s="97">
        <f ca="1">TblMili[[#This Row],[Networth (2)]]</f>
        <v>42359.8</v>
      </c>
      <c r="H131" s="97">
        <f ca="1">OFFSET(TblProd[[#This Row],[Platinum]],-1,0)+OFFSET(TblProd[[#This Row],[Plat/hr]],-1,0) - TblProd[[#This Row],[Expenses Platinum]] + IF(TblProd[[#This Row],[Plat Bonus]],TblPop[[#This Row],[Peasants]]*4) + SUM(TblConstr[[#This Row],[Dest Hom]:[Dest Doc]])*TblConstr[[#This Row],[CPA Platinum -DB]]*tech_3_3_2*TblTech[[#This Row],[3-3]]</f>
        <v>2063287</v>
      </c>
      <c r="I131" s="97">
        <f ca="1">OFFSET(TblProd[[#This Row],[Food]],-1,0)+OFFSET(TblProd[[#This Row],[Food/hr]],-1,0)+ROUNDUP((TblConstr[[#This Row],[Farms]]*80+TblConstr[[#This Row],[Docks]]*35)*(1+OFFSET(TblProd[[#This Row],[Bonus Food/hr]],-1,0)),0)</f>
        <v>7178</v>
      </c>
      <c r="J131" s="97">
        <f ca="1">OFFSET(TblProd[[#This Row],[Lumber]],-1,0)+OFFSET(TblProd[[#This Row],[Lumber/hr]],-1,0) - TblProd[[#This Row],[Expenses Lumber]] + SUM(TblConstr[[#This Row],[Dest Hom]:[Dest Doc]])*TblConstr[[#This Row],[CPA Lumber -DB]]*tech_3_3_2*TblTech[[#This Row],[3-3]]</f>
        <v>55857</v>
      </c>
      <c r="K131" s="97">
        <f ca="1">OFFSET(TblProd[[#This Row],[Mana]],-1,0)+OFFSET(TblProd[[#This Row],[Mana/hr]],-1,0)- TblProd[[#This Row],[Expenses Mana]]</f>
        <v>18353.5</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94.250000000000128</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1" s="97">
        <f ca="1">MAX(3750,_xlfn.CEILING.MATH(TblProd[[#This Row],[Land]]*2.5+OFFSET(TblTech[[#This Row],[Sum of tech]],-1,0)*150))</f>
        <v>3750</v>
      </c>
      <c r="R131" s="145"/>
      <c r="S131" s="97">
        <f ca="1">ROUNDDOWN(TblProd[[#This Row],[Raw Plat/hr]]*(1+TblProd[[#This Row],[Bonus Plat/hr]]),0)</f>
        <v>27932</v>
      </c>
      <c r="T131" s="97">
        <f ca="1">ROUND(TblProd[[#This Row],[Raw Food/hr]]*(1+TblProd[[#This Row],[Bonus Food/hr]])-TblProd[[#This Row],[Food decay]]-TblProd[[#This Row],[Food eaten]],0)</f>
        <v>55</v>
      </c>
      <c r="U131" s="97">
        <f ca="1">ROUND(TblProd[[#This Row],[Raw Lumber/hr]]*(1+TblProd[[#This Row],[Bonus Lumber/hr]])-TblProd[[#This Row],[Lumber rot]],0)</f>
        <v>566</v>
      </c>
      <c r="V131" s="97">
        <f ca="1">ROUND(TblProd[[#This Row],[Raw Mana/hr]]*(1+TblProd[[#This Row],[Bonus Mana/hr]])-TblProd[[#This Row],[Mana drain]],0)</f>
        <v>358</v>
      </c>
      <c r="W131" s="97">
        <f ca="1">ROUNDDOWN(TblProd[[#This Row],[Raw Ore/hr]]*(1+TblProd[[#This Row],[Bonux Ore/hr]]),0)</f>
        <v>0</v>
      </c>
      <c r="X131" s="97">
        <f ca="1">ROUNDDOWN(TblProd[[#This Row],[Raw Gems/hr]]*(1+TblProd[[#This Row],[Bonus Gems/hr]]),0)</f>
        <v>0</v>
      </c>
      <c r="Y131" s="158">
        <f ca="1">OFFSET(TblConstr[[#This Row],[Tot Doc]],1,0)*dock_boats_hr * (1 + tech_4_1*TblTech[[#This Row],[4-1]])</f>
        <v>1.2000000000000002</v>
      </c>
      <c r="Z131" s="157"/>
      <c r="AA131" s="97">
        <f ca="1">TblPop[[#This Row],[Peasants]]*tax*TblPop[[#This Row],[Employment]] + (Construction!AZ132+Construction!BX132)*(alch_plat+(Magic!AM131&gt;0)*alchemist_flame_bonus)</f>
        <v>27932.400000000001</v>
      </c>
      <c r="AB131" s="97">
        <f ca="1">TblConstr[[#This Row],[Tot Farm]]*farm_food + TblConstr[[#This Row],[Tot Doc]]*dock_food</f>
        <v>3280</v>
      </c>
      <c r="AC131" s="97">
        <f ca="1">TblConstr[[#This Row],[Tot Ly]]*ly_lumber + TblConstr[[#This Row],[Tot Hav]]*fh_lumber</f>
        <v>1250</v>
      </c>
      <c r="AD131" s="97">
        <f ca="1">OFFSET(TblConstr[[#This Row],[Tot Tow]],1,0)*(tower_mana + tech_4_5*TblTech[[#This Row],[4-5]]) + OFFSET(TblConstr[[#This Row],[Tot WG]],1,0)*wg_mana_prod</f>
        <v>725</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1" s="159">
        <f ca="1">race_lumber_bonus+ IF(TblMagic[[#This Row],[Active Gaia''s Blessing]]&gt;0,gaias_blessing_lumber)+ tech_1_3*TblTech[[#This Row],[1-3]] + tech_1_6*TblTech[[#This Row],[1-6]] + tech_3_3*TblTech[[#This Row],[3-3]]</f>
        <v>-0.1</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0.15</v>
      </c>
      <c r="AN131" s="145"/>
      <c r="AO131" s="97">
        <f ca="1">TblProd[[#This Row],[Food]]*food_decay * (1 + tech_2_1*TblTech[[#This Row],[2-1]] + tech_2_8*TblTech[[#This Row],[2-8]])</f>
        <v>71.78</v>
      </c>
      <c r="AP131" s="97">
        <f ca="1">(1+race_food_consumption)*TblPop[[#This Row],[Total]]*food_per_person*(1+tech_1_10*TblTech[[#This Row],[1-10]]+tech_7_5*TblTech[[#This Row],[7-5]])</f>
        <v>3234.75</v>
      </c>
      <c r="AQ131" s="97">
        <f ca="1">TblProd[[#This Row],[Lumber]]*lumber_rot * (1 + tech_2_1*TblTech[[#This Row],[2-1]] + tech_2_8*TblTech[[#This Row],[2-8]] + tech_5_2*TblTech[[#This Row],[5-2]])</f>
        <v>558.57000000000005</v>
      </c>
      <c r="AR131" s="97">
        <f ca="1">TblProd[[#This Row],[Mana]]*mana_drain * (1 + tech_2_1*TblTech[[#This Row],[2-1]] + tech_2_8*TblTech[[#This Row],[2-8]])</f>
        <v>367.07</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45435.041666666359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2063287</v>
      </c>
      <c r="BJ131" s="97">
        <f ca="1">TblProd[[#This Row],[Food]]</f>
        <v>7178</v>
      </c>
      <c r="BK131" s="97">
        <f ca="1">TblProd[[#This Row],[Lumber]]</f>
        <v>55857</v>
      </c>
      <c r="BL131" s="97">
        <f ca="1">TblProd[[#This Row],[Mana]]</f>
        <v>18353.5</v>
      </c>
      <c r="BM131" s="97">
        <f ca="1">TblProd[[#This Row],[Ore]]</f>
        <v>0</v>
      </c>
    </row>
    <row r="132" spans="1:65" x14ac:dyDescent="0.2">
      <c r="A132" s="140">
        <v>57</v>
      </c>
      <c r="B132" s="155">
        <f ca="1">TblImps[[#This Row],[Time]]</f>
        <v>45435.083333333023</v>
      </c>
      <c r="C132" s="156"/>
      <c r="D132" s="157"/>
      <c r="E132" s="97">
        <f ca="1">TblConstr[[#This Row],[Land]]</f>
        <v>700</v>
      </c>
      <c r="F132" s="97">
        <f ca="1">TblPop[[#This Row],[Peasants]]</f>
        <v>5704</v>
      </c>
      <c r="G132" s="97">
        <f ca="1">TblMili[[#This Row],[Networth (2)]]</f>
        <v>42359.8</v>
      </c>
      <c r="H132" s="97">
        <f ca="1">OFFSET(TblProd[[#This Row],[Platinum]],-1,0)+OFFSET(TblProd[[#This Row],[Plat/hr]],-1,0) - TblProd[[#This Row],[Expenses Platinum]] + IF(TblProd[[#This Row],[Plat Bonus]],TblPop[[#This Row],[Peasants]]*4) + SUM(TblConstr[[#This Row],[Dest Hom]:[Dest Doc]])*TblConstr[[#This Row],[CPA Platinum -DB]]*tech_3_3_2*TblTech[[#This Row],[3-3]]</f>
        <v>2091219</v>
      </c>
      <c r="I132" s="97">
        <f ca="1">OFFSET(TblProd[[#This Row],[Food]],-1,0)+OFFSET(TblProd[[#This Row],[Food/hr]],-1,0)+ROUNDUP((TblConstr[[#This Row],[Farms]]*80+TblConstr[[#This Row],[Docks]]*35)*(1+OFFSET(TblProd[[#This Row],[Bonus Food/hr]],-1,0)),0)</f>
        <v>7233</v>
      </c>
      <c r="J132" s="97">
        <f ca="1">OFFSET(TblProd[[#This Row],[Lumber]],-1,0)+OFFSET(TblProd[[#This Row],[Lumber/hr]],-1,0) - TblProd[[#This Row],[Expenses Lumber]] + SUM(TblConstr[[#This Row],[Dest Hom]:[Dest Doc]])*TblConstr[[#This Row],[CPA Lumber -DB]]*tech_3_3_2*TblTech[[#This Row],[3-3]]</f>
        <v>56423</v>
      </c>
      <c r="K132" s="97">
        <f ca="1">OFFSET(TblProd[[#This Row],[Mana]],-1,0)+OFFSET(TblProd[[#This Row],[Mana/hr]],-1,0)- TblProd[[#This Row],[Expenses Mana]]</f>
        <v>18711.5</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95.450000000000131</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2" s="97">
        <f ca="1">MAX(3750,_xlfn.CEILING.MATH(TblProd[[#This Row],[Land]]*2.5+OFFSET(TblTech[[#This Row],[Sum of tech]],-1,0)*150))</f>
        <v>3750</v>
      </c>
      <c r="R132" s="145"/>
      <c r="S132" s="97">
        <f ca="1">ROUNDDOWN(TblProd[[#This Row],[Raw Plat/hr]]*(1+TblProd[[#This Row],[Bonus Plat/hr]]),0)</f>
        <v>27775</v>
      </c>
      <c r="T132" s="97">
        <f ca="1">ROUND(TblProd[[#This Row],[Raw Food/hr]]*(1+TblProd[[#This Row],[Bonus Food/hr]])-TblProd[[#This Row],[Food decay]]-TblProd[[#This Row],[Food eaten]],0)</f>
        <v>55</v>
      </c>
      <c r="U132" s="97">
        <f ca="1">ROUND(TblProd[[#This Row],[Raw Lumber/hr]]*(1+TblProd[[#This Row],[Bonus Lumber/hr]])-TblProd[[#This Row],[Lumber rot]],0)</f>
        <v>561</v>
      </c>
      <c r="V132" s="97">
        <f ca="1">ROUND(TblProd[[#This Row],[Raw Mana/hr]]*(1+TblProd[[#This Row],[Bonus Mana/hr]])-TblProd[[#This Row],[Mana drain]],0)</f>
        <v>351</v>
      </c>
      <c r="W132" s="97">
        <f ca="1">ROUNDDOWN(TblProd[[#This Row],[Raw Ore/hr]]*(1+TblProd[[#This Row],[Bonux Ore/hr]]),0)</f>
        <v>0</v>
      </c>
      <c r="X132" s="97">
        <f ca="1">ROUNDDOWN(TblProd[[#This Row],[Raw Gems/hr]]*(1+TblProd[[#This Row],[Bonus Gems/hr]]),0)</f>
        <v>0</v>
      </c>
      <c r="Y132" s="158">
        <f ca="1">OFFSET(TblConstr[[#This Row],[Tot Doc]],1,0)*dock_boats_hr * (1 + tech_4_1*TblTech[[#This Row],[4-1]])</f>
        <v>1.2000000000000002</v>
      </c>
      <c r="Z132" s="157"/>
      <c r="AA132" s="97">
        <f ca="1">TblPop[[#This Row],[Peasants]]*tax*TblPop[[#This Row],[Employment]] + (Construction!AZ133+Construction!BX133)*(alch_plat+(Magic!AM132&gt;0)*alchemist_flame_bonus)</f>
        <v>27775.800000000003</v>
      </c>
      <c r="AB132" s="97">
        <f ca="1">TblConstr[[#This Row],[Tot Farm]]*farm_food + TblConstr[[#This Row],[Tot Doc]]*dock_food</f>
        <v>3280</v>
      </c>
      <c r="AC132" s="97">
        <f ca="1">TblConstr[[#This Row],[Tot Ly]]*ly_lumber + TblConstr[[#This Row],[Tot Hav]]*fh_lumber</f>
        <v>1250</v>
      </c>
      <c r="AD132" s="97">
        <f ca="1">OFFSET(TblConstr[[#This Row],[Tot Tow]],1,0)*(tower_mana + tech_4_5*TblTech[[#This Row],[4-5]]) + OFFSET(TblConstr[[#This Row],[Tot WG]],1,0)*wg_mana_prod</f>
        <v>725</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2" s="159">
        <f ca="1">race_lumber_bonus+ IF(TblMagic[[#This Row],[Active Gaia''s Blessing]]&gt;0,gaias_blessing_lumber)+ tech_1_3*TblTech[[#This Row],[1-3]] + tech_1_6*TblTech[[#This Row],[1-6]] + tech_3_3*TblTech[[#This Row],[3-3]]</f>
        <v>-0.1</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0.15</v>
      </c>
      <c r="AN132" s="145"/>
      <c r="AO132" s="97">
        <f ca="1">TblProd[[#This Row],[Food]]*food_decay * (1 + tech_2_1*TblTech[[#This Row],[2-1]] + tech_2_8*TblTech[[#This Row],[2-8]])</f>
        <v>72.33</v>
      </c>
      <c r="AP132" s="97">
        <f ca="1">(1+race_food_consumption)*TblPop[[#This Row],[Total]]*food_per_person*(1+tech_1_10*TblTech[[#This Row],[1-10]]+tech_7_5*TblTech[[#This Row],[7-5]])</f>
        <v>3234.75</v>
      </c>
      <c r="AQ132" s="97">
        <f ca="1">TblProd[[#This Row],[Lumber]]*lumber_rot * (1 + tech_2_1*TblTech[[#This Row],[2-1]] + tech_2_8*TblTech[[#This Row],[2-8]] + tech_5_2*TblTech[[#This Row],[5-2]])</f>
        <v>564.23</v>
      </c>
      <c r="AR132" s="97">
        <f ca="1">TblProd[[#This Row],[Mana]]*mana_drain * (1 + tech_2_1*TblTech[[#This Row],[2-1]] + tech_2_8*TblTech[[#This Row],[2-8]])</f>
        <v>374.23</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45435.083333333023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2091219</v>
      </c>
      <c r="BJ132" s="97">
        <f ca="1">TblProd[[#This Row],[Food]]</f>
        <v>7233</v>
      </c>
      <c r="BK132" s="97">
        <f ca="1">TblProd[[#This Row],[Lumber]]</f>
        <v>56423</v>
      </c>
      <c r="BL132" s="97">
        <f ca="1">TblProd[[#This Row],[Mana]]</f>
        <v>18711.5</v>
      </c>
      <c r="BM132" s="97">
        <f ca="1">TblProd[[#This Row],[Ore]]</f>
        <v>0</v>
      </c>
    </row>
    <row r="133" spans="1:65" x14ac:dyDescent="0.2">
      <c r="A133" s="140">
        <v>58</v>
      </c>
      <c r="B133" s="155">
        <f ca="1">TblImps[[#This Row],[Time]]</f>
        <v>45435.124999999687</v>
      </c>
      <c r="C133" s="156"/>
      <c r="D133" s="157"/>
      <c r="E133" s="97">
        <f ca="1">TblConstr[[#This Row],[Land]]</f>
        <v>700</v>
      </c>
      <c r="F133" s="97">
        <f ca="1">TblPop[[#This Row],[Peasants]]</f>
        <v>5647</v>
      </c>
      <c r="G133" s="97">
        <f ca="1">TblMili[[#This Row],[Networth (2)]]</f>
        <v>42359.8</v>
      </c>
      <c r="H133" s="97">
        <f ca="1">OFFSET(TblProd[[#This Row],[Platinum]],-1,0)+OFFSET(TblProd[[#This Row],[Plat/hr]],-1,0) - TblProd[[#This Row],[Expenses Platinum]] + IF(TblProd[[#This Row],[Plat Bonus]],TblPop[[#This Row],[Peasants]]*4) + SUM(TblConstr[[#This Row],[Dest Hom]:[Dest Doc]])*TblConstr[[#This Row],[CPA Platinum -DB]]*tech_3_3_2*TblTech[[#This Row],[3-3]]</f>
        <v>2118994</v>
      </c>
      <c r="I133" s="97">
        <f ca="1">OFFSET(TblProd[[#This Row],[Food]],-1,0)+OFFSET(TblProd[[#This Row],[Food/hr]],-1,0)+ROUNDUP((TblConstr[[#This Row],[Farms]]*80+TblConstr[[#This Row],[Docks]]*35)*(1+OFFSET(TblProd[[#This Row],[Bonus Food/hr]],-1,0)),0)</f>
        <v>7288</v>
      </c>
      <c r="J133" s="97">
        <f ca="1">OFFSET(TblProd[[#This Row],[Lumber]],-1,0)+OFFSET(TblProd[[#This Row],[Lumber/hr]],-1,0) - TblProd[[#This Row],[Expenses Lumber]] + SUM(TblConstr[[#This Row],[Dest Hom]:[Dest Doc]])*TblConstr[[#This Row],[CPA Lumber -DB]]*tech_3_3_2*TblTech[[#This Row],[3-3]]</f>
        <v>56984</v>
      </c>
      <c r="K133" s="97">
        <f ca="1">OFFSET(TblProd[[#This Row],[Mana]],-1,0)+OFFSET(TblProd[[#This Row],[Mana/hr]],-1,0)- TblProd[[#This Row],[Expenses Mana]]</f>
        <v>19062.5</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96.650000000000134</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3" s="97">
        <f ca="1">MAX(3750,_xlfn.CEILING.MATH(TblProd[[#This Row],[Land]]*2.5+OFFSET(TblTech[[#This Row],[Sum of tech]],-1,0)*150))</f>
        <v>3750</v>
      </c>
      <c r="R133" s="145"/>
      <c r="S133" s="97">
        <f ca="1">ROUNDDOWN(TblProd[[#This Row],[Raw Plat/hr]]*(1+TblProd[[#This Row],[Bonus Plat/hr]]),0)</f>
        <v>27621</v>
      </c>
      <c r="T133" s="97">
        <f ca="1">ROUND(TblProd[[#This Row],[Raw Food/hr]]*(1+TblProd[[#This Row],[Bonus Food/hr]])-TblProd[[#This Row],[Food decay]]-TblProd[[#This Row],[Food eaten]],0)</f>
        <v>54</v>
      </c>
      <c r="U133" s="97">
        <f ca="1">ROUND(TblProd[[#This Row],[Raw Lumber/hr]]*(1+TblProd[[#This Row],[Bonus Lumber/hr]])-TblProd[[#This Row],[Lumber rot]],0)</f>
        <v>555</v>
      </c>
      <c r="V133" s="97">
        <f ca="1">ROUND(TblProd[[#This Row],[Raw Mana/hr]]*(1+TblProd[[#This Row],[Bonus Mana/hr]])-TblProd[[#This Row],[Mana drain]],0)</f>
        <v>344</v>
      </c>
      <c r="W133" s="97">
        <f ca="1">ROUNDDOWN(TblProd[[#This Row],[Raw Ore/hr]]*(1+TblProd[[#This Row],[Bonux Ore/hr]]),0)</f>
        <v>0</v>
      </c>
      <c r="X133" s="97">
        <f ca="1">ROUNDDOWN(TblProd[[#This Row],[Raw Gems/hr]]*(1+TblProd[[#This Row],[Bonus Gems/hr]]),0)</f>
        <v>0</v>
      </c>
      <c r="Y133" s="158">
        <f ca="1">OFFSET(TblConstr[[#This Row],[Tot Doc]],1,0)*dock_boats_hr * (1 + tech_4_1*TblTech[[#This Row],[4-1]])</f>
        <v>1.2000000000000002</v>
      </c>
      <c r="Z133" s="157"/>
      <c r="AA133" s="97">
        <f ca="1">TblPop[[#This Row],[Peasants]]*tax*TblPop[[#This Row],[Employment]] + (Construction!AZ134+Construction!BX134)*(alch_plat+(Magic!AM133&gt;0)*alchemist_flame_bonus)</f>
        <v>27621.9</v>
      </c>
      <c r="AB133" s="97">
        <f ca="1">TblConstr[[#This Row],[Tot Farm]]*farm_food + TblConstr[[#This Row],[Tot Doc]]*dock_food</f>
        <v>3280</v>
      </c>
      <c r="AC133" s="97">
        <f ca="1">TblConstr[[#This Row],[Tot Ly]]*ly_lumber + TblConstr[[#This Row],[Tot Hav]]*fh_lumber</f>
        <v>1250</v>
      </c>
      <c r="AD133" s="97">
        <f ca="1">OFFSET(TblConstr[[#This Row],[Tot Tow]],1,0)*(tower_mana + tech_4_5*TblTech[[#This Row],[4-5]]) + OFFSET(TblConstr[[#This Row],[Tot WG]],1,0)*wg_mana_prod</f>
        <v>725</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3" s="159">
        <f ca="1">race_lumber_bonus+ IF(TblMagic[[#This Row],[Active Gaia''s Blessing]]&gt;0,gaias_blessing_lumber)+ tech_1_3*TblTech[[#This Row],[1-3]] + tech_1_6*TblTech[[#This Row],[1-6]] + tech_3_3*TblTech[[#This Row],[3-3]]</f>
        <v>-0.1</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0.15</v>
      </c>
      <c r="AN133" s="145"/>
      <c r="AO133" s="97">
        <f ca="1">TblProd[[#This Row],[Food]]*food_decay * (1 + tech_2_1*TblTech[[#This Row],[2-1]] + tech_2_8*TblTech[[#This Row],[2-8]])</f>
        <v>72.88</v>
      </c>
      <c r="AP133" s="97">
        <f ca="1">(1+race_food_consumption)*TblPop[[#This Row],[Total]]*food_per_person*(1+tech_1_10*TblTech[[#This Row],[1-10]]+tech_7_5*TblTech[[#This Row],[7-5]])</f>
        <v>3234.75</v>
      </c>
      <c r="AQ133" s="97">
        <f ca="1">TblProd[[#This Row],[Lumber]]*lumber_rot * (1 + tech_2_1*TblTech[[#This Row],[2-1]] + tech_2_8*TblTech[[#This Row],[2-8]] + tech_5_2*TblTech[[#This Row],[5-2]])</f>
        <v>569.84</v>
      </c>
      <c r="AR133" s="97">
        <f ca="1">TblProd[[#This Row],[Mana]]*mana_drain * (1 + tech_2_1*TblTech[[#This Row],[2-1]] + tech_2_8*TblTech[[#This Row],[2-8]])</f>
        <v>381.25</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45435.124999999687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2118994</v>
      </c>
      <c r="BJ133" s="97">
        <f ca="1">TblProd[[#This Row],[Food]]</f>
        <v>7288</v>
      </c>
      <c r="BK133" s="97">
        <f ca="1">TblProd[[#This Row],[Lumber]]</f>
        <v>56984</v>
      </c>
      <c r="BL133" s="97">
        <f ca="1">TblProd[[#This Row],[Mana]]</f>
        <v>19062.5</v>
      </c>
      <c r="BM133" s="97">
        <f ca="1">TblProd[[#This Row],[Ore]]</f>
        <v>0</v>
      </c>
    </row>
    <row r="134" spans="1:65" x14ac:dyDescent="0.2">
      <c r="A134" s="140">
        <v>59</v>
      </c>
      <c r="B134" s="155">
        <f ca="1">TblImps[[#This Row],[Time]]</f>
        <v>45435.166666666351</v>
      </c>
      <c r="C134" s="156"/>
      <c r="D134" s="157"/>
      <c r="E134" s="97">
        <f ca="1">TblConstr[[#This Row],[Land]]</f>
        <v>700</v>
      </c>
      <c r="F134" s="97">
        <f ca="1">TblPop[[#This Row],[Peasants]]</f>
        <v>5591</v>
      </c>
      <c r="G134" s="97">
        <f ca="1">TblMili[[#This Row],[Networth (2)]]</f>
        <v>42359.8</v>
      </c>
      <c r="H134" s="97">
        <f ca="1">OFFSET(TblProd[[#This Row],[Platinum]],-1,0)+OFFSET(TblProd[[#This Row],[Plat/hr]],-1,0) - TblProd[[#This Row],[Expenses Platinum]] + IF(TblProd[[#This Row],[Plat Bonus]],TblPop[[#This Row],[Peasants]]*4) + SUM(TblConstr[[#This Row],[Dest Hom]:[Dest Doc]])*TblConstr[[#This Row],[CPA Platinum -DB]]*tech_3_3_2*TblTech[[#This Row],[3-3]]</f>
        <v>2146615</v>
      </c>
      <c r="I134" s="97">
        <f ca="1">OFFSET(TblProd[[#This Row],[Food]],-1,0)+OFFSET(TblProd[[#This Row],[Food/hr]],-1,0)+ROUNDUP((TblConstr[[#This Row],[Farms]]*80+TblConstr[[#This Row],[Docks]]*35)*(1+OFFSET(TblProd[[#This Row],[Bonus Food/hr]],-1,0)),0)</f>
        <v>7342</v>
      </c>
      <c r="J134" s="97">
        <f ca="1">OFFSET(TblProd[[#This Row],[Lumber]],-1,0)+OFFSET(TblProd[[#This Row],[Lumber/hr]],-1,0) - TblProd[[#This Row],[Expenses Lumber]] + SUM(TblConstr[[#This Row],[Dest Hom]:[Dest Doc]])*TblConstr[[#This Row],[CPA Lumber -DB]]*tech_3_3_2*TblTech[[#This Row],[3-3]]</f>
        <v>57539</v>
      </c>
      <c r="K134" s="97">
        <f ca="1">OFFSET(TblProd[[#This Row],[Mana]],-1,0)+OFFSET(TblProd[[#This Row],[Mana/hr]],-1,0)- TblProd[[#This Row],[Expenses Mana]]</f>
        <v>19406.5</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97.850000000000136</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4" s="97">
        <f ca="1">MAX(3750,_xlfn.CEILING.MATH(TblProd[[#This Row],[Land]]*2.5+OFFSET(TblTech[[#This Row],[Sum of tech]],-1,0)*150))</f>
        <v>3750</v>
      </c>
      <c r="R134" s="145"/>
      <c r="S134" s="97">
        <f ca="1">ROUNDDOWN(TblProd[[#This Row],[Raw Plat/hr]]*(1+TblProd[[#This Row],[Bonus Plat/hr]]),0)</f>
        <v>27470</v>
      </c>
      <c r="T134" s="97">
        <f ca="1">ROUND(TblProd[[#This Row],[Raw Food/hr]]*(1+TblProd[[#This Row],[Bonus Food/hr]])-TblProd[[#This Row],[Food decay]]-TblProd[[#This Row],[Food eaten]],0)</f>
        <v>54</v>
      </c>
      <c r="U134" s="97">
        <f ca="1">ROUND(TblProd[[#This Row],[Raw Lumber/hr]]*(1+TblProd[[#This Row],[Bonus Lumber/hr]])-TblProd[[#This Row],[Lumber rot]],0)</f>
        <v>550</v>
      </c>
      <c r="V134" s="97">
        <f ca="1">ROUND(TblProd[[#This Row],[Raw Mana/hr]]*(1+TblProd[[#This Row],[Bonus Mana/hr]])-TblProd[[#This Row],[Mana drain]],0)</f>
        <v>337</v>
      </c>
      <c r="W134" s="97">
        <f ca="1">ROUNDDOWN(TblProd[[#This Row],[Raw Ore/hr]]*(1+TblProd[[#This Row],[Bonux Ore/hr]]),0)</f>
        <v>0</v>
      </c>
      <c r="X134" s="97">
        <f ca="1">ROUNDDOWN(TblProd[[#This Row],[Raw Gems/hr]]*(1+TblProd[[#This Row],[Bonus Gems/hr]]),0)</f>
        <v>0</v>
      </c>
      <c r="Y134" s="158">
        <f ca="1">OFFSET(TblConstr[[#This Row],[Tot Doc]],1,0)*dock_boats_hr * (1 + tech_4_1*TblTech[[#This Row],[4-1]])</f>
        <v>1.2000000000000002</v>
      </c>
      <c r="Z134" s="157"/>
      <c r="AA134" s="97">
        <f ca="1">TblPop[[#This Row],[Peasants]]*tax*TblPop[[#This Row],[Employment]] + (Construction!AZ135+Construction!BX135)*(alch_plat+(Magic!AM134&gt;0)*alchemist_flame_bonus)</f>
        <v>27470.7</v>
      </c>
      <c r="AB134" s="97">
        <f ca="1">TblConstr[[#This Row],[Tot Farm]]*farm_food + TblConstr[[#This Row],[Tot Doc]]*dock_food</f>
        <v>3280</v>
      </c>
      <c r="AC134" s="97">
        <f ca="1">TblConstr[[#This Row],[Tot Ly]]*ly_lumber + TblConstr[[#This Row],[Tot Hav]]*fh_lumber</f>
        <v>1250</v>
      </c>
      <c r="AD134" s="97">
        <f ca="1">OFFSET(TblConstr[[#This Row],[Tot Tow]],1,0)*(tower_mana + tech_4_5*TblTech[[#This Row],[4-5]]) + OFFSET(TblConstr[[#This Row],[Tot WG]],1,0)*wg_mana_prod</f>
        <v>725</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4" s="159">
        <f ca="1">race_lumber_bonus+ IF(TblMagic[[#This Row],[Active Gaia''s Blessing]]&gt;0,gaias_blessing_lumber)+ tech_1_3*TblTech[[#This Row],[1-3]] + tech_1_6*TblTech[[#This Row],[1-6]] + tech_3_3*TblTech[[#This Row],[3-3]]</f>
        <v>-0.1</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0.15</v>
      </c>
      <c r="AN134" s="145"/>
      <c r="AO134" s="97">
        <f ca="1">TblProd[[#This Row],[Food]]*food_decay * (1 + tech_2_1*TblTech[[#This Row],[2-1]] + tech_2_8*TblTech[[#This Row],[2-8]])</f>
        <v>73.42</v>
      </c>
      <c r="AP134" s="97">
        <f ca="1">(1+race_food_consumption)*TblPop[[#This Row],[Total]]*food_per_person*(1+tech_1_10*TblTech[[#This Row],[1-10]]+tech_7_5*TblTech[[#This Row],[7-5]])</f>
        <v>3234.75</v>
      </c>
      <c r="AQ134" s="97">
        <f ca="1">TblProd[[#This Row],[Lumber]]*lumber_rot * (1 + tech_2_1*TblTech[[#This Row],[2-1]] + tech_2_8*TblTech[[#This Row],[2-8]] + tech_5_2*TblTech[[#This Row],[5-2]])</f>
        <v>575.39</v>
      </c>
      <c r="AR134" s="97">
        <f ca="1">TblProd[[#This Row],[Mana]]*mana_drain * (1 + tech_2_1*TblTech[[#This Row],[2-1]] + tech_2_8*TblTech[[#This Row],[2-8]])</f>
        <v>388.13</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45435.166666666351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2146615</v>
      </c>
      <c r="BJ134" s="97">
        <f ca="1">TblProd[[#This Row],[Food]]</f>
        <v>7342</v>
      </c>
      <c r="BK134" s="97">
        <f ca="1">TblProd[[#This Row],[Lumber]]</f>
        <v>57539</v>
      </c>
      <c r="BL134" s="97">
        <f ca="1">TblProd[[#This Row],[Mana]]</f>
        <v>19406.5</v>
      </c>
      <c r="BM134" s="97">
        <f ca="1">TblProd[[#This Row],[Ore]]</f>
        <v>0</v>
      </c>
    </row>
    <row r="135" spans="1:65" x14ac:dyDescent="0.2">
      <c r="A135" s="140">
        <v>60</v>
      </c>
      <c r="B135" s="155">
        <f ca="1">TblImps[[#This Row],[Time]]</f>
        <v>45435.208333333016</v>
      </c>
      <c r="C135" s="156"/>
      <c r="D135" s="157"/>
      <c r="E135" s="97">
        <f ca="1">TblConstr[[#This Row],[Land]]</f>
        <v>700</v>
      </c>
      <c r="F135" s="97">
        <f ca="1">TblPop[[#This Row],[Peasants]]</f>
        <v>5535</v>
      </c>
      <c r="G135" s="97">
        <f ca="1">TblMili[[#This Row],[Networth (2)]]</f>
        <v>42359.8</v>
      </c>
      <c r="H135" s="97">
        <f ca="1">OFFSET(TblProd[[#This Row],[Platinum]],-1,0)+OFFSET(TblProd[[#This Row],[Plat/hr]],-1,0) - TblProd[[#This Row],[Expenses Platinum]] + IF(TblProd[[#This Row],[Plat Bonus]],TblPop[[#This Row],[Peasants]]*4) + SUM(TblConstr[[#This Row],[Dest Hom]:[Dest Doc]])*TblConstr[[#This Row],[CPA Platinum -DB]]*tech_3_3_2*TblTech[[#This Row],[3-3]]</f>
        <v>2174085</v>
      </c>
      <c r="I135" s="97">
        <f ca="1">OFFSET(TblProd[[#This Row],[Food]],-1,0)+OFFSET(TblProd[[#This Row],[Food/hr]],-1,0)+ROUNDUP((TblConstr[[#This Row],[Farms]]*80+TblConstr[[#This Row],[Docks]]*35)*(1+OFFSET(TblProd[[#This Row],[Bonus Food/hr]],-1,0)),0)</f>
        <v>7396</v>
      </c>
      <c r="J135" s="97">
        <f ca="1">OFFSET(TblProd[[#This Row],[Lumber]],-1,0)+OFFSET(TblProd[[#This Row],[Lumber/hr]],-1,0) - TblProd[[#This Row],[Expenses Lumber]] + SUM(TblConstr[[#This Row],[Dest Hom]:[Dest Doc]])*TblConstr[[#This Row],[CPA Lumber -DB]]*tech_3_3_2*TblTech[[#This Row],[3-3]]</f>
        <v>58089</v>
      </c>
      <c r="K135" s="97">
        <f ca="1">OFFSET(TblProd[[#This Row],[Mana]],-1,0)+OFFSET(TblProd[[#This Row],[Mana/hr]],-1,0)- TblProd[[#This Row],[Expenses Mana]]</f>
        <v>19743.5</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99.050000000000139</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5" s="97">
        <f ca="1">MAX(3750,_xlfn.CEILING.MATH(TblProd[[#This Row],[Land]]*2.5+OFFSET(TblTech[[#This Row],[Sum of tech]],-1,0)*150))</f>
        <v>3750</v>
      </c>
      <c r="R135" s="145"/>
      <c r="S135" s="97">
        <f ca="1">ROUNDDOWN(TblProd[[#This Row],[Raw Plat/hr]]*(1+TblProd[[#This Row],[Bonus Plat/hr]]),0)</f>
        <v>27319</v>
      </c>
      <c r="T135" s="97">
        <f ca="1">ROUND(TblProd[[#This Row],[Raw Food/hr]]*(1+TblProd[[#This Row],[Bonus Food/hr]])-TblProd[[#This Row],[Food decay]]-TblProd[[#This Row],[Food eaten]],0)</f>
        <v>53</v>
      </c>
      <c r="U135" s="97">
        <f ca="1">ROUND(TblProd[[#This Row],[Raw Lumber/hr]]*(1+TblProd[[#This Row],[Bonus Lumber/hr]])-TblProd[[#This Row],[Lumber rot]],0)</f>
        <v>544</v>
      </c>
      <c r="V135" s="97">
        <f ca="1">ROUND(TblProd[[#This Row],[Raw Mana/hr]]*(1+TblProd[[#This Row],[Bonus Mana/hr]])-TblProd[[#This Row],[Mana drain]],0)</f>
        <v>330</v>
      </c>
      <c r="W135" s="97">
        <f ca="1">ROUNDDOWN(TblProd[[#This Row],[Raw Ore/hr]]*(1+TblProd[[#This Row],[Bonux Ore/hr]]),0)</f>
        <v>0</v>
      </c>
      <c r="X135" s="97">
        <f ca="1">ROUNDDOWN(TblProd[[#This Row],[Raw Gems/hr]]*(1+TblProd[[#This Row],[Bonus Gems/hr]]),0)</f>
        <v>0</v>
      </c>
      <c r="Y135" s="158">
        <f ca="1">OFFSET(TblConstr[[#This Row],[Tot Doc]],1,0)*dock_boats_hr * (1 + tech_4_1*TblTech[[#This Row],[4-1]])</f>
        <v>1.2000000000000002</v>
      </c>
      <c r="Z135" s="157"/>
      <c r="AA135" s="97">
        <f ca="1">TblPop[[#This Row],[Peasants]]*tax*TblPop[[#This Row],[Employment]] + (Construction!AZ136+Construction!BX136)*(alch_plat+(Magic!AM135&gt;0)*alchemist_flame_bonus)</f>
        <v>27319.5</v>
      </c>
      <c r="AB135" s="97">
        <f ca="1">TblConstr[[#This Row],[Tot Farm]]*farm_food + TblConstr[[#This Row],[Tot Doc]]*dock_food</f>
        <v>3280</v>
      </c>
      <c r="AC135" s="97">
        <f ca="1">TblConstr[[#This Row],[Tot Ly]]*ly_lumber + TblConstr[[#This Row],[Tot Hav]]*fh_lumber</f>
        <v>1250</v>
      </c>
      <c r="AD135" s="97">
        <f ca="1">OFFSET(TblConstr[[#This Row],[Tot Tow]],1,0)*(tower_mana + tech_4_5*TblTech[[#This Row],[4-5]]) + OFFSET(TblConstr[[#This Row],[Tot WG]],1,0)*wg_mana_prod</f>
        <v>725</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5" s="159">
        <f ca="1">race_lumber_bonus+ IF(TblMagic[[#This Row],[Active Gaia''s Blessing]]&gt;0,gaias_blessing_lumber)+ tech_1_3*TblTech[[#This Row],[1-3]] + tech_1_6*TblTech[[#This Row],[1-6]] + tech_3_3*TblTech[[#This Row],[3-3]]</f>
        <v>-0.1</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0.15</v>
      </c>
      <c r="AN135" s="145"/>
      <c r="AO135" s="97">
        <f ca="1">TblProd[[#This Row],[Food]]*food_decay * (1 + tech_2_1*TblTech[[#This Row],[2-1]] + tech_2_8*TblTech[[#This Row],[2-8]])</f>
        <v>73.960000000000008</v>
      </c>
      <c r="AP135" s="97">
        <f ca="1">(1+race_food_consumption)*TblPop[[#This Row],[Total]]*food_per_person*(1+tech_1_10*TblTech[[#This Row],[1-10]]+tech_7_5*TblTech[[#This Row],[7-5]])</f>
        <v>3234.75</v>
      </c>
      <c r="AQ135" s="97">
        <f ca="1">TblProd[[#This Row],[Lumber]]*lumber_rot * (1 + tech_2_1*TblTech[[#This Row],[2-1]] + tech_2_8*TblTech[[#This Row],[2-8]] + tech_5_2*TblTech[[#This Row],[5-2]])</f>
        <v>580.89</v>
      </c>
      <c r="AR135" s="97">
        <f ca="1">TblProd[[#This Row],[Mana]]*mana_drain * (1 + tech_2_1*TblTech[[#This Row],[2-1]] + tech_2_8*TblTech[[#This Row],[2-8]])</f>
        <v>394.87</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45435.208333333016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2174085</v>
      </c>
      <c r="BJ135" s="97">
        <f ca="1">TblProd[[#This Row],[Food]]</f>
        <v>7396</v>
      </c>
      <c r="BK135" s="97">
        <f ca="1">TblProd[[#This Row],[Lumber]]</f>
        <v>58089</v>
      </c>
      <c r="BL135" s="97">
        <f ca="1">TblProd[[#This Row],[Mana]]</f>
        <v>19743.5</v>
      </c>
      <c r="BM135" s="97">
        <f ca="1">TblProd[[#This Row],[Ore]]</f>
        <v>0</v>
      </c>
    </row>
    <row r="136" spans="1:65" x14ac:dyDescent="0.2">
      <c r="A136" s="140">
        <v>61</v>
      </c>
      <c r="B136" s="155">
        <f ca="1">TblImps[[#This Row],[Time]]</f>
        <v>45435.24999999968</v>
      </c>
      <c r="C136" s="156"/>
      <c r="D136" s="157"/>
      <c r="E136" s="97">
        <f ca="1">TblConstr[[#This Row],[Land]]</f>
        <v>700</v>
      </c>
      <c r="F136" s="97">
        <f ca="1">TblPop[[#This Row],[Peasants]]</f>
        <v>5480</v>
      </c>
      <c r="G136" s="97">
        <f ca="1">TblMili[[#This Row],[Networth (2)]]</f>
        <v>42359.8</v>
      </c>
      <c r="H136" s="97">
        <f ca="1">OFFSET(TblProd[[#This Row],[Platinum]],-1,0)+OFFSET(TblProd[[#This Row],[Plat/hr]],-1,0) - TblProd[[#This Row],[Expenses Platinum]] + IF(TblProd[[#This Row],[Plat Bonus]],TblPop[[#This Row],[Peasants]]*4) + SUM(TblConstr[[#This Row],[Dest Hom]:[Dest Doc]])*TblConstr[[#This Row],[CPA Platinum -DB]]*tech_3_3_2*TblTech[[#This Row],[3-3]]</f>
        <v>2201404</v>
      </c>
      <c r="I136" s="97">
        <f ca="1">OFFSET(TblProd[[#This Row],[Food]],-1,0)+OFFSET(TblProd[[#This Row],[Food/hr]],-1,0)+ROUNDUP((TblConstr[[#This Row],[Farms]]*80+TblConstr[[#This Row],[Docks]]*35)*(1+OFFSET(TblProd[[#This Row],[Bonus Food/hr]],-1,0)),0)</f>
        <v>7449</v>
      </c>
      <c r="J136" s="97">
        <f ca="1">OFFSET(TblProd[[#This Row],[Lumber]],-1,0)+OFFSET(TblProd[[#This Row],[Lumber/hr]],-1,0) - TblProd[[#This Row],[Expenses Lumber]] + SUM(TblConstr[[#This Row],[Dest Hom]:[Dest Doc]])*TblConstr[[#This Row],[CPA Lumber -DB]]*tech_3_3_2*TblTech[[#This Row],[3-3]]</f>
        <v>58633</v>
      </c>
      <c r="K136" s="97">
        <f ca="1">OFFSET(TblProd[[#This Row],[Mana]],-1,0)+OFFSET(TblProd[[#This Row],[Mana/hr]],-1,0)- TblProd[[#This Row],[Expenses Mana]]</f>
        <v>20073.5</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100.25000000000014</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53</v>
      </c>
      <c r="U136" s="97">
        <f ca="1">ROUND(TblProd[[#This Row],[Raw Lumber/hr]]*(1+TblProd[[#This Row],[Bonus Lumber/hr]])-TblProd[[#This Row],[Lumber rot]],0)</f>
        <v>539</v>
      </c>
      <c r="V136" s="97">
        <f ca="1">ROUND(TblProd[[#This Row],[Raw Mana/hr]]*(1+TblProd[[#This Row],[Bonus Mana/hr]])-TblProd[[#This Row],[Mana drain]],0)</f>
        <v>-401</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3280</v>
      </c>
      <c r="AC136" s="97">
        <f ca="1">TblConstr[[#This Row],[Tot Ly]]*ly_lumber + TblConstr[[#This Row],[Tot Hav]]*fh_lumber</f>
        <v>1250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2.4999999999999911E-2</v>
      </c>
      <c r="AJ136" s="159">
        <f ca="1">race_lumber_bonus+ IF(TblMagic[[#This Row],[Active Gaia''s Blessing]]&gt;0,gaias_blessing_lumber)+ tech_1_3*TblTech[[#This Row],[1-3]] + tech_1_6*TblTech[[#This Row],[1-6]] + tech_3_3*TblTech[[#This Row],[3-3]]</f>
        <v>-0.1</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0.15</v>
      </c>
      <c r="AN136" s="145"/>
      <c r="AO136" s="97">
        <f ca="1">TblProd[[#This Row],[Food]]*food_decay * (1 + tech_2_1*TblTech[[#This Row],[2-1]] + tech_2_8*TblTech[[#This Row],[2-8]])</f>
        <v>74.489999999999995</v>
      </c>
      <c r="AP136" s="97">
        <f ca="1">(1+race_food_consumption)*TblPop[[#This Row],[Total]]*food_per_person*(1+tech_1_10*TblTech[[#This Row],[1-10]]+tech_7_5*TblTech[[#This Row],[7-5]])</f>
        <v>3234.75</v>
      </c>
      <c r="AQ136" s="97">
        <f ca="1">TblProd[[#This Row],[Lumber]]*lumber_rot * (1 + tech_2_1*TblTech[[#This Row],[2-1]] + tech_2_8*TblTech[[#This Row],[2-8]] + tech_5_2*TblTech[[#This Row],[5-2]])</f>
        <v>586.33000000000004</v>
      </c>
      <c r="AR136" s="97">
        <f ca="1">TblProd[[#This Row],[Mana]]*mana_drain * (1 + tech_2_1*TblTech[[#This Row],[2-1]] + tech_2_8*TblTech[[#This Row],[2-8]])</f>
        <v>401.47</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45435.24999999968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2201404</v>
      </c>
      <c r="BJ136" s="97">
        <f ca="1">TblProd[[#This Row],[Food]]</f>
        <v>7449</v>
      </c>
      <c r="BK136" s="97">
        <f ca="1">TblProd[[#This Row],[Lumber]]</f>
        <v>58633</v>
      </c>
      <c r="BL136" s="97">
        <f ca="1">TblProd[[#This Row],[Mana]]</f>
        <v>20073.5</v>
      </c>
      <c r="BM136" s="97">
        <f ca="1">TblProd[[#This Row],[Ore]]</f>
        <v>0</v>
      </c>
    </row>
    <row r="1269" spans="3:12" x14ac:dyDescent="0.2">
      <c r="C1269" s="496" t="s">
        <v>316</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topLeftCell="F1" zoomScale="85" zoomScaleNormal="85" workbookViewId="0">
      <pane ySplit="3" topLeftCell="A40" activePane="bottomLeft" state="frozenSplit"/>
      <selection activeCell="A3" sqref="A3"/>
      <selection pane="bottomLeft" activeCell="Z57" sqref="Z57"/>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515</v>
      </c>
      <c r="AJ1" s="177" t="s">
        <v>518</v>
      </c>
      <c r="AK1" s="499" t="s">
        <v>77</v>
      </c>
      <c r="AL1" s="499"/>
      <c r="AM1" s="497" t="s">
        <v>516</v>
      </c>
      <c r="AN1" s="497"/>
      <c r="AO1" s="497" t="s">
        <v>517</v>
      </c>
      <c r="AP1" s="497"/>
      <c r="AQ1" s="497" t="s">
        <v>514</v>
      </c>
      <c r="AR1" s="497"/>
      <c r="AS1" s="5"/>
      <c r="AT1" s="5"/>
      <c r="AU1" s="5"/>
      <c r="AV1" s="5" t="s">
        <v>513</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295</v>
      </c>
      <c r="DA1" s="499"/>
      <c r="DB1" s="499"/>
      <c r="DC1" s="499"/>
      <c r="DD1" s="499"/>
      <c r="DE1" s="5"/>
      <c r="DF1" s="5"/>
      <c r="DG1" s="499" t="s">
        <v>258</v>
      </c>
      <c r="DH1" s="499"/>
      <c r="DI1" s="5" t="s">
        <v>533</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1007</v>
      </c>
      <c r="E3" s="138" t="s">
        <v>774</v>
      </c>
      <c r="F3" s="138" t="s">
        <v>1</v>
      </c>
      <c r="G3" s="173" t="s">
        <v>244</v>
      </c>
      <c r="H3" s="138" t="s">
        <v>58</v>
      </c>
      <c r="I3" s="138" t="s">
        <v>246</v>
      </c>
      <c r="J3" s="138" t="s">
        <v>245</v>
      </c>
      <c r="K3" s="138" t="s">
        <v>60</v>
      </c>
      <c r="L3" s="138" t="s">
        <v>243</v>
      </c>
      <c r="M3" s="138" t="s">
        <v>62</v>
      </c>
      <c r="N3" s="138" t="s">
        <v>1051</v>
      </c>
      <c r="O3" s="174" t="s">
        <v>72</v>
      </c>
      <c r="P3" s="174" t="s">
        <v>71</v>
      </c>
      <c r="Q3" s="174" t="s">
        <v>70</v>
      </c>
      <c r="R3" s="174" t="s">
        <v>69</v>
      </c>
      <c r="S3" s="174" t="s">
        <v>68</v>
      </c>
      <c r="T3" s="174" t="s">
        <v>63</v>
      </c>
      <c r="U3" s="174" t="s">
        <v>348</v>
      </c>
      <c r="V3" s="174" t="s">
        <v>64</v>
      </c>
      <c r="W3" s="174" t="s">
        <v>65</v>
      </c>
      <c r="X3" s="174" t="s">
        <v>66</v>
      </c>
      <c r="Y3" s="174" t="s">
        <v>67</v>
      </c>
      <c r="Z3" s="174" t="s">
        <v>350</v>
      </c>
      <c r="AA3" s="174" t="s">
        <v>353</v>
      </c>
      <c r="AB3" s="174" t="s">
        <v>74</v>
      </c>
      <c r="AC3" s="174" t="s">
        <v>351</v>
      </c>
      <c r="AD3" s="174" t="s">
        <v>297</v>
      </c>
      <c r="AE3" s="174" t="s">
        <v>75</v>
      </c>
      <c r="AF3" s="174" t="s">
        <v>371</v>
      </c>
      <c r="AG3" s="174" t="s">
        <v>76</v>
      </c>
      <c r="AH3" s="138" t="s">
        <v>363</v>
      </c>
      <c r="AI3" s="138" t="s">
        <v>816</v>
      </c>
      <c r="AJ3" s="138" t="s">
        <v>817</v>
      </c>
      <c r="AK3" s="138" t="s">
        <v>2</v>
      </c>
      <c r="AL3" s="138" t="s">
        <v>7</v>
      </c>
      <c r="AM3" s="138" t="s">
        <v>812</v>
      </c>
      <c r="AN3" s="138" t="s">
        <v>813</v>
      </c>
      <c r="AO3" s="138" t="s">
        <v>814</v>
      </c>
      <c r="AP3" s="138" t="s">
        <v>815</v>
      </c>
      <c r="AQ3" s="138" t="s">
        <v>1039</v>
      </c>
      <c r="AR3" s="138" t="s">
        <v>1040</v>
      </c>
      <c r="AS3" s="138" t="s">
        <v>519</v>
      </c>
      <c r="AT3" s="138" t="s">
        <v>520</v>
      </c>
      <c r="AU3" s="138" t="s">
        <v>775</v>
      </c>
      <c r="AV3" s="138" t="s">
        <v>818</v>
      </c>
      <c r="AW3" s="138" t="s">
        <v>819</v>
      </c>
      <c r="AX3" s="138" t="s">
        <v>776</v>
      </c>
      <c r="AY3" s="173" t="s">
        <v>820</v>
      </c>
      <c r="AZ3" s="138" t="s">
        <v>821</v>
      </c>
      <c r="BA3" s="138" t="s">
        <v>822</v>
      </c>
      <c r="BB3" s="138" t="s">
        <v>823</v>
      </c>
      <c r="BC3" s="138" t="s">
        <v>824</v>
      </c>
      <c r="BD3" s="138" t="s">
        <v>825</v>
      </c>
      <c r="BE3" s="138" t="s">
        <v>826</v>
      </c>
      <c r="BF3" s="138" t="s">
        <v>827</v>
      </c>
      <c r="BG3" s="138" t="s">
        <v>828</v>
      </c>
      <c r="BH3" s="138" t="s">
        <v>829</v>
      </c>
      <c r="BI3" s="138" t="s">
        <v>830</v>
      </c>
      <c r="BJ3" s="138" t="s">
        <v>831</v>
      </c>
      <c r="BK3" s="138" t="s">
        <v>832</v>
      </c>
      <c r="BL3" s="138" t="s">
        <v>833</v>
      </c>
      <c r="BM3" s="138" t="s">
        <v>834</v>
      </c>
      <c r="BN3" s="138" t="s">
        <v>835</v>
      </c>
      <c r="BO3" s="138" t="s">
        <v>836</v>
      </c>
      <c r="BP3" s="138" t="s">
        <v>837</v>
      </c>
      <c r="BQ3" s="175" t="s">
        <v>838</v>
      </c>
      <c r="BR3" s="138" t="s">
        <v>791</v>
      </c>
      <c r="BS3" s="138" t="s">
        <v>792</v>
      </c>
      <c r="BT3" s="138" t="s">
        <v>883</v>
      </c>
      <c r="BU3" s="138" t="s">
        <v>861</v>
      </c>
      <c r="BV3" s="138" t="s">
        <v>793</v>
      </c>
      <c r="BW3" s="138" t="s">
        <v>1022</v>
      </c>
      <c r="BX3" s="138" t="s">
        <v>904</v>
      </c>
      <c r="BY3" s="138" t="s">
        <v>905</v>
      </c>
      <c r="BZ3" s="138" t="s">
        <v>906</v>
      </c>
      <c r="CA3" s="138" t="s">
        <v>907</v>
      </c>
      <c r="CB3" s="138" t="s">
        <v>908</v>
      </c>
      <c r="CC3" s="138" t="s">
        <v>909</v>
      </c>
      <c r="CD3" s="138" t="s">
        <v>910</v>
      </c>
      <c r="CE3" s="138" t="s">
        <v>911</v>
      </c>
      <c r="CF3" s="138" t="s">
        <v>912</v>
      </c>
      <c r="CG3" s="138" t="s">
        <v>913</v>
      </c>
      <c r="CH3" s="138" t="s">
        <v>914</v>
      </c>
      <c r="CI3" s="138" t="s">
        <v>915</v>
      </c>
      <c r="CJ3" s="138" t="s">
        <v>916</v>
      </c>
      <c r="CK3" s="138" t="s">
        <v>917</v>
      </c>
      <c r="CL3" s="138" t="s">
        <v>918</v>
      </c>
      <c r="CM3" s="138" t="s">
        <v>919</v>
      </c>
      <c r="CN3" s="138" t="s">
        <v>920</v>
      </c>
      <c r="CO3" s="138" t="s">
        <v>921</v>
      </c>
      <c r="CP3" s="138" t="s">
        <v>867</v>
      </c>
      <c r="CQ3" s="138" t="s">
        <v>804</v>
      </c>
      <c r="CR3" s="138" t="s">
        <v>805</v>
      </c>
      <c r="CS3" s="138" t="s">
        <v>806</v>
      </c>
      <c r="CT3" s="138" t="s">
        <v>807</v>
      </c>
      <c r="CU3" s="138" t="s">
        <v>808</v>
      </c>
      <c r="CV3" s="138" t="s">
        <v>809</v>
      </c>
      <c r="CW3" s="138" t="s">
        <v>810</v>
      </c>
      <c r="CX3" s="138" t="s">
        <v>258</v>
      </c>
      <c r="CY3" s="138" t="s">
        <v>868</v>
      </c>
      <c r="CZ3" s="138" t="s">
        <v>872</v>
      </c>
      <c r="DA3" s="138" t="s">
        <v>873</v>
      </c>
      <c r="DB3" s="138" t="s">
        <v>874</v>
      </c>
      <c r="DC3" s="138" t="s">
        <v>875</v>
      </c>
      <c r="DD3" s="138" t="s">
        <v>876</v>
      </c>
      <c r="DE3" s="138" t="s">
        <v>877</v>
      </c>
      <c r="DF3" s="138" t="s">
        <v>878</v>
      </c>
      <c r="DG3" s="138" t="s">
        <v>811</v>
      </c>
      <c r="DH3" s="138" t="s">
        <v>296</v>
      </c>
      <c r="DI3" s="138" t="s">
        <v>534</v>
      </c>
      <c r="DJ3" s="138" t="s">
        <v>535</v>
      </c>
    </row>
    <row r="4" spans="1:114" x14ac:dyDescent="0.2">
      <c r="A4" s="178">
        <f>TblRezone[[#This Row],[Hour]]</f>
        <v>1</v>
      </c>
      <c r="B4" s="179">
        <f ca="1">SUM(TblConstr[[#This Row],[Plain]:[Water]])</f>
        <v>30</v>
      </c>
      <c r="C4" s="180">
        <f>SUM(TblConstr[[#This Row],[Tot Hom]:[Tot Doc]])</f>
        <v>90</v>
      </c>
      <c r="D4" s="180">
        <f>SUM(TblConstr[[#This Row],[Hom]:[Doc]])</f>
        <v>130</v>
      </c>
      <c r="E4" s="181"/>
      <c r="F4" s="62">
        <f ca="1">TblConstr[[#This Row],[Barren]]+TblConstr[[#This Row],[Buildings]]+TblConstr[[#This Row],[Incoming]]</f>
        <v>250</v>
      </c>
      <c r="G4" s="406">
        <f ca="1">start_plains+TblConstr[[#This Row],[Ch_Plain]]</f>
        <v>0</v>
      </c>
      <c r="H4" s="407">
        <f ca="1">start_forest+TblConstr[[#This Row],[Ch_Forest]]</f>
        <v>0</v>
      </c>
      <c r="I4" s="408">
        <f ca="1">start_mountains+TblConstr[[#This Row],[Ch_Mountain]]</f>
        <v>0</v>
      </c>
      <c r="J4" s="409">
        <f ca="1">start_hills+TblConstr[[#This Row],[Ch_Hill]]</f>
        <v>0</v>
      </c>
      <c r="K4" s="410">
        <f ca="1">start_swamp+TblConstr[[#This Row],[Ch_Swamp]]</f>
        <v>0</v>
      </c>
      <c r="L4" s="411">
        <f ca="1">start_caverns+TblConstr[[#This Row],[Ch_Cavern]]</f>
        <v>20</v>
      </c>
      <c r="M4" s="412">
        <f ca="1">start_water+TblConstr[[#This Row],[Ch_Water]]</f>
        <v>10</v>
      </c>
      <c r="N4" s="383">
        <f>TblRezone[[#This Row],[Hour]]</f>
        <v>1</v>
      </c>
      <c r="O4" s="182"/>
      <c r="P4" s="161">
        <v>40</v>
      </c>
      <c r="Q4" s="182"/>
      <c r="R4" s="182"/>
      <c r="S4" s="182"/>
      <c r="T4" s="182"/>
      <c r="U4" s="182"/>
      <c r="V4" s="182"/>
      <c r="W4" s="182"/>
      <c r="X4" s="161">
        <v>28</v>
      </c>
      <c r="Y4" s="182"/>
      <c r="Z4" s="182"/>
      <c r="AA4" s="182"/>
      <c r="AB4" s="182">
        <v>15</v>
      </c>
      <c r="AC4" s="161">
        <v>47</v>
      </c>
      <c r="AD4" s="182"/>
      <c r="AE4" s="182"/>
      <c r="AF4" s="182"/>
      <c r="AG4" s="161"/>
      <c r="AH4" s="53">
        <f>TblImps[[#This Row],[Time]]</f>
        <v>45429.75</v>
      </c>
      <c r="AI4" s="183">
        <f ca="1">MIN(25%,(TblConstr[[#This Row],[Tot Fac]]+TblConstr[[#This Row],[Dest Fac]])/(TblConstr[[#This Row],[Land]]-TblExplore[[#This Row],[Land Bonus]]*20))</f>
        <v>0</v>
      </c>
      <c r="AJ4" s="183">
        <f ca="1">MIN(25%,(TblConstr[[#This Row],[Tot Fac]]+TblConstr[[#This Row],[Dest Fac]])/TblConstr[[#This Row],[Land]])</f>
        <v>0</v>
      </c>
      <c r="AK4" s="97">
        <f ca="1">TblProd[[#This Row],[Platinum]]</f>
        <v>9830</v>
      </c>
      <c r="AL4" s="97">
        <f ca="1">TblProd[[#This Row],[Lumber]]</f>
        <v>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99450</v>
      </c>
      <c r="AR4" s="413">
        <f ca="1">SUM($O4:$AG4)*AN4</f>
        <v>11440</v>
      </c>
      <c r="AS4" s="404">
        <f>MIN(SUM(Constants!A30:G30)+SUM(TblConstr[[#This Row],[Dest Hom]:[Dest Doc]]),SUM(TblConstr[[#This Row],[Hom]:[Doc]]))</f>
        <v>130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45429.75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-40</v>
      </c>
      <c r="CR4" s="185">
        <f ca="1">-SUM(TblConstr[[#This Row],[Ly]:[Hav]])+SUM(TblConstr[[#This Row],[Dest Ly]:[Dest Hav]]) +Rezone!M4 + IF("Ch_"&amp; home_land=TblConstr[[#Headers],[Ch_Forest]],TblConstr[[#This Row],[Home Land]])+IF(TblConstr[[#This Row],[Hour]:[Hour]]&gt;12,OFFSET(TblExplore[[#This Row],[Forest Explore]],-12,0),0)</f>
        <v>-20</v>
      </c>
      <c r="CS4" s="387">
        <f ca="1">-SUM(TblConstr[[#This Row],[OM]:[GN]])+SUM(TblConstr[[#This Row],[Dest OM]:[Dest GN]]) +Rezone!N4 + IF("Ch_"&amp; home_land=TblConstr[[#Headers],[Ch_Mountain]],TblConstr[[#This Row],[Home Land]])+IF(TblConstr[[#This Row],[Hour]:[Hour]]&gt;12,OFFSET(TblExplore[[#This Row],[Mountain Explore]],-12,0),0)</f>
        <v>-20</v>
      </c>
      <c r="CT4" s="186">
        <f ca="1">-SUM(TblConstr[[#This Row],[Fac]:[Shr]])+SUM(TblConstr[[#This Row],[Dest Fac]:[Dest Shr]]) +Rezone!O4 + IF("Ch_" &amp; home_land=TblConstr[[#Headers],[Ch_Hill]],TblConstr[[#This Row],[Home Land]])+IF(TblConstr[[#This Row],[Hour]:[Hour]]&gt;12,OFFSET(TblExplore[[#This Row],[Hill Explore]],-12,0),0)</f>
        <v>-20</v>
      </c>
      <c r="CU4" s="187">
        <f ca="1">-SUM(TblConstr[[#This Row],[Tow]:[WG]])+SUM(TblConstr[[#This Row],[Dest Tow]:[Dest WG]]) +Rezone!P4 + IF("Ch_" &amp; home_land=TblConstr[[#Headers],[Ch_Swamp]],TblConstr[[#This Row],[Home Land]])+IF(TblConstr[[#This Row],[Hour]:[Hour]]&gt;12,OFFSET(TblExplore[[#This Row],[Swamp Explore]],-12,0),0)</f>
        <v>-20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-10</v>
      </c>
      <c r="CX4" s="45">
        <f>IF(Explore!S4=1,20) - TblConstr[[#This Row],[Hom]] + TblConstr[[#This Row],[Dest Hom]]</f>
        <v>0</v>
      </c>
      <c r="CY4" s="145"/>
      <c r="CZ4" s="97">
        <f ca="1">G4+SUM(P$4:S4)+SUM(AZ4:BC4)</f>
        <v>100</v>
      </c>
      <c r="DA4" s="97">
        <f ca="1">H4+SUM(T$4:U4)+SUM(BD4:BE4)</f>
        <v>20</v>
      </c>
      <c r="DB4" s="45">
        <f ca="1">I4+SUM(V$4:W4)+SUM(BF4:BG4)</f>
        <v>0</v>
      </c>
      <c r="DC4" s="97">
        <f ca="1">J4+SUM(X$4:Y4)+SUM(BH4:BI4)</f>
        <v>28</v>
      </c>
      <c r="DD4" s="97">
        <f ca="1">K4+SUM(AB$4:AD4)+SUM(BL4:BN4)</f>
        <v>62</v>
      </c>
      <c r="DE4" s="45">
        <f ca="1">L4+SUM(AE$4:AE4)+BO4</f>
        <v>20</v>
      </c>
      <c r="DF4" s="97">
        <f ca="1">M4+SUM(AG$4:AG4)+BQ4</f>
        <v>10</v>
      </c>
      <c r="DG4" s="45" cm="1">
        <f t="array" aca="1" ref="DG4" ca="1">INDEX(TblConstr[[Total Plain]:[Total Water]],ROW()-ROW(TblConstr[#Headers]),MATCH("Total "&amp;home_land,TblConstr[[#Headers],[Total Plain]:[Total Water]],0))+TblConstr[[#This Row],[Homes]]</f>
        <v>30</v>
      </c>
      <c r="DH4" s="45">
        <f>SUM(O$4:O4)+AY4</f>
        <v>10</v>
      </c>
      <c r="DI4" s="97">
        <v>0</v>
      </c>
      <c r="DJ4" s="45">
        <v>0</v>
      </c>
    </row>
    <row r="5" spans="1:114" x14ac:dyDescent="0.2">
      <c r="A5" s="178">
        <f>TblRezone[[#This Row],[Hour]]</f>
        <v>2</v>
      </c>
      <c r="B5" s="179">
        <f ca="1">SUM(TblConstr[[#This Row],[Plain]:[Water]])</f>
        <v>30</v>
      </c>
      <c r="C5" s="180">
        <f ca="1">SUM(TblConstr[[#This Row],[Tot Hom]:[Tot Doc]])</f>
        <v>90</v>
      </c>
      <c r="D5" s="180">
        <f>SUM(O$4:AG5)</f>
        <v>130</v>
      </c>
      <c r="E5" s="181"/>
      <c r="F5" s="62">
        <f ca="1">TblConstr[[#This Row],[Barren]]+TblConstr[[#This Row],[Buildings]]+TblConstr[[#This Row],[Incoming]]</f>
        <v>250</v>
      </c>
      <c r="G5" s="190">
        <f ca="1">OFFSET(TblConstr[[#This Row],[Plain]],-1,0)+TblConstr[[#This Row],[Ch_Plain]]</f>
        <v>0</v>
      </c>
      <c r="H5" s="185">
        <f ca="1">OFFSET(TblConstr[[#This Row],[Forest]],-1,0)+TblConstr[[#This Row],[Ch_Forest]]</f>
        <v>0</v>
      </c>
      <c r="I5" s="385">
        <f ca="1">OFFSET(TblConstr[[#This Row],[Mountain]],-1,0)+TblConstr[[#This Row],[Ch_Mountain]]</f>
        <v>0</v>
      </c>
      <c r="J5" s="389">
        <f ca="1">OFFSET(TblConstr[[#This Row],[Hill]],-1,0)+TblConstr[[#This Row],[Ch_Hill]]</f>
        <v>0</v>
      </c>
      <c r="K5" s="393">
        <f ca="1">OFFSET(TblConstr[[#This Row],[Swamp]],-1,0)+TblConstr[[#This Row],[Ch_Swamp]]</f>
        <v>0</v>
      </c>
      <c r="L5" s="188">
        <f ca="1">OFFSET(TblConstr[[#This Row],[Cavern]],-1,0)+TblConstr[[#This Row],[Ch_Cavern]]</f>
        <v>20</v>
      </c>
      <c r="M5" s="189">
        <f ca="1">OFFSET(TblConstr[[#This Row],[Water]],-1,0)+TblConstr[[#This Row],[Ch_Water]]</f>
        <v>10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45429.791666666664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15140</v>
      </c>
      <c r="AL5" s="97">
        <f ca="1">TblProd[[#This Row],[Lumber]]</f>
        <v>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45429.791666666664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20</v>
      </c>
      <c r="DB5" s="45">
        <f ca="1">I5+SUM(V$4:W5)+SUM(BF5:BG5)</f>
        <v>0</v>
      </c>
      <c r="DC5" s="97">
        <f ca="1">J5+SUM(X$4:Y5)+SUM(BH5:BI5)</f>
        <v>28</v>
      </c>
      <c r="DD5" s="97">
        <f ca="1">K5+SUM(AB$4:AD5)+SUM(BL5:BN5)</f>
        <v>62</v>
      </c>
      <c r="DE5" s="45">
        <f ca="1">L5+SUM(AE$4:AE5)+BO5</f>
        <v>20</v>
      </c>
      <c r="DF5" s="97">
        <f ca="1">M5+SUM(AG$4:AG5)+BQ5</f>
        <v>10</v>
      </c>
      <c r="DG5" s="97" cm="1">
        <f t="array" aca="1" ref="DG5" ca="1">INDEX(TblConstr[[Total Plain]:[Total Water]],ROW()-ROW(TblConstr[#Headers]),MATCH("Total "&amp;home_land,TblConstr[[#Headers],[Total Plain]:[Total Water]],0))+TblConstr[[#This Row],[Homes]]</f>
        <v>30</v>
      </c>
      <c r="DH5" s="45">
        <f ca="1">SUM(O$4:O5)+AY5</f>
        <v>10</v>
      </c>
      <c r="DI5" s="97">
        <f ca="1">MAX(BA5-BA4,0)</f>
        <v>0</v>
      </c>
      <c r="DJ5" s="45">
        <f ca="1">MAX(BQ5-BQ4,0)</f>
        <v>0</v>
      </c>
    </row>
    <row r="6" spans="1:114" x14ac:dyDescent="0.2">
      <c r="A6" s="178">
        <f>TblRezone[[#This Row],[Hour]]</f>
        <v>3</v>
      </c>
      <c r="B6" s="179">
        <f ca="1">SUM(TblConstr[[#This Row],[Plain]:[Water]])</f>
        <v>30</v>
      </c>
      <c r="C6" s="180">
        <f ca="1">SUM(TblConstr[[#This Row],[Tot Hom]:[Tot Doc]])</f>
        <v>90</v>
      </c>
      <c r="D6" s="180">
        <f>SUM(O$4:AG6)</f>
        <v>130</v>
      </c>
      <c r="E6" s="181"/>
      <c r="F6" s="62">
        <f ca="1">TblConstr[[#This Row],[Barren]]+TblConstr[[#This Row],[Buildings]]+TblConstr[[#This Row],[Incoming]]</f>
        <v>250</v>
      </c>
      <c r="G6" s="190">
        <f ca="1">OFFSET(TblConstr[[#This Row],[Plain]],-1,0)+TblConstr[[#This Row],[Ch_Plain]]</f>
        <v>0</v>
      </c>
      <c r="H6" s="185">
        <f ca="1">OFFSET(TblConstr[[#This Row],[Forest]],-1,0)+TblConstr[[#This Row],[Ch_Forest]]</f>
        <v>0</v>
      </c>
      <c r="I6" s="385">
        <f ca="1">OFFSET(TblConstr[[#This Row],[Mountain]],-1,0)+TblConstr[[#This Row],[Ch_Mountain]]</f>
        <v>0</v>
      </c>
      <c r="J6" s="389">
        <f ca="1">OFFSET(TblConstr[[#This Row],[Hill]],-1,0)+TblConstr[[#This Row],[Ch_Hill]]</f>
        <v>0</v>
      </c>
      <c r="K6" s="393">
        <f ca="1">OFFSET(TblConstr[[#This Row],[Swamp]],-1,0)+TblConstr[[#This Row],[Ch_Swamp]]</f>
        <v>0</v>
      </c>
      <c r="L6" s="188">
        <f ca="1">OFFSET(TblConstr[[#This Row],[Cavern]],-1,0)+TblConstr[[#This Row],[Ch_Cavern]]</f>
        <v>20</v>
      </c>
      <c r="M6" s="189">
        <f ca="1">OFFSET(TblConstr[[#This Row],[Water]],-1,0)+TblConstr[[#This Row],[Ch_Water]]</f>
        <v>10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45429.833333333328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20520</v>
      </c>
      <c r="AL6" s="97">
        <f ca="1">TblProd[[#This Row],[Lumber]]</f>
        <v>0</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45429.833333333328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20</v>
      </c>
      <c r="DB6" s="45">
        <f ca="1">I6+SUM(V$4:W6)+SUM(BF6:BG6)</f>
        <v>0</v>
      </c>
      <c r="DC6" s="97">
        <f ca="1">J6+SUM(X$4:Y6)+SUM(BH6:BI6)</f>
        <v>28</v>
      </c>
      <c r="DD6" s="97">
        <f ca="1">K6+SUM(AB$4:AD6)+SUM(BL6:BN6)</f>
        <v>62</v>
      </c>
      <c r="DE6" s="45">
        <f ca="1">L6+SUM(AE$4:AE6)+BO6</f>
        <v>20</v>
      </c>
      <c r="DF6" s="97">
        <f ca="1">M6+SUM(AG$4:AG6)+BQ6</f>
        <v>10</v>
      </c>
      <c r="DG6" s="97" cm="1">
        <f t="array" aca="1" ref="DG6" ca="1">INDEX(TblConstr[[Total Plain]:[Total Water]],ROW()-ROW(TblConstr[#Headers]),MATCH("Total "&amp;home_land,TblConstr[[#Headers],[Total Plain]:[Total Water]],0))+TblConstr[[#This Row],[Homes]]</f>
        <v>30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30</v>
      </c>
      <c r="C7" s="180">
        <f ca="1">SUM(TblConstr[[#This Row],[Tot Hom]:[Tot Doc]])</f>
        <v>90</v>
      </c>
      <c r="D7" s="180">
        <f>SUM(O$4:AG7)</f>
        <v>130</v>
      </c>
      <c r="E7" s="181"/>
      <c r="F7" s="62">
        <f ca="1">TblConstr[[#This Row],[Barren]]+TblConstr[[#This Row],[Buildings]]+TblConstr[[#This Row],[Incoming]]</f>
        <v>250</v>
      </c>
      <c r="G7" s="190">
        <f ca="1">OFFSET(TblConstr[[#This Row],[Plain]],-1,0)+TblConstr[[#This Row],[Ch_Plain]]</f>
        <v>0</v>
      </c>
      <c r="H7" s="185">
        <f ca="1">OFFSET(TblConstr[[#This Row],[Forest]],-1,0)+TblConstr[[#This Row],[Ch_Forest]]</f>
        <v>0</v>
      </c>
      <c r="I7" s="385">
        <f ca="1">OFFSET(TblConstr[[#This Row],[Mountain]],-1,0)+TblConstr[[#This Row],[Ch_Mountain]]</f>
        <v>0</v>
      </c>
      <c r="J7" s="389">
        <f ca="1">OFFSET(TblConstr[[#This Row],[Hill]],-1,0)+TblConstr[[#This Row],[Ch_Hill]]</f>
        <v>0</v>
      </c>
      <c r="K7" s="393">
        <f ca="1">OFFSET(TblConstr[[#This Row],[Swamp]],-1,0)+TblConstr[[#This Row],[Ch_Swamp]]</f>
        <v>0</v>
      </c>
      <c r="L7" s="188">
        <f ca="1">OFFSET(TblConstr[[#This Row],[Cavern]],-1,0)+TblConstr[[#This Row],[Ch_Cavern]]</f>
        <v>20</v>
      </c>
      <c r="M7" s="189">
        <f ca="1">OFFSET(TblConstr[[#This Row],[Water]],-1,0)+TblConstr[[#This Row],[Ch_Water]]</f>
        <v>10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45429.874999999993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25970</v>
      </c>
      <c r="AL7" s="97">
        <f ca="1">TblProd[[#This Row],[Lumber]]</f>
        <v>0</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45429.874999999993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20</v>
      </c>
      <c r="DB7" s="45">
        <f ca="1">I7+SUM(V$4:W7)+SUM(BF7:BG7)</f>
        <v>0</v>
      </c>
      <c r="DC7" s="97">
        <f ca="1">J7+SUM(X$4:Y7)+SUM(BH7:BI7)</f>
        <v>28</v>
      </c>
      <c r="DD7" s="97">
        <f ca="1">K7+SUM(AB$4:AD7)+SUM(BL7:BN7)</f>
        <v>62</v>
      </c>
      <c r="DE7" s="45">
        <f ca="1">L7+SUM(AE$4:AE7)+BO7</f>
        <v>20</v>
      </c>
      <c r="DF7" s="97">
        <f ca="1">M7+SUM(AG$4:AG7)+BQ7</f>
        <v>10</v>
      </c>
      <c r="DG7" s="97" cm="1">
        <f t="array" aca="1" ref="DG7" ca="1">INDEX(TblConstr[[Total Plain]:[Total Water]],ROW()-ROW(TblConstr[#Headers]),MATCH("Total "&amp;home_land,TblConstr[[#Headers],[Total Plain]:[Total Water]],0))+TblConstr[[#This Row],[Homes]]</f>
        <v>30</v>
      </c>
      <c r="DH7" s="45">
        <f ca="1">SUM(O$4:O7)+AY7</f>
        <v>10</v>
      </c>
      <c r="DI7" s="45">
        <f t="shared" ca="1" si="0"/>
        <v>0</v>
      </c>
      <c r="DJ7" s="45">
        <f t="shared" ca="1" si="1"/>
        <v>0</v>
      </c>
    </row>
    <row r="8" spans="1:114" x14ac:dyDescent="0.2">
      <c r="A8" s="382">
        <f>TblRezone[[#This Row],[Hour]]</f>
        <v>5</v>
      </c>
      <c r="B8" s="179">
        <f ca="1">SUM(TblConstr[[#This Row],[Plain]:[Water]])</f>
        <v>30</v>
      </c>
      <c r="C8" s="180">
        <f ca="1">SUM(TblConstr[[#This Row],[Tot Hom]:[Tot Doc]])</f>
        <v>90</v>
      </c>
      <c r="D8" s="180">
        <f>SUM(O$4:AG8)</f>
        <v>130</v>
      </c>
      <c r="E8" s="181"/>
      <c r="F8" s="62">
        <f ca="1">TblConstr[[#This Row],[Barren]]+TblConstr[[#This Row],[Buildings]]+TblConstr[[#This Row],[Incoming]]</f>
        <v>250</v>
      </c>
      <c r="G8" s="190">
        <f ca="1">OFFSET(TblConstr[[#This Row],[Plain]],-1,0)+TblConstr[[#This Row],[Ch_Plain]]</f>
        <v>0</v>
      </c>
      <c r="H8" s="185">
        <f ca="1">OFFSET(TblConstr[[#This Row],[Forest]],-1,0)+TblConstr[[#This Row],[Ch_Forest]]</f>
        <v>0</v>
      </c>
      <c r="I8" s="385">
        <f ca="1">OFFSET(TblConstr[[#This Row],[Mountain]],-1,0)+TblConstr[[#This Row],[Ch_Mountain]]</f>
        <v>0</v>
      </c>
      <c r="J8" s="389">
        <f ca="1">OFFSET(TblConstr[[#This Row],[Hill]],-1,0)+TblConstr[[#This Row],[Ch_Hill]]</f>
        <v>0</v>
      </c>
      <c r="K8" s="393">
        <f ca="1">OFFSET(TblConstr[[#This Row],[Swamp]],-1,0)+TblConstr[[#This Row],[Ch_Swamp]]</f>
        <v>0</v>
      </c>
      <c r="L8" s="188">
        <f ca="1">OFFSET(TblConstr[[#This Row],[Cavern]],-1,0)+TblConstr[[#This Row],[Ch_Cavern]]</f>
        <v>20</v>
      </c>
      <c r="M8" s="189">
        <f ca="1">OFFSET(TblConstr[[#This Row],[Water]],-1,0)+TblConstr[[#This Row],[Ch_Water]]</f>
        <v>10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45429.916666666657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31490</v>
      </c>
      <c r="AL8" s="97">
        <f ca="1">TblProd[[#This Row],[Lumber]]</f>
        <v>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45429.916666666657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20</v>
      </c>
      <c r="DB8" s="45">
        <f ca="1">I8+SUM(V$4:W8)+SUM(BF8:BG8)</f>
        <v>0</v>
      </c>
      <c r="DC8" s="97">
        <f ca="1">J8+SUM(X$4:Y8)+SUM(BH8:BI8)</f>
        <v>28</v>
      </c>
      <c r="DD8" s="97">
        <f ca="1">K8+SUM(AB$4:AD8)+SUM(BL8:BN8)</f>
        <v>62</v>
      </c>
      <c r="DE8" s="45">
        <f ca="1">L8+SUM(AE$4:AE8)+BO8</f>
        <v>20</v>
      </c>
      <c r="DF8" s="97">
        <f ca="1">M8+SUM(AG$4:AG8)+BQ8</f>
        <v>10</v>
      </c>
      <c r="DG8" s="97" cm="1">
        <f t="array" aca="1" ref="DG8" ca="1">INDEX(TblConstr[[Total Plain]:[Total Water]],ROW()-ROW(TblConstr[#Headers]),MATCH("Total "&amp;home_land,TblConstr[[#Headers],[Total Plain]:[Total Water]],0))+TblConstr[[#This Row],[Homes]]</f>
        <v>30</v>
      </c>
      <c r="DH8" s="45">
        <f ca="1">SUM(O$4:O8)+AY8</f>
        <v>10</v>
      </c>
      <c r="DI8" s="45">
        <f t="shared" ca="1" si="0"/>
        <v>0</v>
      </c>
      <c r="DJ8" s="45">
        <f t="shared" ca="1" si="1"/>
        <v>0</v>
      </c>
    </row>
    <row r="9" spans="1:114" x14ac:dyDescent="0.2">
      <c r="A9" s="178">
        <f>TblRezone[[#This Row],[Hour]]</f>
        <v>6</v>
      </c>
      <c r="B9" s="179">
        <f ca="1">SUM(TblConstr[[#This Row],[Plain]:[Water]])</f>
        <v>30</v>
      </c>
      <c r="C9" s="180">
        <f ca="1">SUM(TblConstr[[#This Row],[Tot Hom]:[Tot Doc]])</f>
        <v>90</v>
      </c>
      <c r="D9" s="180">
        <f>SUM(O$4:AG9)</f>
        <v>130</v>
      </c>
      <c r="E9" s="181"/>
      <c r="F9" s="62">
        <f ca="1">TblConstr[[#This Row],[Barren]]+TblConstr[[#This Row],[Buildings]]+TblConstr[[#This Row],[Incoming]]</f>
        <v>250</v>
      </c>
      <c r="G9" s="190">
        <f ca="1">OFFSET(TblConstr[[#This Row],[Plain]],-1,0)+TblConstr[[#This Row],[Ch_Plain]]</f>
        <v>0</v>
      </c>
      <c r="H9" s="185">
        <f ca="1">OFFSET(TblConstr[[#This Row],[Forest]],-1,0)+TblConstr[[#This Row],[Ch_Forest]]</f>
        <v>0</v>
      </c>
      <c r="I9" s="385">
        <f ca="1">OFFSET(TblConstr[[#This Row],[Mountain]],-1,0)+TblConstr[[#This Row],[Ch_Mountain]]</f>
        <v>0</v>
      </c>
      <c r="J9" s="389">
        <f ca="1">OFFSET(TblConstr[[#This Row],[Hill]],-1,0)+TblConstr[[#This Row],[Ch_Hill]]</f>
        <v>0</v>
      </c>
      <c r="K9" s="393">
        <f ca="1">OFFSET(TblConstr[[#This Row],[Swamp]],-1,0)+TblConstr[[#This Row],[Ch_Swamp]]</f>
        <v>0</v>
      </c>
      <c r="L9" s="188">
        <f ca="1">OFFSET(TblConstr[[#This Row],[Cavern]],-1,0)+TblConstr[[#This Row],[Ch_Cavern]]</f>
        <v>20</v>
      </c>
      <c r="M9" s="189">
        <f ca="1">OFFSET(TblConstr[[#This Row],[Water]],-1,0)+TblConstr[[#This Row],[Ch_Water]]</f>
        <v>10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45429.958333333321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16683</v>
      </c>
      <c r="AL9" s="97">
        <f ca="1">TblProd[[#This Row],[Lumber]]</f>
        <v>0</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45429.958333333321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20</v>
      </c>
      <c r="DB9" s="45">
        <f ca="1">I9+SUM(V$4:W9)+SUM(BF9:BG9)</f>
        <v>0</v>
      </c>
      <c r="DC9" s="97">
        <f ca="1">J9+SUM(X$4:Y9)+SUM(BH9:BI9)</f>
        <v>28</v>
      </c>
      <c r="DD9" s="97">
        <f ca="1">K9+SUM(AB$4:AD9)+SUM(BL9:BN9)</f>
        <v>62</v>
      </c>
      <c r="DE9" s="45">
        <f ca="1">L9+SUM(AE$4:AE9)+BO9</f>
        <v>20</v>
      </c>
      <c r="DF9" s="97">
        <f ca="1">M9+SUM(AG$4:AG9)+BQ9</f>
        <v>10</v>
      </c>
      <c r="DG9" s="97" cm="1">
        <f t="array" aca="1" ref="DG9" ca="1">INDEX(TblConstr[[Total Plain]:[Total Water]],ROW()-ROW(TblConstr[#Headers]),MATCH("Total "&amp;home_land,TblConstr[[#Headers],[Total Plain]:[Total Water]],0))+TblConstr[[#This Row],[Homes]]</f>
        <v>30</v>
      </c>
      <c r="DH9" s="45">
        <f ca="1">SUM(O$4:O9)+AY9</f>
        <v>10</v>
      </c>
      <c r="DI9" s="45">
        <f t="shared" ca="1" si="0"/>
        <v>0</v>
      </c>
      <c r="DJ9" s="45">
        <f t="shared" ca="1" si="1"/>
        <v>0</v>
      </c>
    </row>
    <row r="10" spans="1:114" x14ac:dyDescent="0.2">
      <c r="A10" s="178">
        <f>TblRezone[[#This Row],[Hour]]</f>
        <v>7</v>
      </c>
      <c r="B10" s="179">
        <f ca="1">SUM(TblConstr[[#This Row],[Plain]:[Water]])</f>
        <v>30</v>
      </c>
      <c r="C10" s="180">
        <f ca="1">SUM(TblConstr[[#This Row],[Tot Hom]:[Tot Doc]])</f>
        <v>90</v>
      </c>
      <c r="D10" s="180">
        <f>SUM(O$4:AG10)</f>
        <v>130</v>
      </c>
      <c r="E10" s="181"/>
      <c r="F10" s="62">
        <f ca="1">TblConstr[[#This Row],[Barren]]+TblConstr[[#This Row],[Buildings]]+TblConstr[[#This Row],[Incoming]]</f>
        <v>250</v>
      </c>
      <c r="G10" s="190">
        <f ca="1">OFFSET(TblConstr[[#This Row],[Plain]],-1,0)+TblConstr[[#This Row],[Ch_Plain]]</f>
        <v>0</v>
      </c>
      <c r="H10" s="185">
        <f ca="1">OFFSET(TblConstr[[#This Row],[Forest]],-1,0)+TblConstr[[#This Row],[Ch_Forest]]</f>
        <v>0</v>
      </c>
      <c r="I10" s="385">
        <f ca="1">OFFSET(TblConstr[[#This Row],[Mountain]],-1,0)+TblConstr[[#This Row],[Ch_Mountain]]</f>
        <v>0</v>
      </c>
      <c r="J10" s="389">
        <f ca="1">OFFSET(TblConstr[[#This Row],[Hill]],-1,0)+TblConstr[[#This Row],[Ch_Hill]]</f>
        <v>0</v>
      </c>
      <c r="K10" s="393">
        <f ca="1">OFFSET(TblConstr[[#This Row],[Swamp]],-1,0)+TblConstr[[#This Row],[Ch_Swamp]]</f>
        <v>0</v>
      </c>
      <c r="L10" s="188">
        <f ca="1">OFFSET(TblConstr[[#This Row],[Cavern]],-1,0)+TblConstr[[#This Row],[Ch_Cavern]]</f>
        <v>20</v>
      </c>
      <c r="M10" s="189">
        <f ca="1">OFFSET(TblConstr[[#This Row],[Water]],-1,0)+TblConstr[[#This Row],[Ch_Water]]</f>
        <v>10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45429.999999999985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21502</v>
      </c>
      <c r="AL10" s="97">
        <f ca="1">TblProd[[#This Row],[Lumber]]</f>
        <v>0</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45429.999999999985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20</v>
      </c>
      <c r="DB10" s="45">
        <f ca="1">I10+SUM(V$4:W10)+SUM(BF10:BG10)</f>
        <v>0</v>
      </c>
      <c r="DC10" s="97">
        <f ca="1">J10+SUM(X$4:Y10)+SUM(BH10:BI10)</f>
        <v>28</v>
      </c>
      <c r="DD10" s="97">
        <f ca="1">K10+SUM(AB$4:AD10)+SUM(BL10:BN10)</f>
        <v>62</v>
      </c>
      <c r="DE10" s="45">
        <f ca="1">L10+SUM(AE$4:AE10)+BO10</f>
        <v>20</v>
      </c>
      <c r="DF10" s="97">
        <f ca="1">M10+SUM(AG$4:AG10)+BQ10</f>
        <v>10</v>
      </c>
      <c r="DG10" s="97" cm="1">
        <f t="array" aca="1" ref="DG10" ca="1">INDEX(TblConstr[[Total Plain]:[Total Water]],ROW()-ROW(TblConstr[#Headers]),MATCH("Total "&amp;home_land,TblConstr[[#Headers],[Total Plain]:[Total Water]],0))+TblConstr[[#This Row],[Homes]]</f>
        <v>30</v>
      </c>
      <c r="DH10" s="45">
        <f ca="1">SUM(O$4:O10)+AY10</f>
        <v>10</v>
      </c>
      <c r="DI10" s="45">
        <f t="shared" ca="1" si="0"/>
        <v>0</v>
      </c>
      <c r="DJ10" s="45">
        <f t="shared" ca="1" si="1"/>
        <v>0</v>
      </c>
    </row>
    <row r="11" spans="1:114" x14ac:dyDescent="0.2">
      <c r="A11" s="178">
        <f>TblRezone[[#This Row],[Hour]]</f>
        <v>8</v>
      </c>
      <c r="B11" s="179">
        <f ca="1">SUM(TblConstr[[#This Row],[Plain]:[Water]])</f>
        <v>30</v>
      </c>
      <c r="C11" s="180">
        <f ca="1">SUM(TblConstr[[#This Row],[Tot Hom]:[Tot Doc]])</f>
        <v>90</v>
      </c>
      <c r="D11" s="180">
        <f>SUM(O$4:AG11)</f>
        <v>130</v>
      </c>
      <c r="E11" s="181"/>
      <c r="F11" s="62">
        <f ca="1">TblConstr[[#This Row],[Barren]]+TblConstr[[#This Row],[Buildings]]+TblConstr[[#This Row],[Incoming]]</f>
        <v>250</v>
      </c>
      <c r="G11" s="190">
        <f ca="1">OFFSET(TblConstr[[#This Row],[Plain]],-1,0)+TblConstr[[#This Row],[Ch_Plain]]</f>
        <v>0</v>
      </c>
      <c r="H11" s="185">
        <f ca="1">OFFSET(TblConstr[[#This Row],[Forest]],-1,0)+TblConstr[[#This Row],[Ch_Forest]]</f>
        <v>0</v>
      </c>
      <c r="I11" s="385">
        <f ca="1">OFFSET(TblConstr[[#This Row],[Mountain]],-1,0)+TblConstr[[#This Row],[Ch_Mountain]]</f>
        <v>0</v>
      </c>
      <c r="J11" s="389">
        <f ca="1">OFFSET(TblConstr[[#This Row],[Hill]],-1,0)+TblConstr[[#This Row],[Ch_Hill]]</f>
        <v>0</v>
      </c>
      <c r="K11" s="393">
        <f ca="1">OFFSET(TblConstr[[#This Row],[Swamp]],-1,0)+TblConstr[[#This Row],[Ch_Swamp]]</f>
        <v>0</v>
      </c>
      <c r="L11" s="188">
        <f ca="1">OFFSET(TblConstr[[#This Row],[Cavern]],-1,0)+TblConstr[[#This Row],[Ch_Cavern]]</f>
        <v>20</v>
      </c>
      <c r="M11" s="189">
        <f ca="1">OFFSET(TblConstr[[#This Row],[Water]],-1,0)+TblConstr[[#This Row],[Ch_Water]]</f>
        <v>10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45430.04166666665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26399</v>
      </c>
      <c r="AL11" s="97">
        <f ca="1">TblProd[[#This Row],[Lumber]]</f>
        <v>0</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45430.04166666665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20</v>
      </c>
      <c r="DB11" s="45">
        <f ca="1">I11+SUM(V$4:W11)+SUM(BF11:BG11)</f>
        <v>0</v>
      </c>
      <c r="DC11" s="97">
        <f ca="1">J11+SUM(X$4:Y11)+SUM(BH11:BI11)</f>
        <v>28</v>
      </c>
      <c r="DD11" s="97">
        <f ca="1">K11+SUM(AB$4:AD11)+SUM(BL11:BN11)</f>
        <v>62</v>
      </c>
      <c r="DE11" s="45">
        <f ca="1">L11+SUM(AE$4:AE11)+BO11</f>
        <v>20</v>
      </c>
      <c r="DF11" s="97">
        <f ca="1">M11+SUM(AG$4:AG11)+BQ11</f>
        <v>10</v>
      </c>
      <c r="DG11" s="97" cm="1">
        <f t="array" aca="1" ref="DG11" ca="1">INDEX(TblConstr[[Total Plain]:[Total Water]],ROW()-ROW(TblConstr[#Headers]),MATCH("Total "&amp;home_land,TblConstr[[#Headers],[Total Plain]:[Total Water]],0))+TblConstr[[#This Row],[Homes]]</f>
        <v>30</v>
      </c>
      <c r="DH11" s="45">
        <f ca="1">SUM(O$4:O11)+AY11</f>
        <v>10</v>
      </c>
      <c r="DI11" s="45">
        <f t="shared" ca="1" si="0"/>
        <v>0</v>
      </c>
      <c r="DJ11" s="45">
        <f t="shared" ca="1" si="1"/>
        <v>0</v>
      </c>
    </row>
    <row r="12" spans="1:114" x14ac:dyDescent="0.2">
      <c r="A12" s="178">
        <f>TblRezone[[#This Row],[Hour]]</f>
        <v>9</v>
      </c>
      <c r="B12" s="179">
        <f ca="1">SUM(TblConstr[[#This Row],[Plain]:[Water]])</f>
        <v>30</v>
      </c>
      <c r="C12" s="180">
        <f ca="1">SUM(TblConstr[[#This Row],[Tot Hom]:[Tot Doc]])</f>
        <v>90</v>
      </c>
      <c r="D12" s="180">
        <f>SUM(O$4:AG12)</f>
        <v>130</v>
      </c>
      <c r="E12" s="181"/>
      <c r="F12" s="62">
        <f ca="1">TblConstr[[#This Row],[Barren]]+TblConstr[[#This Row],[Buildings]]+TblConstr[[#This Row],[Incoming]]</f>
        <v>250</v>
      </c>
      <c r="G12" s="190">
        <f ca="1">OFFSET(TblConstr[[#This Row],[Plain]],-1,0)+TblConstr[[#This Row],[Ch_Plain]]</f>
        <v>0</v>
      </c>
      <c r="H12" s="185">
        <f ca="1">OFFSET(TblConstr[[#This Row],[Forest]],-1,0)+TblConstr[[#This Row],[Ch_Forest]]</f>
        <v>0</v>
      </c>
      <c r="I12" s="385">
        <f ca="1">OFFSET(TblConstr[[#This Row],[Mountain]],-1,0)+TblConstr[[#This Row],[Ch_Mountain]]</f>
        <v>0</v>
      </c>
      <c r="J12" s="389">
        <f ca="1">OFFSET(TblConstr[[#This Row],[Hill]],-1,0)+TblConstr[[#This Row],[Ch_Hill]]</f>
        <v>0</v>
      </c>
      <c r="K12" s="393">
        <f ca="1">OFFSET(TblConstr[[#This Row],[Swamp]],-1,0)+TblConstr[[#This Row],[Ch_Swamp]]</f>
        <v>0</v>
      </c>
      <c r="L12" s="188">
        <f ca="1">OFFSET(TblConstr[[#This Row],[Cavern]],-1,0)+TblConstr[[#This Row],[Ch_Cavern]]</f>
        <v>20</v>
      </c>
      <c r="M12" s="189">
        <f ca="1">OFFSET(TblConstr[[#This Row],[Water]],-1,0)+TblConstr[[#This Row],[Ch_Water]]</f>
        <v>10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45430.083333333314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31372</v>
      </c>
      <c r="AL12" s="97">
        <f ca="1">TblProd[[#This Row],[Lumber]]</f>
        <v>0</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45430.083333333314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20</v>
      </c>
      <c r="DB12" s="45">
        <f ca="1">I12+SUM(V$4:W12)+SUM(BF12:BG12)</f>
        <v>0</v>
      </c>
      <c r="DC12" s="97">
        <f ca="1">J12+SUM(X$4:Y12)+SUM(BH12:BI12)</f>
        <v>28</v>
      </c>
      <c r="DD12" s="97">
        <f ca="1">K12+SUM(AB$4:AD12)+SUM(BL12:BN12)</f>
        <v>62</v>
      </c>
      <c r="DE12" s="45">
        <f ca="1">L12+SUM(AE$4:AE12)+BO12</f>
        <v>20</v>
      </c>
      <c r="DF12" s="97">
        <f ca="1">M12+SUM(AG$4:AG12)+BQ12</f>
        <v>10</v>
      </c>
      <c r="DG12" s="97" cm="1">
        <f t="array" aca="1" ref="DG12" ca="1">INDEX(TblConstr[[Total Plain]:[Total Water]],ROW()-ROW(TblConstr[#Headers]),MATCH("Total "&amp;home_land,TblConstr[[#Headers],[Total Plain]:[Total Water]],0))+TblConstr[[#This Row],[Homes]]</f>
        <v>30</v>
      </c>
      <c r="DH12" s="45">
        <f ca="1">SUM(O$4:O12)+AY12</f>
        <v>10</v>
      </c>
      <c r="DI12" s="45">
        <f t="shared" ca="1" si="0"/>
        <v>0</v>
      </c>
      <c r="DJ12" s="45">
        <f t="shared" ca="1" si="1"/>
        <v>0</v>
      </c>
    </row>
    <row r="13" spans="1:114" x14ac:dyDescent="0.2">
      <c r="A13" s="178">
        <f>TblRezone[[#This Row],[Hour]]</f>
        <v>10</v>
      </c>
      <c r="B13" s="179">
        <f ca="1">SUM(TblConstr[[#This Row],[Plain]:[Water]])</f>
        <v>30</v>
      </c>
      <c r="C13" s="180">
        <f ca="1">SUM(TblConstr[[#This Row],[Tot Hom]:[Tot Doc]])</f>
        <v>90</v>
      </c>
      <c r="D13" s="180">
        <f>SUM(O$4:AG13)</f>
        <v>130</v>
      </c>
      <c r="E13" s="181"/>
      <c r="F13" s="62">
        <f ca="1">TblConstr[[#This Row],[Barren]]+TblConstr[[#This Row],[Buildings]]+TblConstr[[#This Row],[Incoming]]</f>
        <v>250</v>
      </c>
      <c r="G13" s="190">
        <f ca="1">OFFSET(TblConstr[[#This Row],[Plain]],-1,0)+TblConstr[[#This Row],[Ch_Plain]]</f>
        <v>0</v>
      </c>
      <c r="H13" s="185">
        <f ca="1">OFFSET(TblConstr[[#This Row],[Forest]],-1,0)+TblConstr[[#This Row],[Ch_Forest]]</f>
        <v>0</v>
      </c>
      <c r="I13" s="385">
        <f ca="1">OFFSET(TblConstr[[#This Row],[Mountain]],-1,0)+TblConstr[[#This Row],[Ch_Mountain]]</f>
        <v>0</v>
      </c>
      <c r="J13" s="389">
        <f ca="1">OFFSET(TblConstr[[#This Row],[Hill]],-1,0)+TblConstr[[#This Row],[Ch_Hill]]</f>
        <v>0</v>
      </c>
      <c r="K13" s="393">
        <f ca="1">OFFSET(TblConstr[[#This Row],[Swamp]],-1,0)+TblConstr[[#This Row],[Ch_Swamp]]</f>
        <v>0</v>
      </c>
      <c r="L13" s="188">
        <f ca="1">OFFSET(TblConstr[[#This Row],[Cavern]],-1,0)+TblConstr[[#This Row],[Ch_Cavern]]</f>
        <v>20</v>
      </c>
      <c r="M13" s="189">
        <f ca="1">OFFSET(TblConstr[[#This Row],[Water]],-1,0)+TblConstr[[#This Row],[Ch_Water]]</f>
        <v>10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45430.124999999978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36323</v>
      </c>
      <c r="AL13" s="97">
        <f ca="1">TblProd[[#This Row],[Lumber]]</f>
        <v>200</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45430.124999999978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20</v>
      </c>
      <c r="DB13" s="45">
        <f ca="1">I13+SUM(V$4:W13)+SUM(BF13:BG13)</f>
        <v>0</v>
      </c>
      <c r="DC13" s="97">
        <f ca="1">J13+SUM(X$4:Y13)+SUM(BH13:BI13)</f>
        <v>28</v>
      </c>
      <c r="DD13" s="97">
        <f ca="1">K13+SUM(AB$4:AD13)+SUM(BL13:BN13)</f>
        <v>62</v>
      </c>
      <c r="DE13" s="45">
        <f ca="1">L13+SUM(AE$4:AE13)+BO13</f>
        <v>20</v>
      </c>
      <c r="DF13" s="97">
        <f ca="1">M13+SUM(AG$4:AG13)+BQ13</f>
        <v>10</v>
      </c>
      <c r="DG13" s="97" cm="1">
        <f t="array" aca="1" ref="DG13" ca="1">INDEX(TblConstr[[Total Plain]:[Total Water]],ROW()-ROW(TblConstr[#Headers]),MATCH("Total "&amp;home_land,TblConstr[[#Headers],[Total Plain]:[Total Water]],0))+TblConstr[[#This Row],[Homes]]</f>
        <v>30</v>
      </c>
      <c r="DH13" s="45">
        <f ca="1">SUM(O$4:O13)+AY13</f>
        <v>10</v>
      </c>
      <c r="DI13" s="45">
        <f t="shared" ca="1" si="0"/>
        <v>0</v>
      </c>
      <c r="DJ13" s="45">
        <f t="shared" ca="1" si="1"/>
        <v>0</v>
      </c>
    </row>
    <row r="14" spans="1:114" x14ac:dyDescent="0.2">
      <c r="A14" s="178">
        <f>TblRezone[[#This Row],[Hour]]</f>
        <v>11</v>
      </c>
      <c r="B14" s="179">
        <f ca="1">SUM(TblConstr[[#This Row],[Plain]:[Water]])</f>
        <v>30</v>
      </c>
      <c r="C14" s="180">
        <f ca="1">SUM(TblConstr[[#This Row],[Tot Hom]:[Tot Doc]])</f>
        <v>90</v>
      </c>
      <c r="D14" s="180">
        <f>SUM(O$4:AG14)</f>
        <v>130</v>
      </c>
      <c r="E14" s="181"/>
      <c r="F14" s="62">
        <f ca="1">TblConstr[[#This Row],[Barren]]+TblConstr[[#This Row],[Buildings]]+TblConstr[[#This Row],[Incoming]]</f>
        <v>250</v>
      </c>
      <c r="G14" s="190">
        <f ca="1">OFFSET(TblConstr[[#This Row],[Plain]],-1,0)+TblConstr[[#This Row],[Ch_Plain]]</f>
        <v>0</v>
      </c>
      <c r="H14" s="185">
        <f ca="1">OFFSET(TblConstr[[#This Row],[Forest]],-1,0)+TblConstr[[#This Row],[Ch_Forest]]</f>
        <v>0</v>
      </c>
      <c r="I14" s="385">
        <f ca="1">OFFSET(TblConstr[[#This Row],[Mountain]],-1,0)+TblConstr[[#This Row],[Ch_Mountain]]</f>
        <v>0</v>
      </c>
      <c r="J14" s="389">
        <f ca="1">OFFSET(TblConstr[[#This Row],[Hill]],-1,0)+TblConstr[[#This Row],[Ch_Hill]]</f>
        <v>0</v>
      </c>
      <c r="K14" s="393">
        <f ca="1">OFFSET(TblConstr[[#This Row],[Swamp]],-1,0)+TblConstr[[#This Row],[Ch_Swamp]]</f>
        <v>0</v>
      </c>
      <c r="L14" s="188">
        <f ca="1">OFFSET(TblConstr[[#This Row],[Cavern]],-1,0)+TblConstr[[#This Row],[Ch_Cavern]]</f>
        <v>20</v>
      </c>
      <c r="M14" s="189">
        <f ca="1">OFFSET(TblConstr[[#This Row],[Water]],-1,0)+TblConstr[[#This Row],[Ch_Water]]</f>
        <v>10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45430.166666666642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41005</v>
      </c>
      <c r="AL14" s="97">
        <f ca="1">TblProd[[#This Row],[Lumber]]</f>
        <v>1098</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45430.166666666642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20</v>
      </c>
      <c r="DB14" s="45">
        <f ca="1">I14+SUM(V$4:W14)+SUM(BF14:BG14)</f>
        <v>0</v>
      </c>
      <c r="DC14" s="97">
        <f ca="1">J14+SUM(X$4:Y14)+SUM(BH14:BI14)</f>
        <v>28</v>
      </c>
      <c r="DD14" s="97">
        <f ca="1">K14+SUM(AB$4:AD14)+SUM(BL14:BN14)</f>
        <v>62</v>
      </c>
      <c r="DE14" s="45">
        <f ca="1">L14+SUM(AE$4:AE14)+BO14</f>
        <v>20</v>
      </c>
      <c r="DF14" s="97">
        <f ca="1">M14+SUM(AG$4:AG14)+BQ14</f>
        <v>10</v>
      </c>
      <c r="DG14" s="97" cm="1">
        <f t="array" aca="1" ref="DG14" ca="1">INDEX(TblConstr[[Total Plain]:[Total Water]],ROW()-ROW(TblConstr[#Headers]),MATCH("Total "&amp;home_land,TblConstr[[#Headers],[Total Plain]:[Total Water]],0))+TblConstr[[#This Row],[Homes]]</f>
        <v>30</v>
      </c>
      <c r="DH14" s="45">
        <f ca="1">SUM(O$4:O14)+AY14</f>
        <v>10</v>
      </c>
      <c r="DI14" s="45">
        <f t="shared" ca="1" si="0"/>
        <v>0</v>
      </c>
      <c r="DJ14" s="45">
        <f t="shared" ca="1" si="1"/>
        <v>0</v>
      </c>
    </row>
    <row r="15" spans="1:114" x14ac:dyDescent="0.2">
      <c r="A15" s="178">
        <f>TblRezone[[#This Row],[Hour]]</f>
        <v>12</v>
      </c>
      <c r="B15" s="179">
        <f ca="1">SUM(TblConstr[[#This Row],[Plain]:[Water]])</f>
        <v>30</v>
      </c>
      <c r="C15" s="180">
        <f ca="1">SUM(TblConstr[[#This Row],[Tot Hom]:[Tot Doc]])</f>
        <v>90</v>
      </c>
      <c r="D15" s="180">
        <f>SUM(O$4:AG15)</f>
        <v>130</v>
      </c>
      <c r="E15" s="181"/>
      <c r="F15" s="62">
        <f ca="1">TblConstr[[#This Row],[Barren]]+TblConstr[[#This Row],[Buildings]]+TblConstr[[#This Row],[Incoming]]</f>
        <v>250</v>
      </c>
      <c r="G15" s="190">
        <f ca="1">OFFSET(TblConstr[[#This Row],[Plain]],-1,0)+TblConstr[[#This Row],[Ch_Plain]]</f>
        <v>0</v>
      </c>
      <c r="H15" s="185">
        <f ca="1">OFFSET(TblConstr[[#This Row],[Forest]],-1,0)+TblConstr[[#This Row],[Ch_Forest]]</f>
        <v>0</v>
      </c>
      <c r="I15" s="385">
        <f ca="1">OFFSET(TblConstr[[#This Row],[Mountain]],-1,0)+TblConstr[[#This Row],[Ch_Mountain]]</f>
        <v>0</v>
      </c>
      <c r="J15" s="389">
        <f ca="1">OFFSET(TblConstr[[#This Row],[Hill]],-1,0)+TblConstr[[#This Row],[Ch_Hill]]</f>
        <v>0</v>
      </c>
      <c r="K15" s="393">
        <f ca="1">OFFSET(TblConstr[[#This Row],[Swamp]],-1,0)+TblConstr[[#This Row],[Ch_Swamp]]</f>
        <v>0</v>
      </c>
      <c r="L15" s="188">
        <f ca="1">OFFSET(TblConstr[[#This Row],[Cavern]],-1,0)+TblConstr[[#This Row],[Ch_Cavern]]</f>
        <v>20</v>
      </c>
      <c r="M15" s="189">
        <f ca="1">OFFSET(TblConstr[[#This Row],[Water]],-1,0)+TblConstr[[#This Row],[Ch_Water]]</f>
        <v>10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45430.208333333307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46621</v>
      </c>
      <c r="AL15" s="97">
        <f ca="1">TblProd[[#This Row],[Lumber]]</f>
        <v>1987</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45430.208333333307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20</v>
      </c>
      <c r="DB15" s="45">
        <f ca="1">I15+SUM(V$4:W15)+SUM(BF15:BG15)</f>
        <v>0</v>
      </c>
      <c r="DC15" s="97">
        <f ca="1">J15+SUM(X$4:Y15)+SUM(BH15:BI15)</f>
        <v>28</v>
      </c>
      <c r="DD15" s="97">
        <f ca="1">K15+SUM(AB$4:AD15)+SUM(BL15:BN15)</f>
        <v>62</v>
      </c>
      <c r="DE15" s="45">
        <f ca="1">L15+SUM(AE$4:AE15)+BO15</f>
        <v>20</v>
      </c>
      <c r="DF15" s="97">
        <f ca="1">M15+SUM(AG$4:AG15)+BQ15</f>
        <v>10</v>
      </c>
      <c r="DG15" s="97" cm="1">
        <f t="array" aca="1" ref="DG15" ca="1">INDEX(TblConstr[[Total Plain]:[Total Water]],ROW()-ROW(TblConstr[#Headers]),MATCH("Total "&amp;home_land,TblConstr[[#Headers],[Total Plain]:[Total Water]],0))+TblConstr[[#This Row],[Homes]]</f>
        <v>30</v>
      </c>
      <c r="DH15" s="45">
        <f ca="1">SUM(O$4:O15)+AY15</f>
        <v>10</v>
      </c>
      <c r="DI15" s="45">
        <f t="shared" ca="1" si="0"/>
        <v>0</v>
      </c>
      <c r="DJ15" s="45">
        <f t="shared" ca="1" si="1"/>
        <v>0</v>
      </c>
    </row>
    <row r="16" spans="1:114" x14ac:dyDescent="0.2">
      <c r="A16" s="178">
        <f>TblRezone[[#This Row],[Hour]]</f>
        <v>13</v>
      </c>
      <c r="B16" s="179">
        <f ca="1">SUM(TblConstr[[#This Row],[Plain]:[Water]])</f>
        <v>0</v>
      </c>
      <c r="C16" s="180">
        <f ca="1">SUM(TblConstr[[#This Row],[Tot Hom]:[Tot Doc]])</f>
        <v>185</v>
      </c>
      <c r="D16" s="180">
        <f t="shared" ref="D16:D46" si="2">SUM(O5:AG16)</f>
        <v>65</v>
      </c>
      <c r="E16" s="181"/>
      <c r="F16" s="62">
        <f ca="1">TblConstr[[#This Row],[Barren]]+TblConstr[[#This Row],[Buildings]]+TblConstr[[#This Row],[Incoming]]</f>
        <v>250</v>
      </c>
      <c r="G16" s="190">
        <f ca="1">OFFSET(TblConstr[[#This Row],[Plain]],-1,0)+TblConstr[[#This Row],[Ch_Plain]]</f>
        <v>0</v>
      </c>
      <c r="H16" s="185">
        <f ca="1">OFFSET(TblConstr[[#This Row],[Forest]],-1,0)+TblConstr[[#This Row],[Ch_Forest]]</f>
        <v>0</v>
      </c>
      <c r="I16" s="385">
        <f ca="1">OFFSET(TblConstr[[#This Row],[Mountain]],-1,0)+TblConstr[[#This Row],[Ch_Mountain]]</f>
        <v>0</v>
      </c>
      <c r="J16" s="389">
        <f ca="1">OFFSET(TblConstr[[#This Row],[Hill]],-1,0)+TblConstr[[#This Row],[Ch_Hill]]</f>
        <v>0</v>
      </c>
      <c r="K16" s="393">
        <f ca="1">OFFSET(TblConstr[[#This Row],[Swamp]],-1,0)+TblConstr[[#This Row],[Ch_Swamp]]</f>
        <v>0</v>
      </c>
      <c r="L16" s="188">
        <f ca="1">OFFSET(TblConstr[[#This Row],[Cavern]],-1,0)+TblConstr[[#This Row],[Ch_Cavern]]</f>
        <v>0</v>
      </c>
      <c r="M16" s="189">
        <f ca="1">OFFSET(TblConstr[[#This Row],[Water]],-1,0)+TblConstr[[#This Row],[Ch_Water]]</f>
        <v>0</v>
      </c>
      <c r="N16" s="383">
        <f>TblRezone[[#This Row],[Hour]]</f>
        <v>13</v>
      </c>
      <c r="O16" s="182"/>
      <c r="P16" s="161">
        <v>55</v>
      </c>
      <c r="Q16" s="182"/>
      <c r="R16" s="182"/>
      <c r="S16" s="182"/>
      <c r="T16" s="182"/>
      <c r="U16" s="182"/>
      <c r="V16" s="161"/>
      <c r="W16" s="182"/>
      <c r="X16" s="161">
        <v>2</v>
      </c>
      <c r="Y16" s="182"/>
      <c r="Z16" s="182"/>
      <c r="AA16" s="182"/>
      <c r="AB16" s="182">
        <v>3</v>
      </c>
      <c r="AC16" s="182"/>
      <c r="AD16" s="182"/>
      <c r="AE16" s="182"/>
      <c r="AF16" s="182"/>
      <c r="AG16" s="161">
        <v>5</v>
      </c>
      <c r="AH16" s="53">
        <f ca="1">TblImps[[#This Row],[Time]]</f>
        <v>45430.249999999971</v>
      </c>
      <c r="AI16" s="183">
        <f ca="1">MIN(25%,(TblConstr[[#This Row],[Tot Fac]]+TblConstr[[#This Row],[Dest Fac]])/(TblConstr[[#This Row],[Land]]-TblExplore[[#This Row],[Land Bonus]]*20))</f>
        <v>0.112</v>
      </c>
      <c r="AJ16" s="183">
        <f ca="1">MIN(25%,(TblConstr[[#This Row],[Tot Fac]]+TblConstr[[#This Row],[Dest Fac]])/TblConstr[[#This Row],[Land]])</f>
        <v>0.112</v>
      </c>
      <c r="AK16" s="97">
        <f ca="1">TblProd[[#This Row],[Platinum]]</f>
        <v>27645</v>
      </c>
      <c r="AL16" s="97">
        <f ca="1">TblProd[[#This Row],[Lumber]]</f>
        <v>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97">
        <f ca="1">ROUNDDOWN( MAX(1 - MIN(facs_constr_factor*TblConstr[[#This Row],[Facs -DB]],facs_constr_max) + tech_1_11*TblTech[[#This Row],[11-1]] + tech_6_3_2*TblTech[[#This Row],[6-3]] + tech_5_2_3*TblTech[[#This Row],[5-2]], 1-global_constr_cap) * TblConstr[[#This Row],[RCPA Lumber]],0)</f>
        <v>44</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97">
        <f ca="1">ROUNDDOWN( MAX(1 - MIN(facs_constr_factor*TblConstr[[#This Row],[Facs DB]],facs_constr_max) + tech_1_11*TblTech[[#This Row],[1-11]] + tech_6_3_2*TblTech[[#This Row],[6-3]] + tech_5_2_3*TblTech[[#This Row],[5-2]], 1-global_constr_cap) * ROUND((TblConstr[[#This Row],[Land]]-250)*0.285 + 87.5 + 0/4.25,0),0)</f>
        <v>44</v>
      </c>
      <c r="AQ16" s="45">
        <f ca="1">TblConstr[[#This Row],[build -db]]*TblConstr[[#This Row],[CPA Platinum -DB]] + TblConstr[[#This Row],[build db]]*TblConstr[[#This Row],[CPA Platinum DB]]</f>
        <v>22100</v>
      </c>
      <c r="AR16" s="45">
        <f ca="1">TblConstr[[#This Row],[build -db]]*TblConstr[[#This Row],[CPA Lumber -DB]]+TblConstr[[#This Row],[build db]]*TblConstr[[#This Row],[CPA Lumber DB]]</f>
        <v>2860</v>
      </c>
      <c r="AS16" s="97">
        <f ca="1">MIN(SUM(OFFSET(TblConstr[[#This Row],[Plain]:[Water]],-1,0))+SUM(TblConstr[[#This Row],[Dest Hom]:[Dest Doc]])+IF(TblConstr[[#This Row],[Hour]]&gt;12,SUM(OFFSET(TblExplore[[#This Row],[Plains Explore]:[Water Explore]],-12,0)),0),SUM(TblConstr[[#This Row],[Hom]:[Doc]]))</f>
        <v>65</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0</v>
      </c>
      <c r="AZ16" s="192">
        <f ca="1">IF(TblConstr[[#This Row],[Hour]:[Hour]]&gt;12,OFFSET(TblConstr[[#This Row],[Alc]],-12,0),0)+OFFSET(TblConstr[[#This Row],[Tot Alc]],-1,0)-TblConstr[[#This Row],[Dest Alc]]</f>
        <v>70</v>
      </c>
      <c r="BA16" s="192" cm="1">
        <f t="array" aca="1" ref="BA16" ca="1">IF(TblConstr[[#This Row],[Hour]:[Hour]]&gt;12,OFFSET(TblConstr[[#This Row],[Far]],-12,0),0)+OFFSET(TblConstr[[#This Row],[Tot Farm]],-1,0)-TblConstr[[#This Row],[Dest Farm]]</f>
        <v>5</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28</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15</v>
      </c>
      <c r="BM16" s="395" cm="1">
        <f t="array" aca="1" ref="BM16" ca="1">IF(TblConstr[[#This Row],[Hour]:[Hour]]&gt;12,OFFSET(TblConstr[[#This Row],[Tem]],-12,0),0)+OFFSET(TblConstr[[#This Row],[Tot Tem]],-1,0)-TblConstr[[#This Row],[Dest Tem]]</f>
        <v>47</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45430.249999999971</v>
      </c>
      <c r="BV16" s="145"/>
      <c r="BW16" s="182">
        <v>10</v>
      </c>
      <c r="BX16" s="182"/>
      <c r="BY16" s="161">
        <v>25</v>
      </c>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-20</v>
      </c>
      <c r="CW16" s="189">
        <f ca="1">-TblConstr[[#This Row],[Doc]]+TblConstr[[#This Row],[Dest Doc]] +Rezone!R16 + IF("Ch_" &amp; home_land=TblConstr[[#Headers],[Ch_Water]],TblConstr[[#This Row],[Home Land]])+IF(TblConstr[[#This Row],[Hour]:[Hour]]&gt;12,OFFSET(TblExplore[[#This Row],[Water Explore]],-12,0),0)</f>
        <v>-10</v>
      </c>
      <c r="CX16" s="45">
        <f>IF(Explore!S16=1,20) - TblConstr[[#This Row],[Hom]] + TblConstr[[#This Row],[Dest Hom]]</f>
        <v>10</v>
      </c>
      <c r="CY16" s="145"/>
      <c r="CZ16" s="97">
        <f t="shared" ref="CZ16:CZ47" ca="1" si="3">G16+SUM(P5:S16)+SUM(AZ16:BC16)</f>
        <v>130</v>
      </c>
      <c r="DA16" s="97">
        <f t="shared" ref="DA16:DA47" ca="1" si="4">H16+SUM(T5:U16)+SUM(BD16:BE16)</f>
        <v>20</v>
      </c>
      <c r="DB16" s="45">
        <f t="shared" ref="DB16:DB47" ca="1" si="5">I16+SUM(V5:W16)+SUM(BF16:BG16)</f>
        <v>0</v>
      </c>
      <c r="DC16" s="97">
        <f t="shared" ref="DC16:DC47" ca="1" si="6">J16+SUM(X5:Y16)+SUM(BH16:BI16)</f>
        <v>30</v>
      </c>
      <c r="DD16" s="97">
        <f t="shared" ref="DD16:DD47" ca="1" si="7">K16+SUM(AB5:AD16)+SUM(BL16:BN16)</f>
        <v>65</v>
      </c>
      <c r="DE16" s="45">
        <f t="shared" ref="DE16:DE47" ca="1" si="8">L16+SUM(AE5:AE16)+BO16</f>
        <v>0</v>
      </c>
      <c r="DF16" s="97">
        <f t="shared" ref="DF16:DF47" ca="1" si="9">M16+SUM(AG5:AG16)+BQ16</f>
        <v>5</v>
      </c>
      <c r="DG16" s="97" cm="1">
        <f t="array" aca="1" ref="DG16" ca="1">INDEX(TblConstr[[Total Plain]:[Total Water]],ROW()-ROW(TblConstr[#Headers]),MATCH("Total "&amp;home_land,TblConstr[[#Headers],[Total Plain]:[Total Water]],0))+TblConstr[[#This Row],[Homes]]</f>
        <v>0</v>
      </c>
      <c r="DH16" s="45">
        <f ca="1">SUM(O5:O16)+AY16</f>
        <v>0</v>
      </c>
      <c r="DI16" s="45">
        <f t="shared" ca="1" si="0"/>
        <v>0</v>
      </c>
      <c r="DJ16" s="45">
        <f t="shared" ca="1" si="1"/>
        <v>0</v>
      </c>
    </row>
    <row r="17" spans="1:114" x14ac:dyDescent="0.2">
      <c r="A17" s="178">
        <f>TblRezone[[#This Row],[Hour]]</f>
        <v>14</v>
      </c>
      <c r="B17" s="179">
        <f ca="1">SUM(TblConstr[[#This Row],[Plain]:[Water]])</f>
        <v>0</v>
      </c>
      <c r="C17" s="180">
        <f ca="1">SUM(TblConstr[[#This Row],[Tot Hom]:[Tot Doc]])</f>
        <v>185</v>
      </c>
      <c r="D17" s="180">
        <f t="shared" si="2"/>
        <v>65</v>
      </c>
      <c r="E17" s="181"/>
      <c r="F17" s="62">
        <f ca="1">TblConstr[[#This Row],[Barren]]+TblConstr[[#This Row],[Buildings]]+TblConstr[[#This Row],[Incoming]]</f>
        <v>250</v>
      </c>
      <c r="G17" s="190">
        <f ca="1">OFFSET(TblConstr[[#This Row],[Plain]],-1,0)+TblConstr[[#This Row],[Ch_Plain]]</f>
        <v>0</v>
      </c>
      <c r="H17" s="185">
        <f ca="1">OFFSET(TblConstr[[#This Row],[Forest]],-1,0)+TblConstr[[#This Row],[Ch_Forest]]</f>
        <v>0</v>
      </c>
      <c r="I17" s="385">
        <f ca="1">OFFSET(TblConstr[[#This Row],[Mountain]],-1,0)+TblConstr[[#This Row],[Ch_Mountain]]</f>
        <v>0</v>
      </c>
      <c r="J17" s="389">
        <f ca="1">OFFSET(TblConstr[[#This Row],[Hill]],-1,0)+TblConstr[[#This Row],[Ch_Hill]]</f>
        <v>0</v>
      </c>
      <c r="K17" s="393">
        <f ca="1">OFFSET(TblConstr[[#This Row],[Swamp]],-1,0)+TblConstr[[#This Row],[Ch_Swamp]]</f>
        <v>0</v>
      </c>
      <c r="L17" s="188">
        <f ca="1">OFFSET(TblConstr[[#This Row],[Cavern]],-1,0)+TblConstr[[#This Row],[Ch_Cavern]]</f>
        <v>0</v>
      </c>
      <c r="M17" s="189">
        <f ca="1">OFFSET(TblConstr[[#This Row],[Water]],-1,0)+TblConstr[[#This Row],[Ch_Water]]</f>
        <v>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45430.291666666635</v>
      </c>
      <c r="AI17" s="183">
        <f ca="1">MIN(25%,(TblConstr[[#This Row],[Tot Fac]]+TblConstr[[#This Row],[Dest Fac]])/(TblConstr[[#This Row],[Land]]-TblExplore[[#This Row],[Land Bonus]]*20))</f>
        <v>0.112</v>
      </c>
      <c r="AJ17" s="183">
        <f ca="1">MIN(25%,(TblConstr[[#This Row],[Tot Fac]]+TblConstr[[#This Row],[Dest Fac]])/TblConstr[[#This Row],[Land]])</f>
        <v>0.112</v>
      </c>
      <c r="AK17" s="97">
        <f ca="1">TblProd[[#This Row],[Platinum]]</f>
        <v>35376</v>
      </c>
      <c r="AL17" s="97">
        <f ca="1">TblProd[[#This Row],[Lumber]]</f>
        <v>907</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97">
        <f ca="1">ROUNDDOWN( MAX(1 - MIN(facs_constr_factor*TblConstr[[#This Row],[Facs -DB]],facs_constr_max) + tech_1_11*TblTech[[#This Row],[11-1]] + tech_6_3_2*TblTech[[#This Row],[6-3]] + tech_5_2_3*TblTech[[#This Row],[5-2]], 1-global_constr_cap) * TblConstr[[#This Row],[RCPA Lumber]],0)</f>
        <v>44</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97">
        <f ca="1">ROUNDDOWN( MAX(1 - MIN(facs_constr_factor*TblConstr[[#This Row],[Facs DB]],facs_constr_max) + tech_1_11*TblTech[[#This Row],[1-11]] + tech_6_3_2*TblTech[[#This Row],[6-3]] + tech_5_2_3*TblTech[[#This Row],[5-2]], 1-global_constr_cap) * ROUND((TblConstr[[#This Row],[Land]]-250)*0.285 + 87.5 + 0/4.25,0),0)</f>
        <v>44</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0</v>
      </c>
      <c r="AZ17" s="192" cm="1">
        <f t="array" aca="1" ref="AZ17" ca="1">IF(TblConstr[[#This Row],[Hour]:[Hour]]&gt;12,OFFSET(TblConstr[[#This Row],[Alc]],-12,0),0)+OFFSET(TblConstr[[#This Row],[Tot Alc]],-1,0)-TblConstr[[#This Row],[Dest Alc]]</f>
        <v>70</v>
      </c>
      <c r="BA17" s="192" cm="1">
        <f t="array" aca="1" ref="BA17" ca="1">IF(TblConstr[[#This Row],[Hour]:[Hour]]&gt;12,OFFSET(TblConstr[[#This Row],[Far]],-12,0),0)+OFFSET(TblConstr[[#This Row],[Tot Farm]],-1,0)-TblConstr[[#This Row],[Dest Farm]]</f>
        <v>5</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28</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15</v>
      </c>
      <c r="BM17" s="395" cm="1">
        <f t="array" aca="1" ref="BM17" ca="1">IF(TblConstr[[#This Row],[Hour]:[Hour]]&gt;12,OFFSET(TblConstr[[#This Row],[Tem]],-12,0),0)+OFFSET(TblConstr[[#This Row],[Tot Tem]],-1,0)-TblConstr[[#This Row],[Dest Tem]]</f>
        <v>47</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45430.291666666635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130</v>
      </c>
      <c r="DA17" s="97">
        <f t="shared" ca="1" si="4"/>
        <v>20</v>
      </c>
      <c r="DB17" s="45">
        <f t="shared" ca="1" si="5"/>
        <v>0</v>
      </c>
      <c r="DC17" s="97">
        <f t="shared" ca="1" si="6"/>
        <v>30</v>
      </c>
      <c r="DD17" s="97">
        <f t="shared" ca="1" si="7"/>
        <v>65</v>
      </c>
      <c r="DE17" s="45">
        <f t="shared" ca="1" si="8"/>
        <v>0</v>
      </c>
      <c r="DF17" s="97">
        <f t="shared" ca="1" si="9"/>
        <v>5</v>
      </c>
      <c r="DG17" s="97" cm="1">
        <f t="array" aca="1" ref="DG17" ca="1">INDEX(TblConstr[[Total Plain]:[Total Water]],ROW()-ROW(TblConstr[#Headers]),MATCH("Total "&amp;home_land,TblConstr[[#Headers],[Total Plain]:[Total Water]],0))+TblConstr[[#This Row],[Homes]]</f>
        <v>0</v>
      </c>
      <c r="DH17" s="45">
        <f t="shared" ref="DH17:DH75" ca="1" si="10">SUM(O6:O17)+AY17</f>
        <v>0</v>
      </c>
      <c r="DI17" s="45">
        <f t="shared" ca="1" si="0"/>
        <v>0</v>
      </c>
      <c r="DJ17" s="45">
        <f t="shared" ca="1" si="1"/>
        <v>0</v>
      </c>
    </row>
    <row r="18" spans="1:114" x14ac:dyDescent="0.2">
      <c r="A18" s="178">
        <f>TblRezone[[#This Row],[Hour]]</f>
        <v>15</v>
      </c>
      <c r="B18" s="179">
        <f ca="1">SUM(TblConstr[[#This Row],[Plain]:[Water]])</f>
        <v>0</v>
      </c>
      <c r="C18" s="180">
        <f ca="1">SUM(TblConstr[[#This Row],[Tot Hom]:[Tot Doc]])</f>
        <v>185</v>
      </c>
      <c r="D18" s="180">
        <f t="shared" si="2"/>
        <v>65</v>
      </c>
      <c r="E18" s="181"/>
      <c r="F18" s="62">
        <f ca="1">TblConstr[[#This Row],[Barren]]+TblConstr[[#This Row],[Buildings]]+TblConstr[[#This Row],[Incoming]]</f>
        <v>250</v>
      </c>
      <c r="G18" s="190">
        <f ca="1">OFFSET(TblConstr[[#This Row],[Plain]],-1,0)+TblConstr[[#This Row],[Ch_Plain]]</f>
        <v>0</v>
      </c>
      <c r="H18" s="185">
        <f ca="1">OFFSET(TblConstr[[#This Row],[Forest]],-1,0)+TblConstr[[#This Row],[Ch_Forest]]</f>
        <v>0</v>
      </c>
      <c r="I18" s="385">
        <f ca="1">OFFSET(TblConstr[[#This Row],[Mountain]],-1,0)+TblConstr[[#This Row],[Ch_Mountain]]</f>
        <v>0</v>
      </c>
      <c r="J18" s="389">
        <f ca="1">OFFSET(TblConstr[[#This Row],[Hill]],-1,0)+TblConstr[[#This Row],[Ch_Hill]]</f>
        <v>0</v>
      </c>
      <c r="K18" s="393">
        <f ca="1">OFFSET(TblConstr[[#This Row],[Swamp]],-1,0)+TblConstr[[#This Row],[Ch_Swamp]]</f>
        <v>0</v>
      </c>
      <c r="L18" s="188">
        <f ca="1">OFFSET(TblConstr[[#This Row],[Cavern]],-1,0)+TblConstr[[#This Row],[Ch_Cavern]]</f>
        <v>0</v>
      </c>
      <c r="M18" s="189">
        <f ca="1">OFFSET(TblConstr[[#This Row],[Water]],-1,0)+TblConstr[[#This Row],[Ch_Water]]</f>
        <v>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45430.333333333299</v>
      </c>
      <c r="AI18" s="183">
        <f ca="1">MIN(25%,(TblConstr[[#This Row],[Tot Fac]]+TblConstr[[#This Row],[Dest Fac]])/(TblConstr[[#This Row],[Land]]-TblExplore[[#This Row],[Land Bonus]]*20))</f>
        <v>0.112</v>
      </c>
      <c r="AJ18" s="183">
        <f ca="1">MIN(25%,(TblConstr[[#This Row],[Tot Fac]]+TblConstr[[#This Row],[Dest Fac]])/TblConstr[[#This Row],[Land]])</f>
        <v>0.112</v>
      </c>
      <c r="AK18" s="97">
        <f ca="1">TblProd[[#This Row],[Platinum]]</f>
        <v>43350</v>
      </c>
      <c r="AL18" s="97">
        <f ca="1">TblProd[[#This Row],[Lumber]]</f>
        <v>1798</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97">
        <f ca="1">ROUNDDOWN( MAX(1 - MIN(facs_constr_factor*TblConstr[[#This Row],[Facs -DB]],facs_constr_max) + tech_1_11*TblTech[[#This Row],[11-1]] + tech_6_3_2*TblTech[[#This Row],[6-3]] + tech_5_2_3*TblTech[[#This Row],[5-2]], 1-global_constr_cap) * TblConstr[[#This Row],[RCPA Lumber]],0)</f>
        <v>44</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97">
        <f ca="1">ROUNDDOWN( MAX(1 - MIN(facs_constr_factor*TblConstr[[#This Row],[Facs DB]],facs_constr_max) + tech_1_11*TblTech[[#This Row],[1-11]] + tech_6_3_2*TblTech[[#This Row],[6-3]] + tech_5_2_3*TblTech[[#This Row],[5-2]], 1-global_constr_cap) * ROUND((TblConstr[[#This Row],[Land]]-250)*0.285 + 87.5 + 0/4.25,0),0)</f>
        <v>44</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0</v>
      </c>
      <c r="AZ18" s="192" cm="1">
        <f t="array" aca="1" ref="AZ18" ca="1">IF(TblConstr[[#This Row],[Hour]:[Hour]]&gt;12,OFFSET(TblConstr[[#This Row],[Alc]],-12,0),0)+OFFSET(TblConstr[[#This Row],[Tot Alc]],-1,0)-TblConstr[[#This Row],[Dest Alc]]</f>
        <v>70</v>
      </c>
      <c r="BA18" s="192" cm="1">
        <f t="array" aca="1" ref="BA18" ca="1">IF(TblConstr[[#This Row],[Hour]:[Hour]]&gt;12,OFFSET(TblConstr[[#This Row],[Far]],-12,0),0)+OFFSET(TblConstr[[#This Row],[Tot Farm]],-1,0)-TblConstr[[#This Row],[Dest Farm]]</f>
        <v>5</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28</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15</v>
      </c>
      <c r="BM18" s="395" cm="1">
        <f t="array" aca="1" ref="BM18" ca="1">IF(TblConstr[[#This Row],[Hour]:[Hour]]&gt;12,OFFSET(TblConstr[[#This Row],[Tem]],-12,0),0)+OFFSET(TblConstr[[#This Row],[Tot Tem]],-1,0)-TblConstr[[#This Row],[Dest Tem]]</f>
        <v>47</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45430.333333333299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130</v>
      </c>
      <c r="DA18" s="97">
        <f t="shared" ca="1" si="4"/>
        <v>20</v>
      </c>
      <c r="DB18" s="45">
        <f t="shared" ca="1" si="5"/>
        <v>0</v>
      </c>
      <c r="DC18" s="97">
        <f t="shared" ca="1" si="6"/>
        <v>30</v>
      </c>
      <c r="DD18" s="97">
        <f t="shared" ca="1" si="7"/>
        <v>65</v>
      </c>
      <c r="DE18" s="45">
        <f t="shared" ca="1" si="8"/>
        <v>0</v>
      </c>
      <c r="DF18" s="97">
        <f t="shared" ca="1" si="9"/>
        <v>5</v>
      </c>
      <c r="DG18" s="97" cm="1">
        <f t="array" aca="1" ref="DG18" ca="1">INDEX(TblConstr[[Total Plain]:[Total Water]],ROW()-ROW(TblConstr[#Headers]),MATCH("Total "&amp;home_land,TblConstr[[#Headers],[Total Plain]:[Total Water]],0))+TblConstr[[#This Row],[Homes]]</f>
        <v>0</v>
      </c>
      <c r="DH18" s="45">
        <f t="shared" ca="1" si="10"/>
        <v>0</v>
      </c>
      <c r="DI18" s="45">
        <f t="shared" ca="1" si="0"/>
        <v>0</v>
      </c>
      <c r="DJ18" s="45">
        <f t="shared" ca="1" si="1"/>
        <v>0</v>
      </c>
    </row>
    <row r="19" spans="1:114" x14ac:dyDescent="0.2">
      <c r="A19" s="178">
        <f>TblRezone[[#This Row],[Hour]]</f>
        <v>16</v>
      </c>
      <c r="B19" s="179">
        <f ca="1">SUM(TblConstr[[#This Row],[Plain]:[Water]])</f>
        <v>0</v>
      </c>
      <c r="C19" s="180">
        <f ca="1">SUM(TblConstr[[#This Row],[Tot Hom]:[Tot Doc]])</f>
        <v>185</v>
      </c>
      <c r="D19" s="180">
        <f t="shared" si="2"/>
        <v>65</v>
      </c>
      <c r="E19" s="181"/>
      <c r="F19" s="62">
        <f ca="1">TblConstr[[#This Row],[Barren]]+TblConstr[[#This Row],[Buildings]]+TblConstr[[#This Row],[Incoming]]</f>
        <v>250</v>
      </c>
      <c r="G19" s="190">
        <f ca="1">OFFSET(TblConstr[[#This Row],[Plain]],-1,0)+TblConstr[[#This Row],[Ch_Plain]]</f>
        <v>0</v>
      </c>
      <c r="H19" s="185">
        <f ca="1">OFFSET(TblConstr[[#This Row],[Forest]],-1,0)+TblConstr[[#This Row],[Ch_Forest]]</f>
        <v>0</v>
      </c>
      <c r="I19" s="385">
        <f ca="1">OFFSET(TblConstr[[#This Row],[Mountain]],-1,0)+TblConstr[[#This Row],[Ch_Mountain]]</f>
        <v>0</v>
      </c>
      <c r="J19" s="389">
        <f ca="1">OFFSET(TblConstr[[#This Row],[Hill]],-1,0)+TblConstr[[#This Row],[Ch_Hill]]</f>
        <v>0</v>
      </c>
      <c r="K19" s="393">
        <f ca="1">OFFSET(TblConstr[[#This Row],[Swamp]],-1,0)+TblConstr[[#This Row],[Ch_Swamp]]</f>
        <v>0</v>
      </c>
      <c r="L19" s="188">
        <f ca="1">OFFSET(TblConstr[[#This Row],[Cavern]],-1,0)+TblConstr[[#This Row],[Ch_Cavern]]</f>
        <v>0</v>
      </c>
      <c r="M19" s="189">
        <f ca="1">OFFSET(TblConstr[[#This Row],[Water]],-1,0)+TblConstr[[#This Row],[Ch_Water]]</f>
        <v>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45430.374999999964</v>
      </c>
      <c r="AI19" s="183">
        <f ca="1">MIN(25%,(TblConstr[[#This Row],[Tot Fac]]+TblConstr[[#This Row],[Dest Fac]])/(TblConstr[[#This Row],[Land]]-TblExplore[[#This Row],[Land Bonus]]*20))</f>
        <v>0.112</v>
      </c>
      <c r="AJ19" s="183">
        <f ca="1">MIN(25%,(TblConstr[[#This Row],[Tot Fac]]+TblConstr[[#This Row],[Dest Fac]])/TblConstr[[#This Row],[Land]])</f>
        <v>0.112</v>
      </c>
      <c r="AK19" s="97">
        <f ca="1">TblProd[[#This Row],[Platinum]]</f>
        <v>51651</v>
      </c>
      <c r="AL19" s="97">
        <f ca="1">TblProd[[#This Row],[Lumber]]</f>
        <v>2680</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97">
        <f ca="1">ROUNDDOWN( MAX(1 - MIN(facs_constr_factor*TblConstr[[#This Row],[Facs -DB]],facs_constr_max) + tech_1_11*TblTech[[#This Row],[11-1]] + tech_6_3_2*TblTech[[#This Row],[6-3]] + tech_5_2_3*TblTech[[#This Row],[5-2]], 1-global_constr_cap) * TblConstr[[#This Row],[RCPA Lumber]],0)</f>
        <v>44</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97">
        <f ca="1">ROUNDDOWN( MAX(1 - MIN(facs_constr_factor*TblConstr[[#This Row],[Facs DB]],facs_constr_max) + tech_1_11*TblTech[[#This Row],[1-11]] + tech_6_3_2*TblTech[[#This Row],[6-3]] + tech_5_2_3*TblTech[[#This Row],[5-2]], 1-global_constr_cap) * ROUND((TblConstr[[#This Row],[Land]]-250)*0.285 + 87.5 + 0/4.25,0),0)</f>
        <v>44</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0</v>
      </c>
      <c r="AZ19" s="192" cm="1">
        <f t="array" aca="1" ref="AZ19" ca="1">IF(TblConstr[[#This Row],[Hour]:[Hour]]&gt;12,OFFSET(TblConstr[[#This Row],[Alc]],-12,0),0)+OFFSET(TblConstr[[#This Row],[Tot Alc]],-1,0)-TblConstr[[#This Row],[Dest Alc]]</f>
        <v>70</v>
      </c>
      <c r="BA19" s="192" cm="1">
        <f t="array" aca="1" ref="BA19" ca="1">IF(TblConstr[[#This Row],[Hour]:[Hour]]&gt;12,OFFSET(TblConstr[[#This Row],[Far]],-12,0),0)+OFFSET(TblConstr[[#This Row],[Tot Farm]],-1,0)-TblConstr[[#This Row],[Dest Farm]]</f>
        <v>5</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28</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15</v>
      </c>
      <c r="BM19" s="395" cm="1">
        <f t="array" aca="1" ref="BM19" ca="1">IF(TblConstr[[#This Row],[Hour]:[Hour]]&gt;12,OFFSET(TblConstr[[#This Row],[Tem]],-12,0),0)+OFFSET(TblConstr[[#This Row],[Tot Tem]],-1,0)-TblConstr[[#This Row],[Dest Tem]]</f>
        <v>47</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45430.374999999964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130</v>
      </c>
      <c r="DA19" s="97">
        <f t="shared" ca="1" si="4"/>
        <v>20</v>
      </c>
      <c r="DB19" s="45">
        <f t="shared" ca="1" si="5"/>
        <v>0</v>
      </c>
      <c r="DC19" s="97">
        <f t="shared" ca="1" si="6"/>
        <v>30</v>
      </c>
      <c r="DD19" s="97">
        <f t="shared" ca="1" si="7"/>
        <v>65</v>
      </c>
      <c r="DE19" s="45">
        <f t="shared" ca="1" si="8"/>
        <v>0</v>
      </c>
      <c r="DF19" s="97">
        <f t="shared" ca="1" si="9"/>
        <v>5</v>
      </c>
      <c r="DG19" s="97" cm="1">
        <f t="array" aca="1" ref="DG19" ca="1">INDEX(TblConstr[[Total Plain]:[Total Water]],ROW()-ROW(TblConstr[#Headers]),MATCH("Total "&amp;home_land,TblConstr[[#Headers],[Total Plain]:[Total Water]],0))+TblConstr[[#This Row],[Homes]]</f>
        <v>0</v>
      </c>
      <c r="DH19" s="45">
        <f t="shared" ca="1" si="10"/>
        <v>0</v>
      </c>
      <c r="DI19" s="45">
        <f t="shared" ca="1" si="0"/>
        <v>0</v>
      </c>
      <c r="DJ19" s="45">
        <f t="shared" ca="1" si="1"/>
        <v>0</v>
      </c>
    </row>
    <row r="20" spans="1:114" x14ac:dyDescent="0.2">
      <c r="A20" s="178">
        <f>TblRezone[[#This Row],[Hour]]</f>
        <v>17</v>
      </c>
      <c r="B20" s="179">
        <f ca="1">SUM(TblConstr[[#This Row],[Plain]:[Water]])</f>
        <v>0</v>
      </c>
      <c r="C20" s="180">
        <f ca="1">SUM(TblConstr[[#This Row],[Tot Hom]:[Tot Doc]])</f>
        <v>185</v>
      </c>
      <c r="D20" s="180">
        <f t="shared" si="2"/>
        <v>65</v>
      </c>
      <c r="E20" s="181"/>
      <c r="F20" s="62">
        <f ca="1">TblConstr[[#This Row],[Barren]]+TblConstr[[#This Row],[Buildings]]+TblConstr[[#This Row],[Incoming]]</f>
        <v>250</v>
      </c>
      <c r="G20" s="190">
        <f ca="1">OFFSET(TblConstr[[#This Row],[Plain]],-1,0)+TblConstr[[#This Row],[Ch_Plain]]</f>
        <v>0</v>
      </c>
      <c r="H20" s="185">
        <f ca="1">OFFSET(TblConstr[[#This Row],[Forest]],-1,0)+TblConstr[[#This Row],[Ch_Forest]]</f>
        <v>0</v>
      </c>
      <c r="I20" s="385">
        <f ca="1">OFFSET(TblConstr[[#This Row],[Mountain]],-1,0)+TblConstr[[#This Row],[Ch_Mountain]]</f>
        <v>0</v>
      </c>
      <c r="J20" s="389">
        <f ca="1">OFFSET(TblConstr[[#This Row],[Hill]],-1,0)+TblConstr[[#This Row],[Ch_Hill]]</f>
        <v>0</v>
      </c>
      <c r="K20" s="393">
        <f ca="1">OFFSET(TblConstr[[#This Row],[Swamp]],-1,0)+TblConstr[[#This Row],[Ch_Swamp]]</f>
        <v>0</v>
      </c>
      <c r="L20" s="188">
        <f ca="1">OFFSET(TblConstr[[#This Row],[Cavern]],-1,0)+TblConstr[[#This Row],[Ch_Cavern]]</f>
        <v>0</v>
      </c>
      <c r="M20" s="189">
        <f ca="1">OFFSET(TblConstr[[#This Row],[Water]],-1,0)+TblConstr[[#This Row],[Ch_Water]]</f>
        <v>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45430.416666666628</v>
      </c>
      <c r="AI20" s="183">
        <f ca="1">MIN(25%,(TblConstr[[#This Row],[Tot Fac]]+TblConstr[[#This Row],[Dest Fac]])/(TblConstr[[#This Row],[Land]]-TblExplore[[#This Row],[Land Bonus]]*20))</f>
        <v>0.112</v>
      </c>
      <c r="AJ20" s="183">
        <f ca="1">MIN(25%,(TblConstr[[#This Row],[Tot Fac]]+TblConstr[[#This Row],[Dest Fac]])/TblConstr[[#This Row],[Land]])</f>
        <v>0.112</v>
      </c>
      <c r="AK20" s="97">
        <f ca="1">TblProd[[#This Row],[Platinum]]</f>
        <v>61168</v>
      </c>
      <c r="AL20" s="97">
        <f ca="1">TblProd[[#This Row],[Lumber]]</f>
        <v>3553</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97">
        <f ca="1">ROUNDDOWN( MAX(1 - MIN(facs_constr_factor*TblConstr[[#This Row],[Facs -DB]],facs_constr_max) + tech_1_11*TblTech[[#This Row],[11-1]] + tech_6_3_2*TblTech[[#This Row],[6-3]] + tech_5_2_3*TblTech[[#This Row],[5-2]], 1-global_constr_cap) * TblConstr[[#This Row],[RCPA Lumber]],0)</f>
        <v>44</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97">
        <f ca="1">ROUNDDOWN( MAX(1 - MIN(facs_constr_factor*TblConstr[[#This Row],[Facs DB]],facs_constr_max) + tech_1_11*TblTech[[#This Row],[1-11]] + tech_6_3_2*TblTech[[#This Row],[6-3]] + tech_5_2_3*TblTech[[#This Row],[5-2]], 1-global_constr_cap) * ROUND((TblConstr[[#This Row],[Land]]-250)*0.285 + 87.5 + 0/4.25,0),0)</f>
        <v>44</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0</v>
      </c>
      <c r="AZ20" s="192" cm="1">
        <f t="array" aca="1" ref="AZ20" ca="1">IF(TblConstr[[#This Row],[Hour]:[Hour]]&gt;12,OFFSET(TblConstr[[#This Row],[Alc]],-12,0),0)+OFFSET(TblConstr[[#This Row],[Tot Alc]],-1,0)-TblConstr[[#This Row],[Dest Alc]]</f>
        <v>70</v>
      </c>
      <c r="BA20" s="192" cm="1">
        <f t="array" aca="1" ref="BA20" ca="1">IF(TblConstr[[#This Row],[Hour]:[Hour]]&gt;12,OFFSET(TblConstr[[#This Row],[Far]],-12,0),0)+OFFSET(TblConstr[[#This Row],[Tot Farm]],-1,0)-TblConstr[[#This Row],[Dest Farm]]</f>
        <v>5</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28</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15</v>
      </c>
      <c r="BM20" s="395" cm="1">
        <f t="array" aca="1" ref="BM20" ca="1">IF(TblConstr[[#This Row],[Hour]:[Hour]]&gt;12,OFFSET(TblConstr[[#This Row],[Tem]],-12,0),0)+OFFSET(TblConstr[[#This Row],[Tot Tem]],-1,0)-TblConstr[[#This Row],[Dest Tem]]</f>
        <v>47</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45430.416666666628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130</v>
      </c>
      <c r="DA20" s="97">
        <f t="shared" ca="1" si="4"/>
        <v>20</v>
      </c>
      <c r="DB20" s="45">
        <f t="shared" ca="1" si="5"/>
        <v>0</v>
      </c>
      <c r="DC20" s="97">
        <f t="shared" ca="1" si="6"/>
        <v>30</v>
      </c>
      <c r="DD20" s="97">
        <f t="shared" ca="1" si="7"/>
        <v>65</v>
      </c>
      <c r="DE20" s="45">
        <f t="shared" ca="1" si="8"/>
        <v>0</v>
      </c>
      <c r="DF20" s="97">
        <f t="shared" ca="1" si="9"/>
        <v>5</v>
      </c>
      <c r="DG20" s="97" cm="1">
        <f t="array" aca="1" ref="DG20" ca="1">INDEX(TblConstr[[Total Plain]:[Total Water]],ROW()-ROW(TblConstr[#Headers]),MATCH("Total "&amp;home_land,TblConstr[[#Headers],[Total Plain]:[Total Water]],0))+TblConstr[[#This Row],[Homes]]</f>
        <v>0</v>
      </c>
      <c r="DH20" s="45">
        <f t="shared" ca="1" si="10"/>
        <v>0</v>
      </c>
      <c r="DI20" s="45">
        <f t="shared" ca="1" si="0"/>
        <v>0</v>
      </c>
      <c r="DJ20" s="45">
        <f t="shared" ca="1" si="1"/>
        <v>0</v>
      </c>
    </row>
    <row r="21" spans="1:114" x14ac:dyDescent="0.2">
      <c r="A21" s="178">
        <f>TblRezone[[#This Row],[Hour]]</f>
        <v>18</v>
      </c>
      <c r="B21" s="179">
        <f ca="1">SUM(TblConstr[[#This Row],[Plain]:[Water]])</f>
        <v>0</v>
      </c>
      <c r="C21" s="180">
        <f ca="1">SUM(TblConstr[[#This Row],[Tot Hom]:[Tot Doc]])</f>
        <v>185</v>
      </c>
      <c r="D21" s="180">
        <f t="shared" si="2"/>
        <v>89</v>
      </c>
      <c r="E21" s="181"/>
      <c r="F21" s="62">
        <f ca="1">TblConstr[[#This Row],[Barren]]+TblConstr[[#This Row],[Buildings]]+TblConstr[[#This Row],[Incoming]]</f>
        <v>274</v>
      </c>
      <c r="G21" s="190">
        <f ca="1">OFFSET(TblConstr[[#This Row],[Plain]],-1,0)+TblConstr[[#This Row],[Ch_Plain]]</f>
        <v>0</v>
      </c>
      <c r="H21" s="185">
        <f ca="1">OFFSET(TblConstr[[#This Row],[Forest]],-1,0)+TblConstr[[#This Row],[Ch_Forest]]</f>
        <v>0</v>
      </c>
      <c r="I21" s="385">
        <f ca="1">OFFSET(TblConstr[[#This Row],[Mountain]],-1,0)+TblConstr[[#This Row],[Ch_Mountain]]</f>
        <v>0</v>
      </c>
      <c r="J21" s="389">
        <f ca="1">OFFSET(TblConstr[[#This Row],[Hill]],-1,0)+TblConstr[[#This Row],[Ch_Hill]]</f>
        <v>0</v>
      </c>
      <c r="K21" s="393">
        <f ca="1">OFFSET(TblConstr[[#This Row],[Swamp]],-1,0)+TblConstr[[#This Row],[Ch_Swamp]]</f>
        <v>0</v>
      </c>
      <c r="L21" s="188">
        <f ca="1">OFFSET(TblConstr[[#This Row],[Cavern]],-1,0)+TblConstr[[#This Row],[Ch_Cavern]]</f>
        <v>0</v>
      </c>
      <c r="M21" s="189">
        <f ca="1">OFFSET(TblConstr[[#This Row],[Water]],-1,0)+TblConstr[[#This Row],[Ch_Water]]</f>
        <v>0</v>
      </c>
      <c r="N21" s="383">
        <f>TblRezone[[#This Row],[Hour]]</f>
        <v>18</v>
      </c>
      <c r="O21" s="182"/>
      <c r="P21" s="182">
        <v>12</v>
      </c>
      <c r="Q21" s="182">
        <v>1</v>
      </c>
      <c r="R21" s="182"/>
      <c r="S21" s="182"/>
      <c r="T21" s="182">
        <v>3</v>
      </c>
      <c r="U21" s="182"/>
      <c r="V21" s="182"/>
      <c r="W21" s="182"/>
      <c r="X21" s="182">
        <v>8</v>
      </c>
      <c r="Y21" s="182"/>
      <c r="Z21" s="182"/>
      <c r="AA21" s="182"/>
      <c r="AB21" s="182"/>
      <c r="AC21" s="182"/>
      <c r="AD21" s="182"/>
      <c r="AE21" s="182"/>
      <c r="AF21" s="182"/>
      <c r="AG21" s="182"/>
      <c r="AH21" s="53">
        <f ca="1">TblImps[[#This Row],[Time]]</f>
        <v>45430.458333333292</v>
      </c>
      <c r="AI21" s="183">
        <f ca="1">MIN(25%,(TblConstr[[#This Row],[Tot Fac]]+TblConstr[[#This Row],[Dest Fac]])/(TblConstr[[#This Row],[Land]]-TblExplore[[#This Row],[Land Bonus]]*20))</f>
        <v>0.10218978102189781</v>
      </c>
      <c r="AJ21" s="183">
        <f ca="1">MIN(25%,(TblConstr[[#This Row],[Tot Fac]]+TblConstr[[#This Row],[Dest Fac]])/TblConstr[[#This Row],[Land]])</f>
        <v>0.10218978102189781</v>
      </c>
      <c r="AK21" s="97">
        <f ca="1">TblProd[[#This Row],[Platinum]]</f>
        <v>980</v>
      </c>
      <c r="AL21" s="97">
        <f ca="1">TblProd[[#This Row],[Lumber]]</f>
        <v>3289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97">
        <f ca="1">ROUNDDOWN( MAX(1 - MIN(facs_constr_factor*TblConstr[[#This Row],[Facs -DB]],facs_constr_max) + tech_1_11*TblTech[[#This Row],[11-1]] + tech_6_3_2*TblTech[[#This Row],[6-3]] + tech_5_2_3*TblTech[[#This Row],[5-2]], 1-global_constr_cap) * TblConstr[[#This Row],[RCPA Lumber]],0)</f>
        <v>47</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97">
        <f ca="1">ROUNDDOWN( MAX(1 - MIN(facs_constr_factor*TblConstr[[#This Row],[Facs DB]],facs_constr_max) + tech_1_11*TblTech[[#This Row],[1-11]] + tech_6_3_2*TblTech[[#This Row],[6-3]] + tech_5_2_3*TblTech[[#This Row],[5-2]], 1-global_constr_cap) * ROUND((TblConstr[[#This Row],[Land]]-250)*0.285 + 87.5 + 0/4.25,0),0)</f>
        <v>47</v>
      </c>
      <c r="AQ21" s="45">
        <f ca="1">TblConstr[[#This Row],[build -db]]*TblConstr[[#This Row],[CPA Platinum -DB]] + TblConstr[[#This Row],[build db]]*TblConstr[[#This Row],[CPA Platinum DB]]</f>
        <v>8448</v>
      </c>
      <c r="AR21" s="45">
        <f ca="1">TblConstr[[#This Row],[build -db]]*TblConstr[[#This Row],[CPA Lumber -DB]]+TblConstr[[#This Row],[build db]]*TblConstr[[#This Row],[CPA Lumber DB]]</f>
        <v>1128</v>
      </c>
      <c r="AS21" s="97">
        <f ca="1">MIN(SUM(OFFSET(TblConstr[[#This Row],[Plain]:[Water]],-1,0))+SUM(TblConstr[[#This Row],[Dest Hom]:[Dest Doc]])+IF(TblConstr[[#This Row],[Hour]]&gt;12,SUM(OFFSET(TblExplore[[#This Row],[Plains Explore]:[Water Explore]],-12,0)),0),SUM(TblConstr[[#This Row],[Hom]:[Doc]]))</f>
        <v>24</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880</v>
      </c>
      <c r="AW21" s="97">
        <f ca="1">ROUND((TblConstr[[#This Row],[Land]]-250 - IF(TblExplore[[#This Row],[Land Bonus]]&lt;&gt;0,20,0))*0.285 + 87.5 + 0/4.25,0)</f>
        <v>94</v>
      </c>
      <c r="AX21" s="157"/>
      <c r="AY21" s="191" cm="1">
        <f t="array" aca="1" ref="AY21" ca="1">IF(TblConstr[[#This Row],[Hour]:[Hour]]&gt;12,OFFSET(TblConstr[[#This Row],[Hom]],-12,0),0)+OFFSET(TblConstr[[#This Row],[Tot Hom]],-1,0)-TblConstr[[#This Row],[Dest Hom]]</f>
        <v>0</v>
      </c>
      <c r="AZ21" s="192" cm="1">
        <f t="array" aca="1" ref="AZ21" ca="1">IF(TblConstr[[#This Row],[Hour]:[Hour]]&gt;12,OFFSET(TblConstr[[#This Row],[Alc]],-12,0),0)+OFFSET(TblConstr[[#This Row],[Tot Alc]],-1,0)-TblConstr[[#This Row],[Dest Alc]]</f>
        <v>70</v>
      </c>
      <c r="BA21" s="192" cm="1">
        <f t="array" aca="1" ref="BA21" ca="1">IF(TblConstr[[#This Row],[Hour]:[Hour]]&gt;12,OFFSET(TblConstr[[#This Row],[Far]],-12,0),0)+OFFSET(TblConstr[[#This Row],[Tot Farm]],-1,0)-TblConstr[[#This Row],[Dest Farm]]</f>
        <v>5</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28</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15</v>
      </c>
      <c r="BM21" s="395" cm="1">
        <f t="array" aca="1" ref="BM21" ca="1">IF(TblConstr[[#This Row],[Hour]:[Hour]]&gt;12,OFFSET(TblConstr[[#This Row],[Tem]],-12,0),0)+OFFSET(TblConstr[[#This Row],[Tot Tem]],-1,0)-TblConstr[[#This Row],[Dest Tem]]</f>
        <v>47</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274</v>
      </c>
      <c r="BU21" s="162">
        <f ca="1">TblImps[[#This Row],[Time]]</f>
        <v>45430.458333333292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143</v>
      </c>
      <c r="DA21" s="97">
        <f t="shared" ca="1" si="4"/>
        <v>23</v>
      </c>
      <c r="DB21" s="45">
        <f t="shared" ca="1" si="5"/>
        <v>0</v>
      </c>
      <c r="DC21" s="97">
        <f t="shared" ca="1" si="6"/>
        <v>38</v>
      </c>
      <c r="DD21" s="97">
        <f t="shared" ca="1" si="7"/>
        <v>65</v>
      </c>
      <c r="DE21" s="45">
        <f t="shared" ca="1" si="8"/>
        <v>0</v>
      </c>
      <c r="DF21" s="97">
        <f t="shared" ca="1" si="9"/>
        <v>5</v>
      </c>
      <c r="DG21" s="97" cm="1">
        <f t="array" aca="1" ref="DG21" ca="1">INDEX(TblConstr[[Total Plain]:[Total Water]],ROW()-ROW(TblConstr[#Headers]),MATCH("Total "&amp;home_land,TblConstr[[#Headers],[Total Plain]:[Total Water]],0))+TblConstr[[#This Row],[Homes]]</f>
        <v>0</v>
      </c>
      <c r="DH21" s="45">
        <f t="shared" ca="1" si="10"/>
        <v>0</v>
      </c>
      <c r="DI21" s="45">
        <f t="shared" ca="1" si="0"/>
        <v>0</v>
      </c>
      <c r="DJ21" s="45">
        <f t="shared" ca="1" si="1"/>
        <v>0</v>
      </c>
    </row>
    <row r="22" spans="1:114" x14ac:dyDescent="0.2">
      <c r="A22" s="178">
        <f>TblRezone[[#This Row],[Hour]]</f>
        <v>19</v>
      </c>
      <c r="B22" s="179">
        <f ca="1">SUM(TblConstr[[#This Row],[Plain]:[Water]])</f>
        <v>0</v>
      </c>
      <c r="C22" s="180">
        <f ca="1">SUM(TblConstr[[#This Row],[Tot Hom]:[Tot Doc]])</f>
        <v>185</v>
      </c>
      <c r="D22" s="180">
        <f t="shared" si="2"/>
        <v>90</v>
      </c>
      <c r="E22" s="181"/>
      <c r="F22" s="62">
        <f ca="1">TblConstr[[#This Row],[Barren]]+TblConstr[[#This Row],[Buildings]]+TblConstr[[#This Row],[Incoming]]</f>
        <v>275</v>
      </c>
      <c r="G22" s="190">
        <f ca="1">OFFSET(TblConstr[[#This Row],[Plain]],-1,0)+TblConstr[[#This Row],[Ch_Plain]]</f>
        <v>0</v>
      </c>
      <c r="H22" s="185">
        <f ca="1">OFFSET(TblConstr[[#This Row],[Forest]],-1,0)+TblConstr[[#This Row],[Ch_Forest]]</f>
        <v>0</v>
      </c>
      <c r="I22" s="385">
        <f ca="1">OFFSET(TblConstr[[#This Row],[Mountain]],-1,0)+TblConstr[[#This Row],[Ch_Mountain]]</f>
        <v>0</v>
      </c>
      <c r="J22" s="389">
        <f ca="1">OFFSET(TblConstr[[#This Row],[Hill]],-1,0)+TblConstr[[#This Row],[Ch_Hill]]</f>
        <v>0</v>
      </c>
      <c r="K22" s="393">
        <f ca="1">OFFSET(TblConstr[[#This Row],[Swamp]],-1,0)+TblConstr[[#This Row],[Ch_Swamp]]</f>
        <v>0</v>
      </c>
      <c r="L22" s="188">
        <f ca="1">OFFSET(TblConstr[[#This Row],[Cavern]],-1,0)+TblConstr[[#This Row],[Ch_Cavern]]</f>
        <v>0</v>
      </c>
      <c r="M22" s="189">
        <f ca="1">OFFSET(TblConstr[[#This Row],[Water]],-1,0)+TblConstr[[#This Row],[Ch_Water]]</f>
        <v>0</v>
      </c>
      <c r="N22" s="383">
        <f>TblRezone[[#This Row],[Hour]]</f>
        <v>19</v>
      </c>
      <c r="O22" s="182"/>
      <c r="P22" s="182"/>
      <c r="Q22" s="182"/>
      <c r="R22" s="182"/>
      <c r="S22" s="182"/>
      <c r="T22" s="182"/>
      <c r="U22" s="182"/>
      <c r="V22" s="182"/>
      <c r="W22" s="182"/>
      <c r="X22" s="182">
        <v>1</v>
      </c>
      <c r="Y22" s="182"/>
      <c r="Z22" s="182"/>
      <c r="AA22" s="182"/>
      <c r="AB22" s="182"/>
      <c r="AC22" s="182"/>
      <c r="AD22" s="182"/>
      <c r="AE22" s="182"/>
      <c r="AF22" s="182"/>
      <c r="AG22" s="182"/>
      <c r="AH22" s="53">
        <f ca="1">TblImps[[#This Row],[Time]]</f>
        <v>45430.499999999956</v>
      </c>
      <c r="AI22" s="183">
        <f ca="1">MIN(25%,(TblConstr[[#This Row],[Tot Fac]]+TblConstr[[#This Row],[Dest Fac]])/(TblConstr[[#This Row],[Land]]-TblExplore[[#This Row],[Land Bonus]]*20))</f>
        <v>0.10181818181818182</v>
      </c>
      <c r="AJ22" s="183">
        <f ca="1">MIN(25%,(TblConstr[[#This Row],[Tot Fac]]+TblConstr[[#This Row],[Dest Fac]])/TblConstr[[#This Row],[Land]])</f>
        <v>0.10181818181818182</v>
      </c>
      <c r="AK22" s="97">
        <f ca="1">TblProd[[#This Row],[Platinum]]</f>
        <v>1245</v>
      </c>
      <c r="AL22" s="97">
        <f ca="1">TblProd[[#This Row],[Lumber]]</f>
        <v>4109</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97">
        <f ca="1">ROUNDDOWN( MAX(1 - MIN(facs_constr_factor*TblConstr[[#This Row],[Facs -DB]],facs_constr_max) + tech_1_11*TblTech[[#This Row],[11-1]] + tech_6_3_2*TblTech[[#This Row],[6-3]] + tech_5_2_3*TblTech[[#This Row],[5-2]], 1-global_constr_cap) * TblConstr[[#This Row],[RCPA Lumber]],0)</f>
        <v>47</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97">
        <f ca="1">ROUNDDOWN( MAX(1 - MIN(facs_constr_factor*TblConstr[[#This Row],[Facs DB]],facs_constr_max) + tech_1_11*TblTech[[#This Row],[1-11]] + tech_6_3_2*TblTech[[#This Row],[6-3]] + tech_5_2_3*TblTech[[#This Row],[5-2]], 1-global_constr_cap) * ROUND((TblConstr[[#This Row],[Land]]-250)*0.285 + 87.5 + 0/4.25,0),0)</f>
        <v>47</v>
      </c>
      <c r="AQ22" s="45">
        <f ca="1">TblConstr[[#This Row],[build -db]]*TblConstr[[#This Row],[CPA Platinum -DB]] + TblConstr[[#This Row],[build db]]*TblConstr[[#This Row],[CPA Platinum DB]]</f>
        <v>352</v>
      </c>
      <c r="AR22" s="45">
        <f ca="1">TblConstr[[#This Row],[build -db]]*TblConstr[[#This Row],[CPA Lumber -DB]]+TblConstr[[#This Row],[build db]]*TblConstr[[#This Row],[CPA Lumber DB]]</f>
        <v>47</v>
      </c>
      <c r="AS22" s="97">
        <f ca="1">MIN(SUM(OFFSET(TblConstr[[#This Row],[Plain]:[Water]],-1,0))+SUM(TblConstr[[#This Row],[Dest Hom]:[Dest Doc]])+IF(TblConstr[[#This Row],[Hour]]&gt;12,SUM(OFFSET(TblExplore[[#This Row],[Plains Explore]:[Water Explore]],-12,0)),0),SUM(TblConstr[[#This Row],[Hom]:[Doc]]))</f>
        <v>1</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881</v>
      </c>
      <c r="AW22" s="97">
        <f ca="1">ROUND((TblConstr[[#This Row],[Land]]-250 - IF(TblExplore[[#This Row],[Land Bonus]]&lt;&gt;0,20,0))*0.285 + 87.5 + 0/4.25,0)</f>
        <v>95</v>
      </c>
      <c r="AX22" s="157"/>
      <c r="AY22" s="191" cm="1">
        <f t="array" aca="1" ref="AY22" ca="1">IF(TblConstr[[#This Row],[Hour]:[Hour]]&gt;12,OFFSET(TblConstr[[#This Row],[Hom]],-12,0),0)+OFFSET(TblConstr[[#This Row],[Tot Hom]],-1,0)-TblConstr[[#This Row],[Dest Hom]]</f>
        <v>0</v>
      </c>
      <c r="AZ22" s="192" cm="1">
        <f t="array" aca="1" ref="AZ22" ca="1">IF(TblConstr[[#This Row],[Hour]:[Hour]]&gt;12,OFFSET(TblConstr[[#This Row],[Alc]],-12,0),0)+OFFSET(TblConstr[[#This Row],[Tot Alc]],-1,0)-TblConstr[[#This Row],[Dest Alc]]</f>
        <v>70</v>
      </c>
      <c r="BA22" s="192" cm="1">
        <f t="array" aca="1" ref="BA22" ca="1">IF(TblConstr[[#This Row],[Hour]:[Hour]]&gt;12,OFFSET(TblConstr[[#This Row],[Far]],-12,0),0)+OFFSET(TblConstr[[#This Row],[Tot Farm]],-1,0)-TblConstr[[#This Row],[Dest Farm]]</f>
        <v>5</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28</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15</v>
      </c>
      <c r="BM22" s="395" cm="1">
        <f t="array" aca="1" ref="BM22" ca="1">IF(TblConstr[[#This Row],[Hour]:[Hour]]&gt;12,OFFSET(TblConstr[[#This Row],[Tem]],-12,0),0)+OFFSET(TblConstr[[#This Row],[Tot Tem]],-1,0)-TblConstr[[#This Row],[Dest Tem]]</f>
        <v>47</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275</v>
      </c>
      <c r="BU22" s="162">
        <f ca="1">TblImps[[#This Row],[Time]]</f>
        <v>45430.499999999956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143</v>
      </c>
      <c r="DA22" s="97">
        <f t="shared" ca="1" si="4"/>
        <v>23</v>
      </c>
      <c r="DB22" s="45">
        <f t="shared" ca="1" si="5"/>
        <v>0</v>
      </c>
      <c r="DC22" s="97">
        <f t="shared" ca="1" si="6"/>
        <v>39</v>
      </c>
      <c r="DD22" s="97">
        <f t="shared" ca="1" si="7"/>
        <v>65</v>
      </c>
      <c r="DE22" s="45">
        <f t="shared" ca="1" si="8"/>
        <v>0</v>
      </c>
      <c r="DF22" s="97">
        <f t="shared" ca="1" si="9"/>
        <v>5</v>
      </c>
      <c r="DG22" s="97" cm="1">
        <f t="array" aca="1" ref="DG22" ca="1">INDEX(TblConstr[[Total Plain]:[Total Water]],ROW()-ROW(TblConstr[#Headers]),MATCH("Total "&amp;home_land,TblConstr[[#Headers],[Total Plain]:[Total Water]],0))+TblConstr[[#This Row],[Homes]]</f>
        <v>0</v>
      </c>
      <c r="DH22" s="45">
        <f t="shared" ca="1" si="10"/>
        <v>0</v>
      </c>
      <c r="DI22" s="45">
        <f t="shared" ca="1" si="0"/>
        <v>0</v>
      </c>
      <c r="DJ22" s="45">
        <f t="shared" ca="1" si="1"/>
        <v>0</v>
      </c>
    </row>
    <row r="23" spans="1:114" x14ac:dyDescent="0.2">
      <c r="A23" s="178">
        <f>TblRezone[[#This Row],[Hour]]</f>
        <v>20</v>
      </c>
      <c r="B23" s="179">
        <f ca="1">SUM(TblConstr[[#This Row],[Plain]:[Water]])</f>
        <v>0</v>
      </c>
      <c r="C23" s="180">
        <f ca="1">SUM(TblConstr[[#This Row],[Tot Hom]:[Tot Doc]])</f>
        <v>185</v>
      </c>
      <c r="D23" s="180">
        <f t="shared" si="2"/>
        <v>91</v>
      </c>
      <c r="E23" s="181"/>
      <c r="F23" s="62">
        <f ca="1">TblConstr[[#This Row],[Barren]]+TblConstr[[#This Row],[Buildings]]+TblConstr[[#This Row],[Incoming]]</f>
        <v>276</v>
      </c>
      <c r="G23" s="190">
        <f ca="1">OFFSET(TblConstr[[#This Row],[Plain]],-1,0)+TblConstr[[#This Row],[Ch_Plain]]</f>
        <v>0</v>
      </c>
      <c r="H23" s="185">
        <f ca="1">OFFSET(TblConstr[[#This Row],[Forest]],-1,0)+TblConstr[[#This Row],[Ch_Forest]]</f>
        <v>0</v>
      </c>
      <c r="I23" s="385">
        <f ca="1">OFFSET(TblConstr[[#This Row],[Mountain]],-1,0)+TblConstr[[#This Row],[Ch_Mountain]]</f>
        <v>0</v>
      </c>
      <c r="J23" s="389">
        <f ca="1">OFFSET(TblConstr[[#This Row],[Hill]],-1,0)+TblConstr[[#This Row],[Ch_Hill]]</f>
        <v>0</v>
      </c>
      <c r="K23" s="393">
        <f ca="1">OFFSET(TblConstr[[#This Row],[Swamp]],-1,0)+TblConstr[[#This Row],[Ch_Swamp]]</f>
        <v>0</v>
      </c>
      <c r="L23" s="188">
        <f ca="1">OFFSET(TblConstr[[#This Row],[Cavern]],-1,0)+TblConstr[[#This Row],[Ch_Cavern]]</f>
        <v>0</v>
      </c>
      <c r="M23" s="189">
        <f ca="1">OFFSET(TblConstr[[#This Row],[Water]],-1,0)+TblConstr[[#This Row],[Ch_Water]]</f>
        <v>0</v>
      </c>
      <c r="N23" s="383">
        <f>TblRezone[[#This Row],[Hour]]</f>
        <v>20</v>
      </c>
      <c r="O23" s="182"/>
      <c r="P23" s="182"/>
      <c r="Q23" s="182"/>
      <c r="R23" s="182"/>
      <c r="S23" s="182"/>
      <c r="T23" s="182"/>
      <c r="U23" s="182"/>
      <c r="V23" s="182"/>
      <c r="W23" s="182"/>
      <c r="X23" s="182">
        <v>1</v>
      </c>
      <c r="Y23" s="182"/>
      <c r="Z23" s="182"/>
      <c r="AA23" s="182"/>
      <c r="AB23" s="182"/>
      <c r="AC23" s="182"/>
      <c r="AD23" s="182"/>
      <c r="AE23" s="182"/>
      <c r="AF23" s="182"/>
      <c r="AG23" s="182"/>
      <c r="AH23" s="53">
        <f ca="1">TblImps[[#This Row],[Time]]</f>
        <v>45430.541666666621</v>
      </c>
      <c r="AI23" s="183">
        <f ca="1">MIN(25%,(TblConstr[[#This Row],[Tot Fac]]+TblConstr[[#This Row],[Dest Fac]])/(TblConstr[[#This Row],[Land]]-TblExplore[[#This Row],[Land Bonus]]*20))</f>
        <v>0.10144927536231885</v>
      </c>
      <c r="AJ23" s="183">
        <f ca="1">MIN(25%,(TblConstr[[#This Row],[Tot Fac]]+TblConstr[[#This Row],[Dest Fac]])/TblConstr[[#This Row],[Land]])</f>
        <v>0.10144927536231885</v>
      </c>
      <c r="AK23" s="97">
        <f ca="1">TblProd[[#This Row],[Platinum]]</f>
        <v>1024</v>
      </c>
      <c r="AL23" s="97">
        <f ca="1">TblProd[[#This Row],[Lumber]]</f>
        <v>4921</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97">
        <f ca="1">ROUNDDOWN( MAX(1 - MIN(facs_constr_factor*TblConstr[[#This Row],[Facs -DB]],facs_constr_max) + tech_1_11*TblTech[[#This Row],[11-1]] + tech_6_3_2*TblTech[[#This Row],[6-3]] + tech_5_2_3*TblTech[[#This Row],[5-2]], 1-global_constr_cap) * TblConstr[[#This Row],[RCPA Lumber]],0)</f>
        <v>47</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97">
        <f ca="1">ROUNDDOWN( MAX(1 - MIN(facs_constr_factor*TblConstr[[#This Row],[Facs DB]],facs_constr_max) + tech_1_11*TblTech[[#This Row],[1-11]] + tech_6_3_2*TblTech[[#This Row],[6-3]] + tech_5_2_3*TblTech[[#This Row],[5-2]], 1-global_constr_cap) * ROUND((TblConstr[[#This Row],[Land]]-250)*0.285 + 87.5 + 0/4.25,0),0)</f>
        <v>47</v>
      </c>
      <c r="AQ23" s="45">
        <f ca="1">TblConstr[[#This Row],[build -db]]*TblConstr[[#This Row],[CPA Platinum -DB]] + TblConstr[[#This Row],[build db]]*TblConstr[[#This Row],[CPA Platinum DB]]</f>
        <v>353</v>
      </c>
      <c r="AR23" s="45">
        <f ca="1">TblConstr[[#This Row],[build -db]]*TblConstr[[#This Row],[CPA Lumber -DB]]+TblConstr[[#This Row],[build db]]*TblConstr[[#This Row],[CPA Lumber DB]]</f>
        <v>47</v>
      </c>
      <c r="AS23" s="97">
        <f ca="1">MIN(SUM(OFFSET(TblConstr[[#This Row],[Plain]:[Water]],-1,0))+SUM(TblConstr[[#This Row],[Dest Hom]:[Dest Doc]])+IF(TblConstr[[#This Row],[Hour]]&gt;12,SUM(OFFSET(TblExplore[[#This Row],[Plains Explore]:[Water Explore]],-12,0)),0),SUM(TblConstr[[#This Row],[Hom]:[Doc]]))</f>
        <v>1</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883</v>
      </c>
      <c r="AW23" s="97">
        <f ca="1">ROUND((TblConstr[[#This Row],[Land]]-250 - IF(TblExplore[[#This Row],[Land Bonus]]&lt;&gt;0,20,0))*0.285 + 87.5 + 0/4.25,0)</f>
        <v>95</v>
      </c>
      <c r="AX23" s="157"/>
      <c r="AY23" s="191" cm="1">
        <f t="array" aca="1" ref="AY23" ca="1">IF(TblConstr[[#This Row],[Hour]:[Hour]]&gt;12,OFFSET(TblConstr[[#This Row],[Hom]],-12,0),0)+OFFSET(TblConstr[[#This Row],[Tot Hom]],-1,0)-TblConstr[[#This Row],[Dest Hom]]</f>
        <v>0</v>
      </c>
      <c r="AZ23" s="192" cm="1">
        <f t="array" aca="1" ref="AZ23" ca="1">IF(TblConstr[[#This Row],[Hour]:[Hour]]&gt;12,OFFSET(TblConstr[[#This Row],[Alc]],-12,0),0)+OFFSET(TblConstr[[#This Row],[Tot Alc]],-1,0)-TblConstr[[#This Row],[Dest Alc]]</f>
        <v>70</v>
      </c>
      <c r="BA23" s="192" cm="1">
        <f t="array" aca="1" ref="BA23" ca="1">IF(TblConstr[[#This Row],[Hour]:[Hour]]&gt;12,OFFSET(TblConstr[[#This Row],[Far]],-12,0),0)+OFFSET(TblConstr[[#This Row],[Tot Farm]],-1,0)-TblConstr[[#This Row],[Dest Farm]]</f>
        <v>5</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28</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15</v>
      </c>
      <c r="BM23" s="395" cm="1">
        <f t="array" aca="1" ref="BM23" ca="1">IF(TblConstr[[#This Row],[Hour]:[Hour]]&gt;12,OFFSET(TblConstr[[#This Row],[Tem]],-12,0),0)+OFFSET(TblConstr[[#This Row],[Tot Tem]],-1,0)-TblConstr[[#This Row],[Dest Tem]]</f>
        <v>47</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276</v>
      </c>
      <c r="BU23" s="162">
        <f ca="1">TblImps[[#This Row],[Time]]</f>
        <v>45430.541666666621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143</v>
      </c>
      <c r="DA23" s="97">
        <f t="shared" ca="1" si="4"/>
        <v>23</v>
      </c>
      <c r="DB23" s="45">
        <f t="shared" ca="1" si="5"/>
        <v>0</v>
      </c>
      <c r="DC23" s="97">
        <f t="shared" ca="1" si="6"/>
        <v>40</v>
      </c>
      <c r="DD23" s="97">
        <f t="shared" ca="1" si="7"/>
        <v>65</v>
      </c>
      <c r="DE23" s="45">
        <f t="shared" ca="1" si="8"/>
        <v>0</v>
      </c>
      <c r="DF23" s="97">
        <f t="shared" ca="1" si="9"/>
        <v>5</v>
      </c>
      <c r="DG23" s="97" cm="1">
        <f t="array" aca="1" ref="DG23" ca="1">INDEX(TblConstr[[Total Plain]:[Total Water]],ROW()-ROW(TblConstr[#Headers]),MATCH("Total "&amp;home_land,TblConstr[[#Headers],[Total Plain]:[Total Water]],0))+TblConstr[[#This Row],[Homes]]</f>
        <v>0</v>
      </c>
      <c r="DH23" s="45">
        <f t="shared" ca="1" si="10"/>
        <v>0</v>
      </c>
      <c r="DI23" s="45">
        <f t="shared" ca="1" si="0"/>
        <v>0</v>
      </c>
      <c r="DJ23" s="45">
        <f t="shared" ca="1" si="1"/>
        <v>0</v>
      </c>
    </row>
    <row r="24" spans="1:114" x14ac:dyDescent="0.2">
      <c r="A24" s="178">
        <f>TblRezone[[#This Row],[Hour]]</f>
        <v>21</v>
      </c>
      <c r="B24" s="179">
        <f ca="1">SUM(TblConstr[[#This Row],[Plain]:[Water]])</f>
        <v>0</v>
      </c>
      <c r="C24" s="180">
        <f ca="1">SUM(TblConstr[[#This Row],[Tot Hom]:[Tot Doc]])</f>
        <v>185</v>
      </c>
      <c r="D24" s="180">
        <f t="shared" si="2"/>
        <v>92</v>
      </c>
      <c r="E24" s="181"/>
      <c r="F24" s="62">
        <f ca="1">TblConstr[[#This Row],[Barren]]+TblConstr[[#This Row],[Buildings]]+TblConstr[[#This Row],[Incoming]]</f>
        <v>277</v>
      </c>
      <c r="G24" s="190">
        <f ca="1">OFFSET(TblConstr[[#This Row],[Plain]],-1,0)+TblConstr[[#This Row],[Ch_Plain]]</f>
        <v>0</v>
      </c>
      <c r="H24" s="185">
        <f ca="1">OFFSET(TblConstr[[#This Row],[Forest]],-1,0)+TblConstr[[#This Row],[Ch_Forest]]</f>
        <v>0</v>
      </c>
      <c r="I24" s="385">
        <f ca="1">OFFSET(TblConstr[[#This Row],[Mountain]],-1,0)+TblConstr[[#This Row],[Ch_Mountain]]</f>
        <v>0</v>
      </c>
      <c r="J24" s="389">
        <f ca="1">OFFSET(TblConstr[[#This Row],[Hill]],-1,0)+TblConstr[[#This Row],[Ch_Hill]]</f>
        <v>0</v>
      </c>
      <c r="K24" s="393">
        <f ca="1">OFFSET(TblConstr[[#This Row],[Swamp]],-1,0)+TblConstr[[#This Row],[Ch_Swamp]]</f>
        <v>0</v>
      </c>
      <c r="L24" s="188">
        <f ca="1">OFFSET(TblConstr[[#This Row],[Cavern]],-1,0)+TblConstr[[#This Row],[Ch_Cavern]]</f>
        <v>0</v>
      </c>
      <c r="M24" s="189">
        <f ca="1">OFFSET(TblConstr[[#This Row],[Water]],-1,0)+TblConstr[[#This Row],[Ch_Water]]</f>
        <v>0</v>
      </c>
      <c r="N24" s="383">
        <f>TblRezone[[#This Row],[Hour]]</f>
        <v>21</v>
      </c>
      <c r="O24" s="182"/>
      <c r="P24" s="182"/>
      <c r="Q24" s="182"/>
      <c r="R24" s="161"/>
      <c r="S24" s="182"/>
      <c r="T24" s="182"/>
      <c r="U24" s="182"/>
      <c r="V24" s="182"/>
      <c r="W24" s="182"/>
      <c r="X24" s="182">
        <v>1</v>
      </c>
      <c r="Y24" s="182"/>
      <c r="Z24" s="182"/>
      <c r="AA24" s="182"/>
      <c r="AB24" s="182"/>
      <c r="AC24" s="182"/>
      <c r="AD24" s="182"/>
      <c r="AE24" s="182"/>
      <c r="AF24" s="182"/>
      <c r="AG24" s="182"/>
      <c r="AH24" s="53">
        <f ca="1">TblImps[[#This Row],[Time]]</f>
        <v>45430.583333333285</v>
      </c>
      <c r="AI24" s="183">
        <f ca="1">MIN(25%,(TblConstr[[#This Row],[Tot Fac]]+TblConstr[[#This Row],[Dest Fac]])/(TblConstr[[#This Row],[Land]]-TblExplore[[#This Row],[Land Bonus]]*20))</f>
        <v>0.10108303249097472</v>
      </c>
      <c r="AJ24" s="183">
        <f ca="1">MIN(25%,(TblConstr[[#This Row],[Tot Fac]]+TblConstr[[#This Row],[Dest Fac]])/TblConstr[[#This Row],[Land]])</f>
        <v>0.10108303249097472</v>
      </c>
      <c r="AK24" s="97">
        <f ca="1">TblProd[[#This Row],[Platinum]]</f>
        <v>1231</v>
      </c>
      <c r="AL24" s="97">
        <f ca="1">TblProd[[#This Row],[Lumber]]</f>
        <v>5725</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97">
        <f ca="1">ROUNDDOWN( MAX(1 - MIN(facs_constr_factor*TblConstr[[#This Row],[Facs -DB]],facs_constr_max) + tech_1_11*TblTech[[#This Row],[11-1]] + tech_6_3_2*TblTech[[#This Row],[6-3]] + tech_5_2_3*TblTech[[#This Row],[5-2]], 1-global_constr_cap) * TblConstr[[#This Row],[RCPA Lumber]],0)</f>
        <v>47</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97">
        <f ca="1">ROUNDDOWN( MAX(1 - MIN(facs_constr_factor*TblConstr[[#This Row],[Facs DB]],facs_constr_max) + tech_1_11*TblTech[[#This Row],[1-11]] + tech_6_3_2*TblTech[[#This Row],[6-3]] + tech_5_2_3*TblTech[[#This Row],[5-2]], 1-global_constr_cap) * ROUND((TblConstr[[#This Row],[Land]]-250)*0.285 + 87.5 + 0/4.25,0),0)</f>
        <v>47</v>
      </c>
      <c r="AQ24" s="45">
        <f ca="1">TblConstr[[#This Row],[build -db]]*TblConstr[[#This Row],[CPA Platinum -DB]] + TblConstr[[#This Row],[build db]]*TblConstr[[#This Row],[CPA Platinum DB]]</f>
        <v>353</v>
      </c>
      <c r="AR24" s="45">
        <f ca="1">TblConstr[[#This Row],[build -db]]*TblConstr[[#This Row],[CPA Lumber -DB]]+TblConstr[[#This Row],[build db]]*TblConstr[[#This Row],[CPA Lumber DB]]</f>
        <v>47</v>
      </c>
      <c r="AS24" s="97">
        <f ca="1">MIN(SUM(OFFSET(TblConstr[[#This Row],[Plain]:[Water]],-1,0))+SUM(TblConstr[[#This Row],[Dest Hom]:[Dest Doc]])+IF(TblConstr[[#This Row],[Hour]]&gt;12,SUM(OFFSET(TblExplore[[#This Row],[Plains Explore]:[Water Explore]],-12,0)),0),SUM(TblConstr[[#This Row],[Hom]:[Doc]]))</f>
        <v>1</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884</v>
      </c>
      <c r="AW24" s="97">
        <f ca="1">ROUND((TblConstr[[#This Row],[Land]]-250 - IF(TblExplore[[#This Row],[Land Bonus]]&lt;&gt;0,20,0))*0.285 + 87.5 + 0/4.25,0)</f>
        <v>95</v>
      </c>
      <c r="AX24" s="157"/>
      <c r="AY24" s="191" cm="1">
        <f t="array" aca="1" ref="AY24" ca="1">IF(TblConstr[[#This Row],[Hour]:[Hour]]&gt;12,OFFSET(TblConstr[[#This Row],[Hom]],-12,0),0)+OFFSET(TblConstr[[#This Row],[Tot Hom]],-1,0)-TblConstr[[#This Row],[Dest Hom]]</f>
        <v>0</v>
      </c>
      <c r="AZ24" s="192" cm="1">
        <f t="array" aca="1" ref="AZ24" ca="1">IF(TblConstr[[#This Row],[Hour]:[Hour]]&gt;12,OFFSET(TblConstr[[#This Row],[Alc]],-12,0),0)+OFFSET(TblConstr[[#This Row],[Tot Alc]],-1,0)-TblConstr[[#This Row],[Dest Alc]]</f>
        <v>70</v>
      </c>
      <c r="BA24" s="192" cm="1">
        <f t="array" aca="1" ref="BA24" ca="1">IF(TblConstr[[#This Row],[Hour]:[Hour]]&gt;12,OFFSET(TblConstr[[#This Row],[Far]],-12,0),0)+OFFSET(TblConstr[[#This Row],[Tot Farm]],-1,0)-TblConstr[[#This Row],[Dest Farm]]</f>
        <v>5</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28</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15</v>
      </c>
      <c r="BM24" s="395" cm="1">
        <f t="array" aca="1" ref="BM24" ca="1">IF(TblConstr[[#This Row],[Hour]:[Hour]]&gt;12,OFFSET(TblConstr[[#This Row],[Tem]],-12,0),0)+OFFSET(TblConstr[[#This Row],[Tot Tem]],-1,0)-TblConstr[[#This Row],[Dest Tem]]</f>
        <v>47</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277</v>
      </c>
      <c r="BU24" s="162">
        <f ca="1">TblImps[[#This Row],[Time]]</f>
        <v>45430.583333333285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143</v>
      </c>
      <c r="DA24" s="97">
        <f t="shared" ca="1" si="4"/>
        <v>23</v>
      </c>
      <c r="DB24" s="45">
        <f t="shared" ca="1" si="5"/>
        <v>0</v>
      </c>
      <c r="DC24" s="97">
        <f t="shared" ca="1" si="6"/>
        <v>41</v>
      </c>
      <c r="DD24" s="97">
        <f t="shared" ca="1" si="7"/>
        <v>65</v>
      </c>
      <c r="DE24" s="45">
        <f t="shared" ca="1" si="8"/>
        <v>0</v>
      </c>
      <c r="DF24" s="97">
        <f t="shared" ca="1" si="9"/>
        <v>5</v>
      </c>
      <c r="DG24" s="97" cm="1">
        <f t="array" aca="1" ref="DG24" ca="1">INDEX(TblConstr[[Total Plain]:[Total Water]],ROW()-ROW(TblConstr[#Headers]),MATCH("Total "&amp;home_land,TblConstr[[#Headers],[Total Plain]:[Total Water]],0))+TblConstr[[#This Row],[Homes]]</f>
        <v>0</v>
      </c>
      <c r="DH24" s="45">
        <f t="shared" ca="1" si="10"/>
        <v>0</v>
      </c>
      <c r="DI24" s="45">
        <f t="shared" ca="1" si="0"/>
        <v>0</v>
      </c>
      <c r="DJ24" s="45">
        <f t="shared" ca="1" si="1"/>
        <v>0</v>
      </c>
    </row>
    <row r="25" spans="1:114" x14ac:dyDescent="0.2">
      <c r="A25" s="178">
        <f>TblRezone[[#This Row],[Hour]]</f>
        <v>22</v>
      </c>
      <c r="B25" s="179">
        <f ca="1">SUM(TblConstr[[#This Row],[Plain]:[Water]])</f>
        <v>0</v>
      </c>
      <c r="C25" s="180">
        <f ca="1">SUM(TblConstr[[#This Row],[Tot Hom]:[Tot Doc]])</f>
        <v>185</v>
      </c>
      <c r="D25" s="180">
        <f t="shared" si="2"/>
        <v>93</v>
      </c>
      <c r="E25" s="181"/>
      <c r="F25" s="62">
        <f ca="1">TblConstr[[#This Row],[Barren]]+TblConstr[[#This Row],[Buildings]]+TblConstr[[#This Row],[Incoming]]</f>
        <v>278</v>
      </c>
      <c r="G25" s="190">
        <f ca="1">OFFSET(TblConstr[[#This Row],[Plain]],-1,0)+TblConstr[[#This Row],[Ch_Plain]]</f>
        <v>0</v>
      </c>
      <c r="H25" s="185">
        <f ca="1">OFFSET(TblConstr[[#This Row],[Forest]],-1,0)+TblConstr[[#This Row],[Ch_Forest]]</f>
        <v>0</v>
      </c>
      <c r="I25" s="385">
        <f ca="1">OFFSET(TblConstr[[#This Row],[Mountain]],-1,0)+TblConstr[[#This Row],[Ch_Mountain]]</f>
        <v>0</v>
      </c>
      <c r="J25" s="389">
        <f ca="1">OFFSET(TblConstr[[#This Row],[Hill]],-1,0)+TblConstr[[#This Row],[Ch_Hill]]</f>
        <v>0</v>
      </c>
      <c r="K25" s="393">
        <f ca="1">OFFSET(TblConstr[[#This Row],[Swamp]],-1,0)+TblConstr[[#This Row],[Ch_Swamp]]</f>
        <v>0</v>
      </c>
      <c r="L25" s="188">
        <f ca="1">OFFSET(TblConstr[[#This Row],[Cavern]],-1,0)+TblConstr[[#This Row],[Ch_Cavern]]</f>
        <v>0</v>
      </c>
      <c r="M25" s="189">
        <f ca="1">OFFSET(TblConstr[[#This Row],[Water]],-1,0)+TblConstr[[#This Row],[Ch_Water]]</f>
        <v>0</v>
      </c>
      <c r="N25" s="383">
        <f>TblRezone[[#This Row],[Hour]]</f>
        <v>22</v>
      </c>
      <c r="O25" s="182"/>
      <c r="P25" s="182"/>
      <c r="Q25" s="182"/>
      <c r="R25" s="161"/>
      <c r="S25" s="182"/>
      <c r="T25" s="182"/>
      <c r="U25" s="182"/>
      <c r="V25" s="182"/>
      <c r="W25" s="182"/>
      <c r="X25" s="182">
        <v>1</v>
      </c>
      <c r="Y25" s="182"/>
      <c r="Z25" s="182"/>
      <c r="AA25" s="182"/>
      <c r="AB25" s="182"/>
      <c r="AC25" s="182"/>
      <c r="AD25" s="182"/>
      <c r="AE25" s="182"/>
      <c r="AF25" s="182"/>
      <c r="AG25" s="182"/>
      <c r="AH25" s="53">
        <f ca="1">TblImps[[#This Row],[Time]]</f>
        <v>45430.624999999949</v>
      </c>
      <c r="AI25" s="183">
        <f ca="1">MIN(25%,(TblConstr[[#This Row],[Tot Fac]]+TblConstr[[#This Row],[Dest Fac]])/(TblConstr[[#This Row],[Land]]-TblExplore[[#This Row],[Land Bonus]]*20))</f>
        <v>0.10071942446043165</v>
      </c>
      <c r="AJ25" s="183">
        <f ca="1">MIN(25%,(TblConstr[[#This Row],[Tot Fac]]+TblConstr[[#This Row],[Dest Fac]])/TblConstr[[#This Row],[Land]])</f>
        <v>0.10071942446043165</v>
      </c>
      <c r="AK25" s="97">
        <f ca="1">TblProd[[#This Row],[Platinum]]</f>
        <v>9969</v>
      </c>
      <c r="AL25" s="97">
        <f ca="1">TblProd[[#This Row],[Lumber]]</f>
        <v>6521</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97">
        <f ca="1">ROUNDDOWN( MAX(1 - MIN(facs_constr_factor*TblConstr[[#This Row],[Facs -DB]],facs_constr_max) + tech_1_11*TblTech[[#This Row],[11-1]] + tech_6_3_2*TblTech[[#This Row],[6-3]] + tech_5_2_3*TblTech[[#This Row],[5-2]], 1-global_constr_cap) * TblConstr[[#This Row],[RCPA Lumber]],0)</f>
        <v>47</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97">
        <f ca="1">ROUNDDOWN( MAX(1 - MIN(facs_constr_factor*TblConstr[[#This Row],[Facs DB]],facs_constr_max) + tech_1_11*TblTech[[#This Row],[1-11]] + tech_6_3_2*TblTech[[#This Row],[6-3]] + tech_5_2_3*TblTech[[#This Row],[5-2]], 1-global_constr_cap) * ROUND((TblConstr[[#This Row],[Land]]-250)*0.285 + 87.5 + 0/4.25,0),0)</f>
        <v>47</v>
      </c>
      <c r="AQ25" s="45">
        <f ca="1">TblConstr[[#This Row],[build -db]]*TblConstr[[#This Row],[CPA Platinum -DB]] + TblConstr[[#This Row],[build db]]*TblConstr[[#This Row],[CPA Platinum DB]]</f>
        <v>354</v>
      </c>
      <c r="AR25" s="45">
        <f ca="1">TblConstr[[#This Row],[build -db]]*TblConstr[[#This Row],[CPA Lumber -DB]]+TblConstr[[#This Row],[build db]]*TblConstr[[#This Row],[CPA Lumber DB]]</f>
        <v>47</v>
      </c>
      <c r="AS25" s="97">
        <f ca="1">MIN(SUM(OFFSET(TblConstr[[#This Row],[Plain]:[Water]],-1,0))+SUM(TblConstr[[#This Row],[Dest Hom]:[Dest Doc]])+IF(TblConstr[[#This Row],[Hour]]&gt;12,SUM(OFFSET(TblExplore[[#This Row],[Plains Explore]:[Water Explore]],-12,0)),0),SUM(TblConstr[[#This Row],[Hom]:[Doc]]))</f>
        <v>1</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885</v>
      </c>
      <c r="AW25" s="97">
        <f ca="1">ROUND((TblConstr[[#This Row],[Land]]-250 - IF(TblExplore[[#This Row],[Land Bonus]]&lt;&gt;0,20,0))*0.285 + 87.5 + 0/4.25,0)</f>
        <v>95</v>
      </c>
      <c r="AX25" s="157"/>
      <c r="AY25" s="191" cm="1">
        <f t="array" aca="1" ref="AY25" ca="1">IF(TblConstr[[#This Row],[Hour]:[Hour]]&gt;12,OFFSET(TblConstr[[#This Row],[Hom]],-12,0),0)+OFFSET(TblConstr[[#This Row],[Tot Hom]],-1,0)-TblConstr[[#This Row],[Dest Hom]]</f>
        <v>0</v>
      </c>
      <c r="AZ25" s="192" cm="1">
        <f t="array" aca="1" ref="AZ25" ca="1">IF(TblConstr[[#This Row],[Hour]:[Hour]]&gt;12,OFFSET(TblConstr[[#This Row],[Alc]],-12,0),0)+OFFSET(TblConstr[[#This Row],[Tot Alc]],-1,0)-TblConstr[[#This Row],[Dest Alc]]</f>
        <v>70</v>
      </c>
      <c r="BA25" s="192" cm="1">
        <f t="array" aca="1" ref="BA25" ca="1">IF(TblConstr[[#This Row],[Hour]:[Hour]]&gt;12,OFFSET(TblConstr[[#This Row],[Far]],-12,0),0)+OFFSET(TblConstr[[#This Row],[Tot Farm]],-1,0)-TblConstr[[#This Row],[Dest Farm]]</f>
        <v>5</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28</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15</v>
      </c>
      <c r="BM25" s="395" cm="1">
        <f t="array" aca="1" ref="BM25" ca="1">IF(TblConstr[[#This Row],[Hour]:[Hour]]&gt;12,OFFSET(TblConstr[[#This Row],[Tem]],-12,0),0)+OFFSET(TblConstr[[#This Row],[Tot Tem]],-1,0)-TblConstr[[#This Row],[Dest Tem]]</f>
        <v>47</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278</v>
      </c>
      <c r="BU25" s="162">
        <f ca="1">TblImps[[#This Row],[Time]]</f>
        <v>45430.624999999949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143</v>
      </c>
      <c r="DA25" s="97">
        <f t="shared" ca="1" si="4"/>
        <v>23</v>
      </c>
      <c r="DB25" s="45">
        <f t="shared" ca="1" si="5"/>
        <v>0</v>
      </c>
      <c r="DC25" s="97">
        <f t="shared" ca="1" si="6"/>
        <v>42</v>
      </c>
      <c r="DD25" s="97">
        <f t="shared" ca="1" si="7"/>
        <v>65</v>
      </c>
      <c r="DE25" s="45">
        <f t="shared" ca="1" si="8"/>
        <v>0</v>
      </c>
      <c r="DF25" s="97">
        <f t="shared" ca="1" si="9"/>
        <v>5</v>
      </c>
      <c r="DG25" s="97" cm="1">
        <f t="array" aca="1" ref="DG25" ca="1">INDEX(TblConstr[[Total Plain]:[Total Water]],ROW()-ROW(TblConstr[#Headers]),MATCH("Total "&amp;home_land,TblConstr[[#Headers],[Total Plain]:[Total Water]],0))+TblConstr[[#This Row],[Homes]]</f>
        <v>0</v>
      </c>
      <c r="DH25" s="45">
        <f t="shared" ca="1" si="10"/>
        <v>0</v>
      </c>
      <c r="DI25" s="45">
        <f t="shared" ca="1" si="0"/>
        <v>0</v>
      </c>
      <c r="DJ25" s="45">
        <f t="shared" ca="1" si="1"/>
        <v>0</v>
      </c>
    </row>
    <row r="26" spans="1:114" x14ac:dyDescent="0.2">
      <c r="A26" s="178">
        <f>TblRezone[[#This Row],[Hour]]</f>
        <v>23</v>
      </c>
      <c r="B26" s="179">
        <f ca="1">SUM(TblConstr[[#This Row],[Plain]:[Water]])</f>
        <v>0</v>
      </c>
      <c r="C26" s="180">
        <f ca="1">SUM(TblConstr[[#This Row],[Tot Hom]:[Tot Doc]])</f>
        <v>185</v>
      </c>
      <c r="D26" s="180">
        <f>SUM(O15:AG26)</f>
        <v>94</v>
      </c>
      <c r="E26" s="181"/>
      <c r="F26" s="62">
        <f ca="1">TblConstr[[#This Row],[Barren]]+TblConstr[[#This Row],[Buildings]]+TblConstr[[#This Row],[Incoming]]</f>
        <v>279</v>
      </c>
      <c r="G26" s="190">
        <f ca="1">OFFSET(TblConstr[[#This Row],[Plain]],-1,0)+TblConstr[[#This Row],[Ch_Plain]]</f>
        <v>0</v>
      </c>
      <c r="H26" s="185">
        <f ca="1">OFFSET(TblConstr[[#This Row],[Forest]],-1,0)+TblConstr[[#This Row],[Ch_Forest]]</f>
        <v>0</v>
      </c>
      <c r="I26" s="385">
        <f ca="1">OFFSET(TblConstr[[#This Row],[Mountain]],-1,0)+TblConstr[[#This Row],[Ch_Mountain]]</f>
        <v>0</v>
      </c>
      <c r="J26" s="389">
        <f ca="1">OFFSET(TblConstr[[#This Row],[Hill]],-1,0)+TblConstr[[#This Row],[Ch_Hill]]</f>
        <v>0</v>
      </c>
      <c r="K26" s="393">
        <f ca="1">OFFSET(TblConstr[[#This Row],[Swamp]],-1,0)+TblConstr[[#This Row],[Ch_Swamp]]</f>
        <v>0</v>
      </c>
      <c r="L26" s="188">
        <f ca="1">OFFSET(TblConstr[[#This Row],[Cavern]],-1,0)+TblConstr[[#This Row],[Ch_Cavern]]</f>
        <v>0</v>
      </c>
      <c r="M26" s="189">
        <f ca="1">OFFSET(TblConstr[[#This Row],[Water]],-1,0)+TblConstr[[#This Row],[Ch_Water]]</f>
        <v>0</v>
      </c>
      <c r="N26" s="383">
        <f>TblRezone[[#This Row],[Hour]]</f>
        <v>23</v>
      </c>
      <c r="O26" s="182"/>
      <c r="P26" s="182"/>
      <c r="Q26" s="182"/>
      <c r="R26" s="161"/>
      <c r="S26" s="182"/>
      <c r="T26" s="182"/>
      <c r="U26" s="182"/>
      <c r="V26" s="182"/>
      <c r="W26" s="182"/>
      <c r="X26" s="182">
        <v>1</v>
      </c>
      <c r="Y26" s="182"/>
      <c r="Z26" s="182"/>
      <c r="AA26" s="182"/>
      <c r="AB26" s="182"/>
      <c r="AC26" s="182"/>
      <c r="AD26" s="182"/>
      <c r="AE26" s="182"/>
      <c r="AF26" s="182"/>
      <c r="AG26" s="182"/>
      <c r="AH26" s="53">
        <f ca="1">TblImps[[#This Row],[Time]]</f>
        <v>45430.666666666613</v>
      </c>
      <c r="AI26" s="183">
        <f ca="1">MIN(25%,(TblConstr[[#This Row],[Tot Fac]]+TblConstr[[#This Row],[Dest Fac]])/(TblConstr[[#This Row],[Land]]-TblExplore[[#This Row],[Land Bonus]]*20))</f>
        <v>0.1003584229390681</v>
      </c>
      <c r="AJ26" s="183">
        <f ca="1">MIN(25%,(TblConstr[[#This Row],[Tot Fac]]+TblConstr[[#This Row],[Dest Fac]])/TblConstr[[#This Row],[Land]])</f>
        <v>0.1003584229390681</v>
      </c>
      <c r="AK26" s="97">
        <f ca="1">TblProd[[#This Row],[Platinum]]</f>
        <v>20132</v>
      </c>
      <c r="AL26" s="97">
        <f ca="1">TblProd[[#This Row],[Lumber]]</f>
        <v>7308</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97">
        <f ca="1">ROUNDDOWN( MAX(1 - MIN(facs_constr_factor*TblConstr[[#This Row],[Facs -DB]],facs_constr_max) + tech_1_11*TblTech[[#This Row],[11-1]] + tech_6_3_2*TblTech[[#This Row],[6-3]] + tech_5_2_3*TblTech[[#This Row],[5-2]], 1-global_constr_cap) * TblConstr[[#This Row],[RCPA Lumber]],0)</f>
        <v>48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97">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354</v>
      </c>
      <c r="AR26" s="45">
        <f ca="1">TblConstr[[#This Row],[build -db]]*TblConstr[[#This Row],[CPA Lumber -DB]]+TblConstr[[#This Row],[build db]]*TblConstr[[#This Row],[CPA Lumber DB]]</f>
        <v>48</v>
      </c>
      <c r="AS26" s="97">
        <f ca="1">MIN(SUM(OFFSET(TblConstr[[#This Row],[Plain]:[Water]],-1,0))+SUM(TblConstr[[#This Row],[Dest Hom]:[Dest Doc]])+IF(TblConstr[[#This Row],[Hour]]&gt;12,SUM(OFFSET(TblExplore[[#This Row],[Plains Explore]:[Water Explore]],-12,0)),0),SUM(TblConstr[[#This Row],[Hom]:[Doc]]))</f>
        <v>1</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886</v>
      </c>
      <c r="AW26" s="97">
        <f ca="1">ROUND((TblConstr[[#This Row],[Land]]-250 - IF(TblExplore[[#This Row],[Land Bonus]]&lt;&gt;0,20,0))*0.285 + 87.5 + 0/4.25,0)</f>
        <v>96</v>
      </c>
      <c r="AX26" s="157"/>
      <c r="AY26" s="191" cm="1">
        <f t="array" aca="1" ref="AY26" ca="1">IF(TblConstr[[#This Row],[Hour]:[Hour]]&gt;12,OFFSET(TblConstr[[#This Row],[Hom]],-12,0),0)+OFFSET(TblConstr[[#This Row],[Tot Hom]],-1,0)-TblConstr[[#This Row],[Dest Hom]]</f>
        <v>0</v>
      </c>
      <c r="AZ26" s="192" cm="1">
        <f t="array" aca="1" ref="AZ26" ca="1">IF(TblConstr[[#This Row],[Hour]:[Hour]]&gt;12,OFFSET(TblConstr[[#This Row],[Alc]],-12,0),0)+OFFSET(TblConstr[[#This Row],[Tot Alc]],-1,0)-TblConstr[[#This Row],[Dest Alc]]</f>
        <v>70</v>
      </c>
      <c r="BA26" s="192" cm="1">
        <f t="array" aca="1" ref="BA26" ca="1">IF(TblConstr[[#This Row],[Hour]:[Hour]]&gt;12,OFFSET(TblConstr[[#This Row],[Far]],-12,0),0)+OFFSET(TblConstr[[#This Row],[Tot Farm]],-1,0)-TblConstr[[#This Row],[Dest Farm]]</f>
        <v>5</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28</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15</v>
      </c>
      <c r="BM26" s="395" cm="1">
        <f t="array" aca="1" ref="BM26" ca="1">IF(TblConstr[[#This Row],[Hour]:[Hour]]&gt;12,OFFSET(TblConstr[[#This Row],[Tem]],-12,0),0)+OFFSET(TblConstr[[#This Row],[Tot Tem]],-1,0)-TblConstr[[#This Row],[Dest Tem]]</f>
        <v>47</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279</v>
      </c>
      <c r="BU26" s="162">
        <f ca="1">TblImps[[#This Row],[Time]]</f>
        <v>45430.666666666613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143</v>
      </c>
      <c r="DA26" s="97">
        <f t="shared" ca="1" si="4"/>
        <v>23</v>
      </c>
      <c r="DB26" s="45">
        <f t="shared" ca="1" si="5"/>
        <v>0</v>
      </c>
      <c r="DC26" s="97">
        <f t="shared" ca="1" si="6"/>
        <v>43</v>
      </c>
      <c r="DD26" s="97">
        <f t="shared" ca="1" si="7"/>
        <v>65</v>
      </c>
      <c r="DE26" s="45">
        <f t="shared" ca="1" si="8"/>
        <v>0</v>
      </c>
      <c r="DF26" s="97">
        <f t="shared" ca="1" si="9"/>
        <v>5</v>
      </c>
      <c r="DG26" s="97" cm="1">
        <f t="array" aca="1" ref="DG26" ca="1">INDEX(TblConstr[[Total Plain]:[Total Water]],ROW()-ROW(TblConstr[#Headers]),MATCH("Total "&amp;home_land,TblConstr[[#Headers],[Total Plain]:[Total Water]],0))+TblConstr[[#This Row],[Homes]]</f>
        <v>0</v>
      </c>
      <c r="DH26" s="45">
        <f t="shared" ca="1" si="10"/>
        <v>0</v>
      </c>
      <c r="DI26" s="45">
        <f t="shared" ca="1" si="0"/>
        <v>0</v>
      </c>
      <c r="DJ26" s="45">
        <f t="shared" ca="1" si="1"/>
        <v>0</v>
      </c>
    </row>
    <row r="27" spans="1:114" x14ac:dyDescent="0.2">
      <c r="A27" s="178">
        <f>TblRezone[[#This Row],[Hour]]</f>
        <v>24</v>
      </c>
      <c r="B27" s="179">
        <f ca="1">SUM(TblConstr[[#This Row],[Plain]:[Water]])</f>
        <v>0</v>
      </c>
      <c r="C27" s="180">
        <f ca="1">SUM(TblConstr[[#This Row],[Tot Hom]:[Tot Doc]])</f>
        <v>185</v>
      </c>
      <c r="D27" s="180">
        <f t="shared" si="2"/>
        <v>114</v>
      </c>
      <c r="E27" s="181"/>
      <c r="F27" s="62">
        <f ca="1">TblConstr[[#This Row],[Barren]]+TblConstr[[#This Row],[Buildings]]+TblConstr[[#This Row],[Incoming]]</f>
        <v>299</v>
      </c>
      <c r="G27" s="190">
        <f ca="1">OFFSET(TblConstr[[#This Row],[Plain]],-1,0)+TblConstr[[#This Row],[Ch_Plain]]</f>
        <v>0</v>
      </c>
      <c r="H27" s="185">
        <f ca="1">OFFSET(TblConstr[[#This Row],[Forest]],-1,0)+TblConstr[[#This Row],[Ch_Forest]]</f>
        <v>0</v>
      </c>
      <c r="I27" s="385">
        <f ca="1">OFFSET(TblConstr[[#This Row],[Mountain]],-1,0)+TblConstr[[#This Row],[Ch_Mountain]]</f>
        <v>0</v>
      </c>
      <c r="J27" s="389">
        <f ca="1">OFFSET(TblConstr[[#This Row],[Hill]],-1,0)+TblConstr[[#This Row],[Ch_Hill]]</f>
        <v>0</v>
      </c>
      <c r="K27" s="393">
        <f ca="1">OFFSET(TblConstr[[#This Row],[Swamp]],-1,0)+TblConstr[[#This Row],[Ch_Swamp]]</f>
        <v>0</v>
      </c>
      <c r="L27" s="188">
        <f ca="1">OFFSET(TblConstr[[#This Row],[Cavern]],-1,0)+TblConstr[[#This Row],[Ch_Cavern]]</f>
        <v>0</v>
      </c>
      <c r="M27" s="189">
        <f ca="1">OFFSET(TblConstr[[#This Row],[Water]],-1,0)+TblConstr[[#This Row],[Ch_Water]]</f>
        <v>0</v>
      </c>
      <c r="N27" s="383">
        <f>TblRezone[[#This Row],[Hour]]</f>
        <v>24</v>
      </c>
      <c r="O27" s="182"/>
      <c r="P27" s="161">
        <v>10</v>
      </c>
      <c r="Q27" s="182">
        <v>2</v>
      </c>
      <c r="R27" s="182"/>
      <c r="S27" s="182"/>
      <c r="T27" s="182"/>
      <c r="U27" s="182"/>
      <c r="V27" s="182"/>
      <c r="W27" s="182"/>
      <c r="X27" s="182">
        <v>8</v>
      </c>
      <c r="Y27" s="182"/>
      <c r="Z27" s="182"/>
      <c r="AA27" s="182"/>
      <c r="AB27" s="182"/>
      <c r="AC27" s="182"/>
      <c r="AD27" s="182"/>
      <c r="AE27" s="182"/>
      <c r="AF27" s="182"/>
      <c r="AG27" s="182"/>
      <c r="AH27" s="53">
        <f ca="1">TblImps[[#This Row],[Time]]</f>
        <v>45430.708333333278</v>
      </c>
      <c r="AI27" s="183">
        <f ca="1">MIN(25%,(TblConstr[[#This Row],[Tot Fac]]+TblConstr[[#This Row],[Dest Fac]])/(TblConstr[[#This Row],[Land]]-TblExplore[[#This Row],[Land Bonus]]*20))</f>
        <v>0.1003584229390681</v>
      </c>
      <c r="AJ27" s="183">
        <f ca="1">MIN(25%,(TblConstr[[#This Row],[Tot Fac]]+TblConstr[[#This Row],[Dest Fac]])/TblConstr[[#This Row],[Land]])</f>
        <v>9.3645484949832769E-2</v>
      </c>
      <c r="AK27" s="97">
        <f ca="1">TblProd[[#This Row],[Platinum]]</f>
        <v>26679</v>
      </c>
      <c r="AL27" s="97">
        <f ca="1">TblProd[[#This Row],[Lumber]]</f>
        <v>7075</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97">
        <f ca="1">ROUNDDOWN( MAX(1 - MIN(facs_constr_factor*TblConstr[[#This Row],[Facs -DB]],facs_constr_max) + tech_1_11*TblTech[[#This Row],[11-1]] + tech_6_3_2*TblTech[[#This Row],[6-3]] + tech_5_2_3*TblTech[[#This Row],[5-2]], 1-global_constr_cap) * TblConstr[[#This Row],[RCPA Lumber]],0)</f>
        <v>48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97">
        <f ca="1">ROUNDDOWN( MAX(1 - MIN(facs_constr_factor*TblConstr[[#This Row],[Facs DB]],facs_constr_max) + tech_1_11*TblTech[[#This Row],[1-11]] + tech_6_3_2*TblTech[[#This Row],[6-3]] + tech_5_2_3*TblTech[[#This Row],[5-2]], 1-global_constr_cap) * ROUND((TblConstr[[#This Row],[Land]]-250)*0.285 + 87.5 + 0/4.25,0),0)</f>
        <v>53</v>
      </c>
      <c r="AQ27" s="45">
        <f ca="1">TblConstr[[#This Row],[build -db]]*TblConstr[[#This Row],[CPA Platinum -DB]] + TblConstr[[#This Row],[build db]]*TblConstr[[#This Row],[CPA Platinum DB]]</f>
        <v>7860</v>
      </c>
      <c r="AR27" s="45">
        <f ca="1">TblConstr[[#This Row],[build -db]]*TblConstr[[#This Row],[CPA Lumber -DB]]+TblConstr[[#This Row],[build db]]*TblConstr[[#This Row],[CPA Lumber DB]]</f>
        <v>1060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45"/>
      <c r="AV27" s="97">
        <f ca="1">ROUND((TblConstr[[#This Row],[Land]]-250 - IF(TblExplore[[#This Row],[Land Bonus]]&lt;&gt;0,20,0))*1.25 + 850 + 0,0)</f>
        <v>886</v>
      </c>
      <c r="AW27" s="97">
        <f ca="1">ROUND((TblConstr[[#This Row],[Land]]-250 - IF(TblExplore[[#This Row],[Land Bonus]]&lt;&gt;0,20,0))*0.285 + 87.5 + 0/4.25,0)</f>
        <v>96</v>
      </c>
      <c r="AX27" s="157"/>
      <c r="AY27" s="191" cm="1">
        <f t="array" aca="1" ref="AY27" ca="1">IF(TblConstr[[#This Row],[Hour]:[Hour]]&gt;12,OFFSET(TblConstr[[#This Row],[Hom]],-12,0),0)+OFFSET(TblConstr[[#This Row],[Tot Hom]],-1,0)-TblConstr[[#This Row],[Dest Hom]]</f>
        <v>0</v>
      </c>
      <c r="AZ27" s="192" cm="1">
        <f t="array" aca="1" ref="AZ27" ca="1">IF(TblConstr[[#This Row],[Hour]:[Hour]]&gt;12,OFFSET(TblConstr[[#This Row],[Alc]],-12,0),0)+OFFSET(TblConstr[[#This Row],[Tot Alc]],-1,0)-TblConstr[[#This Row],[Dest Alc]]</f>
        <v>70</v>
      </c>
      <c r="BA27" s="192" cm="1">
        <f t="array" aca="1" ref="BA27" ca="1">IF(TblConstr[[#This Row],[Hour]:[Hour]]&gt;12,OFFSET(TblConstr[[#This Row],[Far]],-12,0),0)+OFFSET(TblConstr[[#This Row],[Tot Farm]],-1,0)-TblConstr[[#This Row],[Dest Farm]]</f>
        <v>5</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28</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15</v>
      </c>
      <c r="BM27" s="395" cm="1">
        <f t="array" aca="1" ref="BM27" ca="1">IF(TblConstr[[#This Row],[Hour]:[Hour]]&gt;12,OFFSET(TblConstr[[#This Row],[Tem]],-12,0),0)+OFFSET(TblConstr[[#This Row],[Tot Tem]],-1,0)-TblConstr[[#This Row],[Dest Tem]]</f>
        <v>47</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299</v>
      </c>
      <c r="BU27" s="162">
        <f ca="1">TblImps[[#This Row],[Time]]</f>
        <v>45430.708333333278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20</v>
      </c>
      <c r="CY27" s="145"/>
      <c r="CZ27" s="97">
        <f t="shared" ca="1" si="3"/>
        <v>155</v>
      </c>
      <c r="DA27" s="97">
        <f t="shared" ca="1" si="4"/>
        <v>23</v>
      </c>
      <c r="DB27" s="45">
        <f t="shared" ca="1" si="5"/>
        <v>0</v>
      </c>
      <c r="DC27" s="97">
        <f t="shared" ca="1" si="6"/>
        <v>51</v>
      </c>
      <c r="DD27" s="97">
        <f t="shared" ca="1" si="7"/>
        <v>65</v>
      </c>
      <c r="DE27" s="45">
        <f t="shared" ca="1" si="8"/>
        <v>0</v>
      </c>
      <c r="DF27" s="97">
        <f t="shared" ca="1" si="9"/>
        <v>5</v>
      </c>
      <c r="DG27" s="97" cm="1">
        <f t="array" aca="1" ref="DG27" ca="1">INDEX(TblConstr[[Total Plain]:[Total Water]],ROW()-ROW(TblConstr[#Headers]),MATCH("Total "&amp;home_land,TblConstr[[#Headers],[Total Plain]:[Total Water]],0))+TblConstr[[#This Row],[Homes]]</f>
        <v>0</v>
      </c>
      <c r="DH27" s="45">
        <f t="shared" ca="1" si="10"/>
        <v>0</v>
      </c>
      <c r="DI27" s="45">
        <f t="shared" ca="1" si="0"/>
        <v>0</v>
      </c>
      <c r="DJ27" s="45">
        <f t="shared" ca="1" si="1"/>
        <v>0</v>
      </c>
    </row>
    <row r="28" spans="1:114" x14ac:dyDescent="0.2">
      <c r="A28" s="178">
        <f>TblRezone[[#This Row],[Hour]]</f>
        <v>25</v>
      </c>
      <c r="B28" s="179">
        <f ca="1">SUM(TblConstr[[#This Row],[Plain]:[Water]])</f>
        <v>0</v>
      </c>
      <c r="C28" s="180">
        <f ca="1">SUM(TblConstr[[#This Row],[Tot Hom]:[Tot Doc]])</f>
        <v>250</v>
      </c>
      <c r="D28" s="180">
        <f t="shared" si="2"/>
        <v>49</v>
      </c>
      <c r="E28" s="181"/>
      <c r="F28" s="62">
        <f ca="1">TblConstr[[#This Row],[Barren]]+TblConstr[[#This Row],[Buildings]]+TblConstr[[#This Row],[Incoming]]</f>
        <v>299</v>
      </c>
      <c r="G28" s="190">
        <f ca="1">OFFSET(TblConstr[[#This Row],[Plain]],-1,0)+TblConstr[[#This Row],[Ch_Plain]]</f>
        <v>0</v>
      </c>
      <c r="H28" s="185">
        <f ca="1">OFFSET(TblConstr[[#This Row],[Forest]],-1,0)+TblConstr[[#This Row],[Ch_Forest]]</f>
        <v>0</v>
      </c>
      <c r="I28" s="385">
        <f ca="1">OFFSET(TblConstr[[#This Row],[Mountain]],-1,0)+TblConstr[[#This Row],[Ch_Mountain]]</f>
        <v>0</v>
      </c>
      <c r="J28" s="389">
        <f ca="1">OFFSET(TblConstr[[#This Row],[Hill]],-1,0)+TblConstr[[#This Row],[Ch_Hill]]</f>
        <v>0</v>
      </c>
      <c r="K28" s="393">
        <f ca="1">OFFSET(TblConstr[[#This Row],[Swamp]],-1,0)+TblConstr[[#This Row],[Ch_Swamp]]</f>
        <v>0</v>
      </c>
      <c r="L28" s="188">
        <f ca="1">OFFSET(TblConstr[[#This Row],[Cavern]],-1,0)+TblConstr[[#This Row],[Ch_Cavern]]</f>
        <v>0</v>
      </c>
      <c r="M28" s="189">
        <f ca="1">OFFSET(TblConstr[[#This Row],[Water]],-1,0)+TblConstr[[#This Row],[Ch_Water]]</f>
        <v>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45430.749999999942</v>
      </c>
      <c r="AI28" s="183">
        <f ca="1">MIN(25%,(TblConstr[[#This Row],[Tot Fac]]+TblConstr[[#This Row],[Dest Fac]])/(TblConstr[[#This Row],[Land]]-TblExplore[[#This Row],[Land Bonus]]*20))</f>
        <v>0.10033444816053512</v>
      </c>
      <c r="AJ28" s="183">
        <f ca="1">MIN(25%,(TblConstr[[#This Row],[Tot Fac]]+TblConstr[[#This Row],[Dest Fac]])/TblConstr[[#This Row],[Land]])</f>
        <v>0.10033444816053512</v>
      </c>
      <c r="AK28" s="97">
        <f ca="1">TblProd[[#This Row],[Platinum]]</f>
        <v>42902</v>
      </c>
      <c r="AL28" s="97">
        <f ca="1">TblProd[[#This Row],[Lumber]]</f>
        <v>7904</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97">
        <f ca="1">ROUNDDOWN( MAX(1 - MIN(facs_constr_factor*TblConstr[[#This Row],[Facs -DB]],facs_constr_max) + tech_1_11*TblTech[[#This Row],[11-1]] + tech_6_3_2*TblTech[[#This Row],[6-3]] + tech_5_2_3*TblTech[[#This Row],[5-2]], 1-global_constr_cap) * TblConstr[[#This Row],[RCPA Lumber]],0)</f>
        <v>50</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97">
        <f ca="1">ROUNDDOWN( MAX(1 - MIN(facs_constr_factor*TblConstr[[#This Row],[Facs DB]],facs_constr_max) + tech_1_11*TblTech[[#This Row],[1-11]] + tech_6_3_2*TblTech[[#This Row],[6-3]] + tech_5_2_3*TblTech[[#This Row],[5-2]], 1-global_constr_cap) * ROUND((TblConstr[[#This Row],[Land]]-250)*0.285 + 87.5 + 0/4.25,0),0)</f>
        <v>50</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911</v>
      </c>
      <c r="AW28" s="97">
        <f ca="1">ROUND((TblConstr[[#This Row],[Land]]-250 - IF(TblExplore[[#This Row],[Land Bonus]]&lt;&gt;0,20,0))*0.285 + 87.5 + 0/4.25,0)</f>
        <v>101</v>
      </c>
      <c r="AX28" s="157"/>
      <c r="AY28" s="191" cm="1">
        <f t="array" aca="1" ref="AY28" ca="1">IF(TblConstr[[#This Row],[Hour]:[Hour]]&gt;12,OFFSET(TblConstr[[#This Row],[Hom]],-12,0),0)+OFFSET(TblConstr[[#This Row],[Tot Hom]],-1,0)-TblConstr[[#This Row],[Dest Hom]]</f>
        <v>0</v>
      </c>
      <c r="AZ28" s="192" cm="1">
        <f t="array" aca="1" ref="AZ28" ca="1">IF(TblConstr[[#This Row],[Hour]:[Hour]]&gt;12,OFFSET(TblConstr[[#This Row],[Alc]],-12,0),0)+OFFSET(TblConstr[[#This Row],[Tot Alc]],-1,0)-TblConstr[[#This Row],[Dest Alc]]</f>
        <v>125</v>
      </c>
      <c r="BA28" s="192" cm="1">
        <f t="array" aca="1" ref="BA28" ca="1">IF(TblConstr[[#This Row],[Hour]:[Hour]]&gt;12,OFFSET(TblConstr[[#This Row],[Far]],-12,0),0)+OFFSET(TblConstr[[#This Row],[Tot Farm]],-1,0)-TblConstr[[#This Row],[Dest Farm]]</f>
        <v>5</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30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18</v>
      </c>
      <c r="BM28" s="395" cm="1">
        <f t="array" aca="1" ref="BM28" ca="1">IF(TblConstr[[#This Row],[Hour]:[Hour]]&gt;12,OFFSET(TblConstr[[#This Row],[Tem]],-12,0),0)+OFFSET(TblConstr[[#This Row],[Tot Tem]],-1,0)-TblConstr[[#This Row],[Dest Tem]]</f>
        <v>47</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5</v>
      </c>
      <c r="BR28" s="145"/>
      <c r="BS28" s="157"/>
      <c r="BT28" s="97">
        <f ca="1">TblConstr[[#This Row],[Land]]</f>
        <v>299</v>
      </c>
      <c r="BU28" s="162">
        <f ca="1">TblImps[[#This Row],[Time]]</f>
        <v>45430.749999999942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155</v>
      </c>
      <c r="DA28" s="97">
        <f t="shared" ca="1" si="4"/>
        <v>23</v>
      </c>
      <c r="DB28" s="45">
        <f t="shared" ca="1" si="5"/>
        <v>0</v>
      </c>
      <c r="DC28" s="97">
        <f t="shared" ca="1" si="6"/>
        <v>51</v>
      </c>
      <c r="DD28" s="97">
        <f t="shared" ca="1" si="7"/>
        <v>65</v>
      </c>
      <c r="DE28" s="45">
        <f t="shared" ca="1" si="8"/>
        <v>0</v>
      </c>
      <c r="DF28" s="97">
        <f t="shared" ca="1" si="9"/>
        <v>5</v>
      </c>
      <c r="DG28" s="97" cm="1">
        <f t="array" aca="1" ref="DG28" ca="1">INDEX(TblConstr[[Total Plain]:[Total Water]],ROW()-ROW(TblConstr[#Headers]),MATCH("Total "&amp;home_land,TblConstr[[#Headers],[Total Plain]:[Total Water]],0))+TblConstr[[#This Row],[Homes]]</f>
        <v>0</v>
      </c>
      <c r="DH28" s="45">
        <f t="shared" ca="1" si="10"/>
        <v>0</v>
      </c>
      <c r="DI28" s="45">
        <f t="shared" ca="1" si="0"/>
        <v>0</v>
      </c>
      <c r="DJ28" s="45">
        <f t="shared" ca="1" si="1"/>
        <v>5</v>
      </c>
    </row>
    <row r="29" spans="1:114" x14ac:dyDescent="0.2">
      <c r="A29" s="178">
        <f>TblRezone[[#This Row],[Hour]]</f>
        <v>26</v>
      </c>
      <c r="B29" s="179">
        <f ca="1">SUM(TblConstr[[#This Row],[Plain]:[Water]])</f>
        <v>0</v>
      </c>
      <c r="C29" s="180">
        <f ca="1">SUM(TblConstr[[#This Row],[Tot Hom]:[Tot Doc]])</f>
        <v>250</v>
      </c>
      <c r="D29" s="180">
        <f t="shared" si="2"/>
        <v>49</v>
      </c>
      <c r="E29" s="181"/>
      <c r="F29" s="62">
        <f ca="1">TblConstr[[#This Row],[Barren]]+TblConstr[[#This Row],[Buildings]]+TblConstr[[#This Row],[Incoming]]</f>
        <v>299</v>
      </c>
      <c r="G29" s="190">
        <f ca="1">OFFSET(TblConstr[[#This Row],[Plain]],-1,0)+TblConstr[[#This Row],[Ch_Plain]]</f>
        <v>0</v>
      </c>
      <c r="H29" s="185">
        <f ca="1">OFFSET(TblConstr[[#This Row],[Forest]],-1,0)+TblConstr[[#This Row],[Ch_Forest]]</f>
        <v>0</v>
      </c>
      <c r="I29" s="385">
        <f ca="1">OFFSET(TblConstr[[#This Row],[Mountain]],-1,0)+TblConstr[[#This Row],[Ch_Mountain]]</f>
        <v>0</v>
      </c>
      <c r="J29" s="389">
        <f ca="1">OFFSET(TblConstr[[#This Row],[Hill]],-1,0)+TblConstr[[#This Row],[Ch_Hill]]</f>
        <v>0</v>
      </c>
      <c r="K29" s="393">
        <f ca="1">OFFSET(TblConstr[[#This Row],[Swamp]],-1,0)+TblConstr[[#This Row],[Ch_Swamp]]</f>
        <v>0</v>
      </c>
      <c r="L29" s="188">
        <f ca="1">OFFSET(TblConstr[[#This Row],[Cavern]],-1,0)+TblConstr[[#This Row],[Ch_Cavern]]</f>
        <v>0</v>
      </c>
      <c r="M29" s="189">
        <f ca="1">OFFSET(TblConstr[[#This Row],[Water]],-1,0)+TblConstr[[#This Row],[Ch_Water]]</f>
        <v>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45430.791666666606</v>
      </c>
      <c r="AI29" s="183">
        <f ca="1">MIN(25%,(TblConstr[[#This Row],[Tot Fac]]+TblConstr[[#This Row],[Dest Fac]])/(TblConstr[[#This Row],[Land]]-TblExplore[[#This Row],[Land Bonus]]*20))</f>
        <v>0.10033444816053512</v>
      </c>
      <c r="AJ29" s="183">
        <f ca="1">MIN(25%,(TblConstr[[#This Row],[Tot Fac]]+TblConstr[[#This Row],[Dest Fac]])/TblConstr[[#This Row],[Land]])</f>
        <v>0.10033444816053512</v>
      </c>
      <c r="AK29" s="97">
        <f ca="1">TblProd[[#This Row],[Platinum]]</f>
        <v>59751</v>
      </c>
      <c r="AL29" s="97">
        <f ca="1">TblProd[[#This Row],[Lumber]]</f>
        <v>8725</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97">
        <f ca="1">ROUNDDOWN( MAX(1 - MIN(facs_constr_factor*TblConstr[[#This Row],[Facs -DB]],facs_constr_max) + tech_1_11*TblTech[[#This Row],[11-1]] + tech_6_3_2*TblTech[[#This Row],[6-3]] + tech_5_2_3*TblTech[[#This Row],[5-2]], 1-global_constr_cap) * TblConstr[[#This Row],[RCPA Lumber]],0)</f>
        <v>50</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97">
        <f ca="1">ROUNDDOWN( MAX(1 - MIN(facs_constr_factor*TblConstr[[#This Row],[Facs DB]],facs_constr_max) + tech_1_11*TblTech[[#This Row],[1-11]] + tech_6_3_2*TblTech[[#This Row],[6-3]] + tech_5_2_3*TblTech[[#This Row],[5-2]], 1-global_constr_cap) * ROUND((TblConstr[[#This Row],[Land]]-250)*0.285 + 87.5 + 0/4.25,0),0)</f>
        <v>50</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911</v>
      </c>
      <c r="AW29" s="97">
        <f ca="1">ROUND((TblConstr[[#This Row],[Land]]-250 - IF(TblExplore[[#This Row],[Land Bonus]]&lt;&gt;0,20,0))*0.285 + 87.5 + 0/4.25,0)</f>
        <v>101</v>
      </c>
      <c r="AX29" s="157"/>
      <c r="AY29" s="191" cm="1">
        <f t="array" aca="1" ref="AY29" ca="1">IF(TblConstr[[#This Row],[Hour]:[Hour]]&gt;12,OFFSET(TblConstr[[#This Row],[Hom]],-12,0),0)+OFFSET(TblConstr[[#This Row],[Tot Hom]],-1,0)-TblConstr[[#This Row],[Dest Hom]]</f>
        <v>0</v>
      </c>
      <c r="AZ29" s="192" cm="1">
        <f t="array" aca="1" ref="AZ29" ca="1">IF(TblConstr[[#This Row],[Hour]:[Hour]]&gt;12,OFFSET(TblConstr[[#This Row],[Alc]],-12,0),0)+OFFSET(TblConstr[[#This Row],[Tot Alc]],-1,0)-TblConstr[[#This Row],[Dest Alc]]</f>
        <v>125</v>
      </c>
      <c r="BA29" s="192" cm="1">
        <f t="array" aca="1" ref="BA29" ca="1">IF(TblConstr[[#This Row],[Hour]:[Hour]]&gt;12,OFFSET(TblConstr[[#This Row],[Far]],-12,0),0)+OFFSET(TblConstr[[#This Row],[Tot Farm]],-1,0)-TblConstr[[#This Row],[Dest Farm]]</f>
        <v>5</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30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18</v>
      </c>
      <c r="BM29" s="395" cm="1">
        <f t="array" aca="1" ref="BM29" ca="1">IF(TblConstr[[#This Row],[Hour]:[Hour]]&gt;12,OFFSET(TblConstr[[#This Row],[Tem]],-12,0),0)+OFFSET(TblConstr[[#This Row],[Tot Tem]],-1,0)-TblConstr[[#This Row],[Dest Tem]]</f>
        <v>47</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5</v>
      </c>
      <c r="BR29" s="145"/>
      <c r="BS29" s="157"/>
      <c r="BT29" s="97">
        <f ca="1">TblConstr[[#This Row],[Land]]</f>
        <v>299</v>
      </c>
      <c r="BU29" s="162">
        <f ca="1">TblImps[[#This Row],[Time]]</f>
        <v>45430.791666666606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155</v>
      </c>
      <c r="DA29" s="97">
        <f t="shared" ca="1" si="4"/>
        <v>23</v>
      </c>
      <c r="DB29" s="45">
        <f t="shared" ca="1" si="5"/>
        <v>0</v>
      </c>
      <c r="DC29" s="97">
        <f t="shared" ca="1" si="6"/>
        <v>51</v>
      </c>
      <c r="DD29" s="97">
        <f t="shared" ca="1" si="7"/>
        <v>65</v>
      </c>
      <c r="DE29" s="45">
        <f t="shared" ca="1" si="8"/>
        <v>0</v>
      </c>
      <c r="DF29" s="97">
        <f t="shared" ca="1" si="9"/>
        <v>5</v>
      </c>
      <c r="DG29" s="97" cm="1">
        <f t="array" aca="1" ref="DG29" ca="1">INDEX(TblConstr[[Total Plain]:[Total Water]],ROW()-ROW(TblConstr[#Headers]),MATCH("Total "&amp;home_land,TblConstr[[#Headers],[Total Plain]:[Total Water]],0))+TblConstr[[#This Row],[Homes]]</f>
        <v>0</v>
      </c>
      <c r="DH29" s="45">
        <f t="shared" ca="1" si="10"/>
        <v>0</v>
      </c>
      <c r="DI29" s="45">
        <f t="shared" ca="1" si="0"/>
        <v>0</v>
      </c>
      <c r="DJ29" s="45">
        <f t="shared" ca="1" si="1"/>
        <v>0</v>
      </c>
    </row>
    <row r="30" spans="1:114" x14ac:dyDescent="0.2">
      <c r="A30" s="178">
        <f>TblRezone[[#This Row],[Hour]]</f>
        <v>27</v>
      </c>
      <c r="B30" s="179">
        <f ca="1">SUM(TblConstr[[#This Row],[Plain]:[Water]])</f>
        <v>0</v>
      </c>
      <c r="C30" s="180">
        <f ca="1">SUM(TblConstr[[#This Row],[Tot Hom]:[Tot Doc]])</f>
        <v>250</v>
      </c>
      <c r="D30" s="180">
        <f t="shared" si="2"/>
        <v>49</v>
      </c>
      <c r="E30" s="181"/>
      <c r="F30" s="62">
        <f ca="1">TblConstr[[#This Row],[Barren]]+TblConstr[[#This Row],[Buildings]]+TblConstr[[#This Row],[Incoming]]</f>
        <v>299</v>
      </c>
      <c r="G30" s="190">
        <f ca="1">OFFSET(TblConstr[[#This Row],[Plain]],-1,0)+TblConstr[[#This Row],[Ch_Plain]]</f>
        <v>0</v>
      </c>
      <c r="H30" s="185">
        <f ca="1">OFFSET(TblConstr[[#This Row],[Forest]],-1,0)+TblConstr[[#This Row],[Ch_Forest]]</f>
        <v>0</v>
      </c>
      <c r="I30" s="385">
        <f ca="1">OFFSET(TblConstr[[#This Row],[Mountain]],-1,0)+TblConstr[[#This Row],[Ch_Mountain]]</f>
        <v>0</v>
      </c>
      <c r="J30" s="389">
        <f ca="1">OFFSET(TblConstr[[#This Row],[Hill]],-1,0)+TblConstr[[#This Row],[Ch_Hill]]</f>
        <v>0</v>
      </c>
      <c r="K30" s="393">
        <f ca="1">OFFSET(TblConstr[[#This Row],[Swamp]],-1,0)+TblConstr[[#This Row],[Ch_Swamp]]</f>
        <v>0</v>
      </c>
      <c r="L30" s="188">
        <f ca="1">OFFSET(TblConstr[[#This Row],[Cavern]],-1,0)+TblConstr[[#This Row],[Ch_Cavern]]</f>
        <v>0</v>
      </c>
      <c r="M30" s="189">
        <f ca="1">OFFSET(TblConstr[[#This Row],[Water]],-1,0)+TblConstr[[#This Row],[Ch_Water]]</f>
        <v>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45430.83333333327</v>
      </c>
      <c r="AI30" s="183">
        <f ca="1">MIN(25%,(TblConstr[[#This Row],[Tot Fac]]+TblConstr[[#This Row],[Dest Fac]])/(TblConstr[[#This Row],[Land]]-TblExplore[[#This Row],[Land Bonus]]*20))</f>
        <v>0.10033444816053512</v>
      </c>
      <c r="AJ30" s="183">
        <f ca="1">MIN(25%,(TblConstr[[#This Row],[Tot Fac]]+TblConstr[[#This Row],[Dest Fac]])/TblConstr[[#This Row],[Land]])</f>
        <v>0.10033444816053512</v>
      </c>
      <c r="AK30" s="97">
        <f ca="1">TblProd[[#This Row],[Platinum]]</f>
        <v>79053</v>
      </c>
      <c r="AL30" s="97">
        <f ca="1">TblProd[[#This Row],[Lumber]]</f>
        <v>9538</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97">
        <f ca="1">ROUNDDOWN( MAX(1 - MIN(facs_constr_factor*TblConstr[[#This Row],[Facs -DB]],facs_constr_max) + tech_1_11*TblTech[[#This Row],[11-1]] + tech_6_3_2*TblTech[[#This Row],[6-3]] + tech_5_2_3*TblTech[[#This Row],[5-2]], 1-global_constr_cap) * TblConstr[[#This Row],[RCPA Lumber]],0)</f>
        <v>50</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97">
        <f ca="1">ROUNDDOWN( MAX(1 - MIN(facs_constr_factor*TblConstr[[#This Row],[Facs DB]],facs_constr_max) + tech_1_11*TblTech[[#This Row],[1-11]] + tech_6_3_2*TblTech[[#This Row],[6-3]] + tech_5_2_3*TblTech[[#This Row],[5-2]], 1-global_constr_cap) * ROUND((TblConstr[[#This Row],[Land]]-250)*0.285 + 87.5 + 0/4.25,0),0)</f>
        <v>50</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911</v>
      </c>
      <c r="AW30" s="97">
        <f ca="1">ROUND((TblConstr[[#This Row],[Land]]-250 - IF(TblExplore[[#This Row],[Land Bonus]]&lt;&gt;0,20,0))*0.285 + 87.5 + 0/4.25,0)</f>
        <v>101</v>
      </c>
      <c r="AX30" s="157"/>
      <c r="AY30" s="191" cm="1">
        <f t="array" aca="1" ref="AY30" ca="1">IF(TblConstr[[#This Row],[Hour]:[Hour]]&gt;12,OFFSET(TblConstr[[#This Row],[Hom]],-12,0),0)+OFFSET(TblConstr[[#This Row],[Tot Hom]],-1,0)-TblConstr[[#This Row],[Dest Hom]]</f>
        <v>0</v>
      </c>
      <c r="AZ30" s="192" cm="1">
        <f t="array" aca="1" ref="AZ30" ca="1">IF(TblConstr[[#This Row],[Hour]:[Hour]]&gt;12,OFFSET(TblConstr[[#This Row],[Alc]],-12,0),0)+OFFSET(TblConstr[[#This Row],[Tot Alc]],-1,0)-TblConstr[[#This Row],[Dest Alc]]</f>
        <v>125</v>
      </c>
      <c r="BA30" s="192" cm="1">
        <f t="array" aca="1" ref="BA30" ca="1">IF(TblConstr[[#This Row],[Hour]:[Hour]]&gt;12,OFFSET(TblConstr[[#This Row],[Far]],-12,0),0)+OFFSET(TblConstr[[#This Row],[Tot Farm]],-1,0)-TblConstr[[#This Row],[Dest Farm]]</f>
        <v>5</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30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18</v>
      </c>
      <c r="BM30" s="395" cm="1">
        <f t="array" aca="1" ref="BM30" ca="1">IF(TblConstr[[#This Row],[Hour]:[Hour]]&gt;12,OFFSET(TblConstr[[#This Row],[Tem]],-12,0),0)+OFFSET(TblConstr[[#This Row],[Tot Tem]],-1,0)-TblConstr[[#This Row],[Dest Tem]]</f>
        <v>47</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5</v>
      </c>
      <c r="BR30" s="145"/>
      <c r="BS30" s="157"/>
      <c r="BT30" s="97">
        <f ca="1">TblConstr[[#This Row],[Land]]</f>
        <v>299</v>
      </c>
      <c r="BU30" s="162">
        <f ca="1">TblImps[[#This Row],[Time]]</f>
        <v>45430.83333333327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155</v>
      </c>
      <c r="DA30" s="97">
        <f t="shared" ca="1" si="4"/>
        <v>23</v>
      </c>
      <c r="DB30" s="45">
        <f t="shared" ca="1" si="5"/>
        <v>0</v>
      </c>
      <c r="DC30" s="97">
        <f t="shared" ca="1" si="6"/>
        <v>51</v>
      </c>
      <c r="DD30" s="97">
        <f t="shared" ca="1" si="7"/>
        <v>65</v>
      </c>
      <c r="DE30" s="45">
        <f t="shared" ca="1" si="8"/>
        <v>0</v>
      </c>
      <c r="DF30" s="97">
        <f t="shared" ca="1" si="9"/>
        <v>5</v>
      </c>
      <c r="DG30" s="97" cm="1">
        <f t="array" aca="1" ref="DG30" ca="1">INDEX(TblConstr[[Total Plain]:[Total Water]],ROW()-ROW(TblConstr[#Headers]),MATCH("Total "&amp;home_land,TblConstr[[#Headers],[Total Plain]:[Total Water]],0))+TblConstr[[#This Row],[Homes]]</f>
        <v>0</v>
      </c>
      <c r="DH30" s="45">
        <f t="shared" ca="1" si="10"/>
        <v>0</v>
      </c>
      <c r="DI30" s="45">
        <f t="shared" ca="1" si="0"/>
        <v>0</v>
      </c>
      <c r="DJ30" s="45">
        <f t="shared" ca="1" si="1"/>
        <v>0</v>
      </c>
    </row>
    <row r="31" spans="1:114" x14ac:dyDescent="0.2">
      <c r="A31" s="178">
        <f>TblRezone[[#This Row],[Hour]]</f>
        <v>28</v>
      </c>
      <c r="B31" s="179">
        <f ca="1">SUM(TblConstr[[#This Row],[Plain]:[Water]])</f>
        <v>0</v>
      </c>
      <c r="C31" s="180">
        <f ca="1">SUM(TblConstr[[#This Row],[Tot Hom]:[Tot Doc]])</f>
        <v>250</v>
      </c>
      <c r="D31" s="180">
        <f t="shared" si="2"/>
        <v>49</v>
      </c>
      <c r="E31" s="181"/>
      <c r="F31" s="62">
        <f ca="1">TblConstr[[#This Row],[Barren]]+TblConstr[[#This Row],[Buildings]]+TblConstr[[#This Row],[Incoming]]</f>
        <v>299</v>
      </c>
      <c r="G31" s="190">
        <f ca="1">OFFSET(TblConstr[[#This Row],[Plain]],-1,0)+TblConstr[[#This Row],[Ch_Plain]]</f>
        <v>0</v>
      </c>
      <c r="H31" s="185">
        <f ca="1">OFFSET(TblConstr[[#This Row],[Forest]],-1,0)+TblConstr[[#This Row],[Ch_Forest]]</f>
        <v>0</v>
      </c>
      <c r="I31" s="385">
        <f ca="1">OFFSET(TblConstr[[#This Row],[Mountain]],-1,0)+TblConstr[[#This Row],[Ch_Mountain]]</f>
        <v>0</v>
      </c>
      <c r="J31" s="389">
        <f ca="1">OFFSET(TblConstr[[#This Row],[Hill]],-1,0)+TblConstr[[#This Row],[Ch_Hill]]</f>
        <v>0</v>
      </c>
      <c r="K31" s="393">
        <f ca="1">OFFSET(TblConstr[[#This Row],[Swamp]],-1,0)+TblConstr[[#This Row],[Ch_Swamp]]</f>
        <v>0</v>
      </c>
      <c r="L31" s="188">
        <f ca="1">OFFSET(TblConstr[[#This Row],[Cavern]],-1,0)+TblConstr[[#This Row],[Ch_Cavern]]</f>
        <v>0</v>
      </c>
      <c r="M31" s="189">
        <f ca="1">OFFSET(TblConstr[[#This Row],[Water]],-1,0)+TblConstr[[#This Row],[Ch_Water]]</f>
        <v>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45430.874999999935</v>
      </c>
      <c r="AI31" s="183">
        <f ca="1">MIN(25%,(TblConstr[[#This Row],[Tot Fac]]+TblConstr[[#This Row],[Dest Fac]])/(TblConstr[[#This Row],[Land]]-TblExplore[[#This Row],[Land Bonus]]*20))</f>
        <v>0.10033444816053512</v>
      </c>
      <c r="AJ31" s="183">
        <f ca="1">MIN(25%,(TblConstr[[#This Row],[Tot Fac]]+TblConstr[[#This Row],[Dest Fac]])/TblConstr[[#This Row],[Land]])</f>
        <v>0.10033444816053512</v>
      </c>
      <c r="AK31" s="97">
        <f ca="1">TblProd[[#This Row],[Platinum]]</f>
        <v>99065</v>
      </c>
      <c r="AL31" s="97">
        <f ca="1">TblProd[[#This Row],[Lumber]]</f>
        <v>10343</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97">
        <f ca="1">ROUNDDOWN( MAX(1 - MIN(facs_constr_factor*TblConstr[[#This Row],[Facs -DB]],facs_constr_max) + tech_1_11*TblTech[[#This Row],[11-1]] + tech_6_3_2*TblTech[[#This Row],[6-3]] + tech_5_2_3*TblTech[[#This Row],[5-2]], 1-global_constr_cap) * TblConstr[[#This Row],[RCPA Lumber]],0)</f>
        <v>50</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97">
        <f ca="1">ROUNDDOWN( MAX(1 - MIN(facs_constr_factor*TblConstr[[#This Row],[Facs DB]],facs_constr_max) + tech_1_11*TblTech[[#This Row],[1-11]] + tech_6_3_2*TblTech[[#This Row],[6-3]] + tech_5_2_3*TblTech[[#This Row],[5-2]], 1-global_constr_cap) * ROUND((TblConstr[[#This Row],[Land]]-250)*0.285 + 87.5 + 0/4.25,0),0)</f>
        <v>50</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911</v>
      </c>
      <c r="AW31" s="97">
        <f ca="1">ROUND((TblConstr[[#This Row],[Land]]-250 - IF(TblExplore[[#This Row],[Land Bonus]]&lt;&gt;0,20,0))*0.285 + 87.5 + 0/4.25,0)</f>
        <v>101</v>
      </c>
      <c r="AX31" s="157"/>
      <c r="AY31" s="191" cm="1">
        <f t="array" aca="1" ref="AY31" ca="1">IF(TblConstr[[#This Row],[Hour]:[Hour]]&gt;12,OFFSET(TblConstr[[#This Row],[Hom]],-12,0),0)+OFFSET(TblConstr[[#This Row],[Tot Hom]],-1,0)-TblConstr[[#This Row],[Dest Hom]]</f>
        <v>0</v>
      </c>
      <c r="AZ31" s="192" cm="1">
        <f t="array" aca="1" ref="AZ31" ca="1">IF(TblConstr[[#This Row],[Hour]:[Hour]]&gt;12,OFFSET(TblConstr[[#This Row],[Alc]],-12,0),0)+OFFSET(TblConstr[[#This Row],[Tot Alc]],-1,0)-TblConstr[[#This Row],[Dest Alc]]</f>
        <v>125</v>
      </c>
      <c r="BA31" s="192" cm="1">
        <f t="array" aca="1" ref="BA31" ca="1">IF(TblConstr[[#This Row],[Hour]:[Hour]]&gt;12,OFFSET(TblConstr[[#This Row],[Far]],-12,0),0)+OFFSET(TblConstr[[#This Row],[Tot Farm]],-1,0)-TblConstr[[#This Row],[Dest Farm]]</f>
        <v>5</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30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18</v>
      </c>
      <c r="BM31" s="395" cm="1">
        <f t="array" aca="1" ref="BM31" ca="1">IF(TblConstr[[#This Row],[Hour]:[Hour]]&gt;12,OFFSET(TblConstr[[#This Row],[Tem]],-12,0),0)+OFFSET(TblConstr[[#This Row],[Tot Tem]],-1,0)-TblConstr[[#This Row],[Dest Tem]]</f>
        <v>47</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5</v>
      </c>
      <c r="BR31" s="145"/>
      <c r="BS31" s="157"/>
      <c r="BT31" s="97">
        <f ca="1">TblConstr[[#This Row],[Land]]</f>
        <v>299</v>
      </c>
      <c r="BU31" s="162">
        <f ca="1">TblImps[[#This Row],[Time]]</f>
        <v>45430.874999999935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155</v>
      </c>
      <c r="DA31" s="97">
        <f t="shared" ca="1" si="4"/>
        <v>23</v>
      </c>
      <c r="DB31" s="45">
        <f t="shared" ca="1" si="5"/>
        <v>0</v>
      </c>
      <c r="DC31" s="97">
        <f t="shared" ca="1" si="6"/>
        <v>51</v>
      </c>
      <c r="DD31" s="97">
        <f t="shared" ca="1" si="7"/>
        <v>65</v>
      </c>
      <c r="DE31" s="45">
        <f t="shared" ca="1" si="8"/>
        <v>0</v>
      </c>
      <c r="DF31" s="97">
        <f t="shared" ca="1" si="9"/>
        <v>5</v>
      </c>
      <c r="DG31" s="97" cm="1">
        <f t="array" aca="1" ref="DG31" ca="1">INDEX(TblConstr[[Total Plain]:[Total Water]],ROW()-ROW(TblConstr[#Headers]),MATCH("Total "&amp;home_land,TblConstr[[#Headers],[Total Plain]:[Total Water]],0))+TblConstr[[#This Row],[Homes]]</f>
        <v>0</v>
      </c>
      <c r="DH31" s="45">
        <f t="shared" ca="1" si="10"/>
        <v>0</v>
      </c>
      <c r="DI31" s="45">
        <f t="shared" ca="1" si="0"/>
        <v>0</v>
      </c>
      <c r="DJ31" s="45">
        <f t="shared" ca="1" si="1"/>
        <v>0</v>
      </c>
    </row>
    <row r="32" spans="1:114" x14ac:dyDescent="0.2">
      <c r="A32" s="178">
        <f>TblRezone[[#This Row],[Hour]]</f>
        <v>29</v>
      </c>
      <c r="B32" s="179">
        <f ca="1">SUM(TblConstr[[#This Row],[Plain]:[Water]])</f>
        <v>0</v>
      </c>
      <c r="C32" s="180">
        <f ca="1">SUM(TblConstr[[#This Row],[Tot Hom]:[Tot Doc]])</f>
        <v>250</v>
      </c>
      <c r="D32" s="180">
        <f t="shared" si="2"/>
        <v>49</v>
      </c>
      <c r="E32" s="181"/>
      <c r="F32" s="62">
        <f ca="1">TblConstr[[#This Row],[Barren]]+TblConstr[[#This Row],[Buildings]]+TblConstr[[#This Row],[Incoming]]</f>
        <v>299</v>
      </c>
      <c r="G32" s="190">
        <f ca="1">OFFSET(TblConstr[[#This Row],[Plain]],-1,0)+TblConstr[[#This Row],[Ch_Plain]]</f>
        <v>0</v>
      </c>
      <c r="H32" s="185">
        <f ca="1">OFFSET(TblConstr[[#This Row],[Forest]],-1,0)+TblConstr[[#This Row],[Ch_Forest]]</f>
        <v>0</v>
      </c>
      <c r="I32" s="385">
        <f ca="1">OFFSET(TblConstr[[#This Row],[Mountain]],-1,0)+TblConstr[[#This Row],[Ch_Mountain]]</f>
        <v>0</v>
      </c>
      <c r="J32" s="389">
        <f ca="1">OFFSET(TblConstr[[#This Row],[Hill]],-1,0)+TblConstr[[#This Row],[Ch_Hill]]</f>
        <v>0</v>
      </c>
      <c r="K32" s="393">
        <f ca="1">OFFSET(TblConstr[[#This Row],[Swamp]],-1,0)+TblConstr[[#This Row],[Ch_Swamp]]</f>
        <v>0</v>
      </c>
      <c r="L32" s="188">
        <f ca="1">OFFSET(TblConstr[[#This Row],[Cavern]],-1,0)+TblConstr[[#This Row],[Ch_Cavern]]</f>
        <v>0</v>
      </c>
      <c r="M32" s="189">
        <f ca="1">OFFSET(TblConstr[[#This Row],[Water]],-1,0)+TblConstr[[#This Row],[Ch_Water]]</f>
        <v>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45430.916666666599</v>
      </c>
      <c r="AI32" s="183">
        <f ca="1">MIN(25%,(TblConstr[[#This Row],[Tot Fac]]+TblConstr[[#This Row],[Dest Fac]])/(TblConstr[[#This Row],[Land]]-TblExplore[[#This Row],[Land Bonus]]*20))</f>
        <v>0.10033444816053512</v>
      </c>
      <c r="AJ32" s="183">
        <f ca="1">MIN(25%,(TblConstr[[#This Row],[Tot Fac]]+TblConstr[[#This Row],[Dest Fac]])/TblConstr[[#This Row],[Land]])</f>
        <v>0.10033444816053512</v>
      </c>
      <c r="AK32" s="97">
        <f ca="1">TblProd[[#This Row],[Platinum]]</f>
        <v>38976</v>
      </c>
      <c r="AL32" s="97">
        <f ca="1">TblProd[[#This Row],[Lumber]]</f>
        <v>11140</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97">
        <f ca="1">ROUNDDOWN( MAX(1 - MIN(facs_constr_factor*TblConstr[[#This Row],[Facs -DB]],facs_constr_max) + tech_1_11*TblTech[[#This Row],[11-1]] + tech_6_3_2*TblTech[[#This Row],[6-3]] + tech_5_2_3*TblTech[[#This Row],[5-2]], 1-global_constr_cap) * TblConstr[[#This Row],[RCPA Lumber]],0)</f>
        <v>50</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97">
        <f ca="1">ROUNDDOWN( MAX(1 - MIN(facs_constr_factor*TblConstr[[#This Row],[Facs DB]],facs_constr_max) + tech_1_11*TblTech[[#This Row],[1-11]] + tech_6_3_2*TblTech[[#This Row],[6-3]] + tech_5_2_3*TblTech[[#This Row],[5-2]], 1-global_constr_cap) * ROUND((TblConstr[[#This Row],[Land]]-250)*0.285 + 87.5 + 0/4.25,0),0)</f>
        <v>50</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911</v>
      </c>
      <c r="AW32" s="97">
        <f ca="1">ROUND((TblConstr[[#This Row],[Land]]-250 - IF(TblExplore[[#This Row],[Land Bonus]]&lt;&gt;0,20,0))*0.285 + 87.5 + 0/4.25,0)</f>
        <v>101</v>
      </c>
      <c r="AX32" s="157"/>
      <c r="AY32" s="191" cm="1">
        <f t="array" aca="1" ref="AY32" ca="1">IF(TblConstr[[#This Row],[Hour]:[Hour]]&gt;12,OFFSET(TblConstr[[#This Row],[Hom]],-12,0),0)+OFFSET(TblConstr[[#This Row],[Tot Hom]],-1,0)-TblConstr[[#This Row],[Dest Hom]]</f>
        <v>0</v>
      </c>
      <c r="AZ32" s="192" cm="1">
        <f t="array" aca="1" ref="AZ32" ca="1">IF(TblConstr[[#This Row],[Hour]:[Hour]]&gt;12,OFFSET(TblConstr[[#This Row],[Alc]],-12,0),0)+OFFSET(TblConstr[[#This Row],[Tot Alc]],-1,0)-TblConstr[[#This Row],[Dest Alc]]</f>
        <v>125</v>
      </c>
      <c r="BA32" s="192" cm="1">
        <f t="array" aca="1" ref="BA32" ca="1">IF(TblConstr[[#This Row],[Hour]:[Hour]]&gt;12,OFFSET(TblConstr[[#This Row],[Far]],-12,0),0)+OFFSET(TblConstr[[#This Row],[Tot Farm]],-1,0)-TblConstr[[#This Row],[Dest Farm]]</f>
        <v>5</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30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18</v>
      </c>
      <c r="BM32" s="395" cm="1">
        <f t="array" aca="1" ref="BM32" ca="1">IF(TblConstr[[#This Row],[Hour]:[Hour]]&gt;12,OFFSET(TblConstr[[#This Row],[Tem]],-12,0),0)+OFFSET(TblConstr[[#This Row],[Tot Tem]],-1,0)-TblConstr[[#This Row],[Dest Tem]]</f>
        <v>47</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5</v>
      </c>
      <c r="BR32" s="145"/>
      <c r="BS32" s="157"/>
      <c r="BT32" s="97">
        <f ca="1">TblConstr[[#This Row],[Land]]</f>
        <v>299</v>
      </c>
      <c r="BU32" s="162">
        <f ca="1">TblImps[[#This Row],[Time]]</f>
        <v>45430.916666666599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155</v>
      </c>
      <c r="DA32" s="97">
        <f t="shared" ca="1" si="4"/>
        <v>23</v>
      </c>
      <c r="DB32" s="45">
        <f t="shared" ca="1" si="5"/>
        <v>0</v>
      </c>
      <c r="DC32" s="97">
        <f t="shared" ca="1" si="6"/>
        <v>51</v>
      </c>
      <c r="DD32" s="97">
        <f t="shared" ca="1" si="7"/>
        <v>65</v>
      </c>
      <c r="DE32" s="45">
        <f t="shared" ca="1" si="8"/>
        <v>0</v>
      </c>
      <c r="DF32" s="97">
        <f t="shared" ca="1" si="9"/>
        <v>5</v>
      </c>
      <c r="DG32" s="97" cm="1">
        <f t="array" aca="1" ref="DG32" ca="1">INDEX(TblConstr[[Total Plain]:[Total Water]],ROW()-ROW(TblConstr[#Headers]),MATCH("Total "&amp;home_land,TblConstr[[#Headers],[Total Plain]:[Total Water]],0))+TblConstr[[#This Row],[Homes]]</f>
        <v>0</v>
      </c>
      <c r="DH32" s="45">
        <f t="shared" ca="1" si="10"/>
        <v>0</v>
      </c>
      <c r="DI32" s="45">
        <f t="shared" ca="1" si="0"/>
        <v>0</v>
      </c>
      <c r="DJ32" s="45">
        <f t="shared" ca="1" si="1"/>
        <v>0</v>
      </c>
    </row>
    <row r="33" spans="1:114" x14ac:dyDescent="0.2">
      <c r="A33" s="178">
        <f>TblRezone[[#This Row],[Hour]]</f>
        <v>30</v>
      </c>
      <c r="B33" s="179">
        <f ca="1">SUM(TblConstr[[#This Row],[Plain]:[Water]])</f>
        <v>0</v>
      </c>
      <c r="C33" s="180">
        <f ca="1">SUM(TblConstr[[#This Row],[Tot Hom]:[Tot Doc]])</f>
        <v>274</v>
      </c>
      <c r="D33" s="180">
        <f t="shared" si="2"/>
        <v>95</v>
      </c>
      <c r="E33" s="181"/>
      <c r="F33" s="62">
        <f ca="1">TblConstr[[#This Row],[Barren]]+TblConstr[[#This Row],[Buildings]]+TblConstr[[#This Row],[Incoming]]</f>
        <v>369</v>
      </c>
      <c r="G33" s="190">
        <f ca="1">OFFSET(TblConstr[[#This Row],[Plain]],-1,0)+TblConstr[[#This Row],[Ch_Plain]]</f>
        <v>0</v>
      </c>
      <c r="H33" s="185">
        <f ca="1">OFFSET(TblConstr[[#This Row],[Forest]],-1,0)+TblConstr[[#This Row],[Ch_Forest]]</f>
        <v>0</v>
      </c>
      <c r="I33" s="385">
        <f ca="1">OFFSET(TblConstr[[#This Row],[Mountain]],-1,0)+TblConstr[[#This Row],[Ch_Mountain]]</f>
        <v>0</v>
      </c>
      <c r="J33" s="389">
        <f ca="1">OFFSET(TblConstr[[#This Row],[Hill]],-1,0)+TblConstr[[#This Row],[Ch_Hill]]</f>
        <v>0</v>
      </c>
      <c r="K33" s="393">
        <f ca="1">OFFSET(TblConstr[[#This Row],[Swamp]],-1,0)+TblConstr[[#This Row],[Ch_Swamp]]</f>
        <v>0</v>
      </c>
      <c r="L33" s="188">
        <f ca="1">OFFSET(TblConstr[[#This Row],[Cavern]],-1,0)+TblConstr[[#This Row],[Ch_Cavern]]</f>
        <v>0</v>
      </c>
      <c r="M33" s="189">
        <f ca="1">OFFSET(TblConstr[[#This Row],[Water]],-1,0)+TblConstr[[#This Row],[Ch_Water]]</f>
        <v>0</v>
      </c>
      <c r="N33" s="383">
        <f>TblRezone[[#This Row],[Hour]]</f>
        <v>30</v>
      </c>
      <c r="O33" s="182"/>
      <c r="P33" s="161">
        <v>59</v>
      </c>
      <c r="Q33" s="182">
        <v>3</v>
      </c>
      <c r="R33" s="182"/>
      <c r="S33" s="182"/>
      <c r="T33" s="182">
        <v>2</v>
      </c>
      <c r="U33" s="182"/>
      <c r="V33" s="182"/>
      <c r="W33" s="182"/>
      <c r="X33" s="182">
        <v>1</v>
      </c>
      <c r="Y33" s="182"/>
      <c r="Z33" s="182"/>
      <c r="AA33" s="182"/>
      <c r="AB33" s="182"/>
      <c r="AC33" s="182"/>
      <c r="AD33" s="182"/>
      <c r="AE33" s="182"/>
      <c r="AF33" s="182"/>
      <c r="AG33" s="182">
        <v>5</v>
      </c>
      <c r="AH33" s="53">
        <f ca="1">TblImps[[#This Row],[Time]]</f>
        <v>45430.958333333263</v>
      </c>
      <c r="AI33" s="183">
        <f ca="1">MIN(25%,(TblConstr[[#This Row],[Tot Fac]]+TblConstr[[#This Row],[Dest Fac]])/(TblConstr[[#This Row],[Land]]-TblExplore[[#This Row],[Land Bonus]]*20))</f>
        <v>0.10298102981029811</v>
      </c>
      <c r="AJ33" s="183">
        <f ca="1">MIN(25%,(TblConstr[[#This Row],[Tot Fac]]+TblConstr[[#This Row],[Dest Fac]])/TblConstr[[#This Row],[Land]])</f>
        <v>0.10298102981029811</v>
      </c>
      <c r="AK33" s="97">
        <f ca="1">TblProd[[#This Row],[Platinum]]</f>
        <v>21478</v>
      </c>
      <c r="AL33" s="97">
        <f ca="1">TblProd[[#This Row],[Lumber]]</f>
        <v>7729</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97">
        <f ca="1">ROUNDDOWN( MAX(1 - MIN(facs_constr_factor*TblConstr[[#This Row],[Facs -DB]],facs_constr_max) + tech_1_11*TblTech[[#This Row],[11-1]] + tech_6_3_2*TblTech[[#This Row],[6-3]] + tech_5_2_3*TblTech[[#This Row],[5-2]], 1-global_constr_cap) * TblConstr[[#This Row],[RCPA Lumber]],0)</f>
        <v>60</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97">
        <f ca="1">ROUNDDOWN( MAX(1 - MIN(facs_constr_factor*TblConstr[[#This Row],[Facs DB]],facs_constr_max) + tech_1_11*TblTech[[#This Row],[1-11]] + tech_6_3_2*TblTech[[#This Row],[6-3]] + tech_5_2_3*TblTech[[#This Row],[5-2]], 1-global_constr_cap) * ROUND((TblConstr[[#This Row],[Land]]-250)*0.285 + 87.5 + 0/4.25,0),0)</f>
        <v>60</v>
      </c>
      <c r="AQ33" s="45">
        <f ca="1">TblConstr[[#This Row],[build -db]]*TblConstr[[#This Row],[CPA Platinum -DB]] + TblConstr[[#This Row],[build db]]*TblConstr[[#This Row],[CPA Platinum DB]]</f>
        <v>27930</v>
      </c>
      <c r="AR33" s="45">
        <f ca="1">TblConstr[[#This Row],[build -db]]*TblConstr[[#This Row],[CPA Lumber -DB]]+TblConstr[[#This Row],[build db]]*TblConstr[[#This Row],[CPA Lumber DB]]</f>
        <v>4200</v>
      </c>
      <c r="AS33" s="97">
        <f ca="1">MIN(SUM(OFFSET(TblConstr[[#This Row],[Plain]:[Water]],-1,0))+SUM(TblConstr[[#This Row],[Dest Hom]:[Dest Doc]])+IF(TblConstr[[#This Row],[Hour]]&gt;12,SUM(OFFSET(TblExplore[[#This Row],[Plains Explore]:[Water Explore]],-12,0)),0),SUM(TblConstr[[#This Row],[Hom]:[Doc]]))</f>
        <v>70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999</v>
      </c>
      <c r="AW33" s="97">
        <f ca="1">ROUND((TblConstr[[#This Row],[Land]]-250 - IF(TblExplore[[#This Row],[Land Bonus]]&lt;&gt;0,20,0))*0.285 + 87.5 + 0/4.25,0)</f>
        <v>121</v>
      </c>
      <c r="AX33" s="157"/>
      <c r="AY33" s="191" cm="1">
        <f t="array" aca="1" ref="AY33" ca="1">IF(TblConstr[[#This Row],[Hour]:[Hour]]&gt;12,OFFSET(TblConstr[[#This Row],[Hom]],-12,0),0)+OFFSET(TblConstr[[#This Row],[Tot Hom]],-1,0)-TblConstr[[#This Row],[Dest Hom]]</f>
        <v>0</v>
      </c>
      <c r="AZ33" s="192" cm="1">
        <f t="array" aca="1" ref="AZ33" ca="1">IF(TblConstr[[#This Row],[Hour]:[Hour]]&gt;12,OFFSET(TblConstr[[#This Row],[Alc]],-12,0),0)+OFFSET(TblConstr[[#This Row],[Tot Alc]],-1,0)-TblConstr[[#This Row],[Dest Alc]]</f>
        <v>137</v>
      </c>
      <c r="BA33" s="192" cm="1">
        <f t="array" aca="1" ref="BA33" ca="1">IF(TblConstr[[#This Row],[Hour]:[Hour]]&gt;12,OFFSET(TblConstr[[#This Row],[Far]],-12,0),0)+OFFSET(TblConstr[[#This Row],[Tot Farm]],-1,0)-TblConstr[[#This Row],[Dest Farm]]</f>
        <v>6</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23</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38</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18</v>
      </c>
      <c r="BM33" s="395" cm="1">
        <f t="array" aca="1" ref="BM33" ca="1">IF(TblConstr[[#This Row],[Hour]:[Hour]]&gt;12,OFFSET(TblConstr[[#This Row],[Tem]],-12,0),0)+OFFSET(TblConstr[[#This Row],[Tot Tem]],-1,0)-TblConstr[[#This Row],[Dest Tem]]</f>
        <v>47</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5</v>
      </c>
      <c r="BR33" s="145"/>
      <c r="BS33" s="157"/>
      <c r="BT33" s="97">
        <f ca="1">TblConstr[[#This Row],[Land]]</f>
        <v>369</v>
      </c>
      <c r="BU33" s="162">
        <f ca="1">TblImps[[#This Row],[Time]]</f>
        <v>45430.958333333263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217</v>
      </c>
      <c r="DA33" s="97">
        <f t="shared" ca="1" si="4"/>
        <v>25</v>
      </c>
      <c r="DB33" s="45">
        <f t="shared" ca="1" si="5"/>
        <v>0</v>
      </c>
      <c r="DC33" s="97">
        <f t="shared" ca="1" si="6"/>
        <v>52</v>
      </c>
      <c r="DD33" s="97">
        <f t="shared" ca="1" si="7"/>
        <v>65</v>
      </c>
      <c r="DE33" s="45">
        <f t="shared" ca="1" si="8"/>
        <v>0</v>
      </c>
      <c r="DF33" s="97">
        <f t="shared" ca="1" si="9"/>
        <v>10</v>
      </c>
      <c r="DG33" s="97" cm="1">
        <f t="array" aca="1" ref="DG33" ca="1">INDEX(TblConstr[[Total Plain]:[Total Water]],ROW()-ROW(TblConstr[#Headers]),MATCH("Total "&amp;home_land,TblConstr[[#Headers],[Total Plain]:[Total Water]],0))+TblConstr[[#This Row],[Homes]]</f>
        <v>0</v>
      </c>
      <c r="DH33" s="45">
        <f t="shared" ca="1" si="10"/>
        <v>0</v>
      </c>
      <c r="DI33" s="45">
        <f t="shared" ca="1" si="0"/>
        <v>1</v>
      </c>
      <c r="DJ33" s="45">
        <f t="shared" ca="1" si="1"/>
        <v>0</v>
      </c>
    </row>
    <row r="34" spans="1:114" x14ac:dyDescent="0.2">
      <c r="A34" s="178">
        <f>TblRezone[[#This Row],[Hour]]</f>
        <v>31</v>
      </c>
      <c r="B34" s="179">
        <f ca="1">SUM(TblConstr[[#This Row],[Plain]:[Water]])</f>
        <v>0</v>
      </c>
      <c r="C34" s="180">
        <f ca="1">SUM(TblConstr[[#This Row],[Tot Hom]:[Tot Doc]])</f>
        <v>275</v>
      </c>
      <c r="D34" s="180">
        <f t="shared" si="2"/>
        <v>105</v>
      </c>
      <c r="E34" s="181"/>
      <c r="F34" s="62">
        <f ca="1">TblConstr[[#This Row],[Barren]]+TblConstr[[#This Row],[Buildings]]+TblConstr[[#This Row],[Incoming]]</f>
        <v>380</v>
      </c>
      <c r="G34" s="190">
        <f ca="1">OFFSET(TblConstr[[#This Row],[Plain]],-1,0)+TblConstr[[#This Row],[Ch_Plain]]</f>
        <v>0</v>
      </c>
      <c r="H34" s="185">
        <f ca="1">OFFSET(TblConstr[[#This Row],[Forest]],-1,0)+TblConstr[[#This Row],[Ch_Forest]]</f>
        <v>0</v>
      </c>
      <c r="I34" s="385">
        <f ca="1">OFFSET(TblConstr[[#This Row],[Mountain]],-1,0)+TblConstr[[#This Row],[Ch_Mountain]]</f>
        <v>0</v>
      </c>
      <c r="J34" s="389">
        <f ca="1">OFFSET(TblConstr[[#This Row],[Hill]],-1,0)+TblConstr[[#This Row],[Ch_Hill]]</f>
        <v>0</v>
      </c>
      <c r="K34" s="393">
        <f ca="1">OFFSET(TblConstr[[#This Row],[Swamp]],-1,0)+TblConstr[[#This Row],[Ch_Swamp]]</f>
        <v>0</v>
      </c>
      <c r="L34" s="188">
        <f ca="1">OFFSET(TblConstr[[#This Row],[Cavern]],-1,0)+TblConstr[[#This Row],[Ch_Cavern]]</f>
        <v>0</v>
      </c>
      <c r="M34" s="189">
        <f ca="1">OFFSET(TblConstr[[#This Row],[Water]],-1,0)+TblConstr[[#This Row],[Ch_Water]]</f>
        <v>0</v>
      </c>
      <c r="N34" s="383">
        <f>TblRezone[[#This Row],[Hour]]</f>
        <v>31</v>
      </c>
      <c r="O34" s="182"/>
      <c r="P34" s="161">
        <v>10</v>
      </c>
      <c r="Q34" s="182"/>
      <c r="R34" s="182"/>
      <c r="S34" s="182"/>
      <c r="T34" s="182"/>
      <c r="U34" s="182"/>
      <c r="V34" s="182"/>
      <c r="W34" s="182"/>
      <c r="X34" s="182">
        <v>1</v>
      </c>
      <c r="Y34" s="182"/>
      <c r="Z34" s="182"/>
      <c r="AA34" s="182"/>
      <c r="AB34" s="182"/>
      <c r="AC34" s="182"/>
      <c r="AD34" s="182"/>
      <c r="AE34" s="182"/>
      <c r="AF34" s="182"/>
      <c r="AG34" s="182"/>
      <c r="AH34" s="53">
        <f ca="1">TblImps[[#This Row],[Time]]</f>
        <v>45430.999999999927</v>
      </c>
      <c r="AI34" s="183">
        <f ca="1">MIN(25%,(TblConstr[[#This Row],[Tot Fac]]+TblConstr[[#This Row],[Dest Fac]])/(TblConstr[[#This Row],[Land]]-TblExplore[[#This Row],[Land Bonus]]*20))</f>
        <v>0.10263157894736842</v>
      </c>
      <c r="AJ34" s="183">
        <f ca="1">MIN(25%,(TblConstr[[#This Row],[Tot Fac]]+TblConstr[[#This Row],[Dest Fac]])/TblConstr[[#This Row],[Land]])</f>
        <v>0.10263157894736842</v>
      </c>
      <c r="AK34" s="97">
        <f ca="1">TblProd[[#This Row],[Platinum]]</f>
        <v>26412</v>
      </c>
      <c r="AL34" s="97">
        <f ca="1">TblProd[[#This Row],[Lumber]]</f>
        <v>8005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97">
        <f ca="1">ROUNDDOWN( MAX(1 - MIN(facs_constr_factor*TblConstr[[#This Row],[Facs -DB]],facs_constr_max) + tech_1_11*TblTech[[#This Row],[11-1]] + tech_6_3_2*TblTech[[#This Row],[6-3]] + tech_5_2_3*TblTech[[#This Row],[5-2]], 1-global_constr_cap) * TblConstr[[#This Row],[RCPA Lumber]],0)</f>
        <v>62</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97">
        <f ca="1">ROUNDDOWN( MAX(1 - MIN(facs_constr_factor*TblConstr[[#This Row],[Facs DB]],facs_constr_max) + tech_1_11*TblTech[[#This Row],[1-11]] + tech_6_3_2*TblTech[[#This Row],[6-3]] + tech_5_2_3*TblTech[[#This Row],[5-2]], 1-global_constr_cap) * ROUND((TblConstr[[#This Row],[Land]]-250)*0.285 + 87.5 + 0/4.25,0),0)</f>
        <v>62</v>
      </c>
      <c r="AQ34" s="45">
        <f ca="1">TblConstr[[#This Row],[build -db]]*TblConstr[[#This Row],[CPA Platinum -DB]] + TblConstr[[#This Row],[build db]]*TblConstr[[#This Row],[CPA Platinum DB]]</f>
        <v>4455</v>
      </c>
      <c r="AR34" s="45">
        <f ca="1">TblConstr[[#This Row],[build -db]]*TblConstr[[#This Row],[CPA Lumber -DB]]+TblConstr[[#This Row],[build db]]*TblConstr[[#This Row],[CPA Lumber DB]]</f>
        <v>682</v>
      </c>
      <c r="AS34" s="97">
        <f ca="1">MIN(SUM(OFFSET(TblConstr[[#This Row],[Plain]:[Water]],-1,0))+SUM(TblConstr[[#This Row],[Dest Hom]:[Dest Doc]])+IF(TblConstr[[#This Row],[Hour]]&gt;12,SUM(OFFSET(TblExplore[[#This Row],[Plains Explore]:[Water Explore]],-12,0)),0),SUM(TblConstr[[#This Row],[Hom]:[Doc]]))</f>
        <v>11</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1013</v>
      </c>
      <c r="AW34" s="97">
        <f ca="1">ROUND((TblConstr[[#This Row],[Land]]-250 - IF(TblExplore[[#This Row],[Land Bonus]]&lt;&gt;0,20,0))*0.285 + 87.5 + 0/4.25,0)</f>
        <v>125</v>
      </c>
      <c r="AX34" s="157"/>
      <c r="AY34" s="191" cm="1">
        <f t="array" aca="1" ref="AY34" ca="1">IF(TblConstr[[#This Row],[Hour]:[Hour]]&gt;12,OFFSET(TblConstr[[#This Row],[Hom]],-12,0),0)+OFFSET(TblConstr[[#This Row],[Tot Hom]],-1,0)-TblConstr[[#This Row],[Dest Hom]]</f>
        <v>0</v>
      </c>
      <c r="AZ34" s="192" cm="1">
        <f t="array" aca="1" ref="AZ34" ca="1">IF(TblConstr[[#This Row],[Hour]:[Hour]]&gt;12,OFFSET(TblConstr[[#This Row],[Alc]],-12,0),0)+OFFSET(TblConstr[[#This Row],[Tot Alc]],-1,0)-TblConstr[[#This Row],[Dest Alc]]</f>
        <v>137</v>
      </c>
      <c r="BA34" s="192" cm="1">
        <f t="array" aca="1" ref="BA34" ca="1">IF(TblConstr[[#This Row],[Hour]:[Hour]]&gt;12,OFFSET(TblConstr[[#This Row],[Far]],-12,0),0)+OFFSET(TblConstr[[#This Row],[Tot Farm]],-1,0)-TblConstr[[#This Row],[Dest Farm]]</f>
        <v>6</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23</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39</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18</v>
      </c>
      <c r="BM34" s="395" cm="1">
        <f t="array" aca="1" ref="BM34" ca="1">IF(TblConstr[[#This Row],[Hour]:[Hour]]&gt;12,OFFSET(TblConstr[[#This Row],[Tem]],-12,0),0)+OFFSET(TblConstr[[#This Row],[Tot Tem]],-1,0)-TblConstr[[#This Row],[Dest Tem]]</f>
        <v>47</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5</v>
      </c>
      <c r="BR34" s="145"/>
      <c r="BS34" s="157"/>
      <c r="BT34" s="97">
        <f ca="1">TblConstr[[#This Row],[Land]]</f>
        <v>380</v>
      </c>
      <c r="BU34" s="162">
        <f ca="1">TblImps[[#This Row],[Time]]</f>
        <v>45430.999999999927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227</v>
      </c>
      <c r="DA34" s="97">
        <f t="shared" ca="1" si="4"/>
        <v>25</v>
      </c>
      <c r="DB34" s="45">
        <f t="shared" ca="1" si="5"/>
        <v>0</v>
      </c>
      <c r="DC34" s="97">
        <f t="shared" ca="1" si="6"/>
        <v>53</v>
      </c>
      <c r="DD34" s="97">
        <f t="shared" ca="1" si="7"/>
        <v>65</v>
      </c>
      <c r="DE34" s="45">
        <f t="shared" ca="1" si="8"/>
        <v>0</v>
      </c>
      <c r="DF34" s="97">
        <f t="shared" ca="1" si="9"/>
        <v>10</v>
      </c>
      <c r="DG34" s="97" cm="1">
        <f t="array" aca="1" ref="DG34" ca="1">INDEX(TblConstr[[Total Plain]:[Total Water]],ROW()-ROW(TblConstr[#Headers]),MATCH("Total "&amp;home_land,TblConstr[[#Headers],[Total Plain]:[Total Water]],0))+TblConstr[[#This Row],[Homes]]</f>
        <v>0</v>
      </c>
      <c r="DH34" s="45">
        <f t="shared" ca="1" si="10"/>
        <v>0</v>
      </c>
      <c r="DI34" s="45">
        <f t="shared" ca="1" si="0"/>
        <v>0</v>
      </c>
      <c r="DJ34" s="45">
        <f t="shared" ca="1" si="1"/>
        <v>0</v>
      </c>
    </row>
    <row r="35" spans="1:114" x14ac:dyDescent="0.2">
      <c r="A35" s="178">
        <f>TblRezone[[#This Row],[Hour]]</f>
        <v>32</v>
      </c>
      <c r="B35" s="179">
        <f ca="1">SUM(TblConstr[[#This Row],[Plain]:[Water]])</f>
        <v>0</v>
      </c>
      <c r="C35" s="180">
        <f ca="1">SUM(TblConstr[[#This Row],[Tot Hom]:[Tot Doc]])</f>
        <v>276</v>
      </c>
      <c r="D35" s="180">
        <f t="shared" si="2"/>
        <v>116</v>
      </c>
      <c r="E35" s="181"/>
      <c r="F35" s="62">
        <f ca="1">TblConstr[[#This Row],[Barren]]+TblConstr[[#This Row],[Buildings]]+TblConstr[[#This Row],[Incoming]]</f>
        <v>392</v>
      </c>
      <c r="G35" s="190">
        <f ca="1">OFFSET(TblConstr[[#This Row],[Plain]],-1,0)+TblConstr[[#This Row],[Ch_Plain]]</f>
        <v>0</v>
      </c>
      <c r="H35" s="185">
        <f ca="1">OFFSET(TblConstr[[#This Row],[Forest]],-1,0)+TblConstr[[#This Row],[Ch_Forest]]</f>
        <v>0</v>
      </c>
      <c r="I35" s="385">
        <f ca="1">OFFSET(TblConstr[[#This Row],[Mountain]],-1,0)+TblConstr[[#This Row],[Ch_Mountain]]</f>
        <v>0</v>
      </c>
      <c r="J35" s="389">
        <f ca="1">OFFSET(TblConstr[[#This Row],[Hill]],-1,0)+TblConstr[[#This Row],[Ch_Hill]]</f>
        <v>0</v>
      </c>
      <c r="K35" s="393">
        <f ca="1">OFFSET(TblConstr[[#This Row],[Swamp]],-1,0)+TblConstr[[#This Row],[Ch_Swamp]]</f>
        <v>0</v>
      </c>
      <c r="L35" s="188">
        <f ca="1">OFFSET(TblConstr[[#This Row],[Cavern]],-1,0)+TblConstr[[#This Row],[Ch_Cavern]]</f>
        <v>0</v>
      </c>
      <c r="M35" s="189">
        <f ca="1">OFFSET(TblConstr[[#This Row],[Water]],-1,0)+TblConstr[[#This Row],[Ch_Water]]</f>
        <v>0</v>
      </c>
      <c r="N35" s="383">
        <f>TblRezone[[#This Row],[Hour]]</f>
        <v>32</v>
      </c>
      <c r="O35" s="182"/>
      <c r="P35" s="161">
        <v>10</v>
      </c>
      <c r="Q35" s="182"/>
      <c r="R35" s="182"/>
      <c r="S35" s="182"/>
      <c r="T35" s="182"/>
      <c r="U35" s="182"/>
      <c r="V35" s="182"/>
      <c r="W35" s="182"/>
      <c r="X35" s="161">
        <v>1</v>
      </c>
      <c r="Y35" s="182"/>
      <c r="Z35" s="182"/>
      <c r="AA35" s="182"/>
      <c r="AB35" s="182">
        <v>1</v>
      </c>
      <c r="AC35" s="182"/>
      <c r="AD35" s="182"/>
      <c r="AE35" s="182"/>
      <c r="AF35" s="182"/>
      <c r="AG35" s="182"/>
      <c r="AH35" s="53">
        <f ca="1">TblImps[[#This Row],[Time]]</f>
        <v>45431.041666666591</v>
      </c>
      <c r="AI35" s="183">
        <f ca="1">MIN(25%,(TblConstr[[#This Row],[Tot Fac]]+TblConstr[[#This Row],[Dest Fac]])/(TblConstr[[#This Row],[Land]]-TblExplore[[#This Row],[Land Bonus]]*20))</f>
        <v>0.10204081632653061</v>
      </c>
      <c r="AJ35" s="183">
        <f ca="1">MIN(25%,(TblConstr[[#This Row],[Tot Fac]]+TblConstr[[#This Row],[Dest Fac]])/TblConstr[[#This Row],[Land]])</f>
        <v>0.10204081632653061</v>
      </c>
      <c r="AK35" s="97">
        <f ca="1">TblProd[[#This Row],[Platinum]]</f>
        <v>31118</v>
      </c>
      <c r="AL35" s="97">
        <f ca="1">TblProd[[#This Row],[Lumber]]</f>
        <v>8192</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97">
        <f ca="1">ROUNDDOWN( MAX(1 - MIN(facs_constr_factor*TblConstr[[#This Row],[Facs -DB]],facs_constr_max) + tech_1_11*TblTech[[#This Row],[11-1]] + tech_6_3_2*TblTech[[#This Row],[6-3]] + tech_5_2_3*TblTech[[#This Row],[5-2]], 1-global_constr_cap) * TblConstr[[#This Row],[RCPA Lumber]],0)</f>
        <v>64</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97">
        <f ca="1">ROUNDDOWN( MAX(1 - MIN(facs_constr_factor*TblConstr[[#This Row],[Facs DB]],facs_constr_max) + tech_1_11*TblTech[[#This Row],[1-11]] + tech_6_3_2*TblTech[[#This Row],[6-3]] + tech_5_2_3*TblTech[[#This Row],[5-2]], 1-global_constr_cap) * ROUND((TblConstr[[#This Row],[Land]]-250)*0.285 + 87.5 + 0/4.25,0),0)</f>
        <v>64</v>
      </c>
      <c r="AQ35" s="45">
        <f ca="1">TblConstr[[#This Row],[build -db]]*TblConstr[[#This Row],[CPA Platinum -DB]] + TblConstr[[#This Row],[build db]]*TblConstr[[#This Row],[CPA Platinum DB]]</f>
        <v>4932</v>
      </c>
      <c r="AR35" s="45">
        <f ca="1">TblConstr[[#This Row],[build -db]]*TblConstr[[#This Row],[CPA Lumber -DB]]+TblConstr[[#This Row],[build db]]*TblConstr[[#This Row],[CPA Lumber DB]]</f>
        <v>768</v>
      </c>
      <c r="AS35" s="97">
        <f ca="1">MIN(SUM(OFFSET(TblConstr[[#This Row],[Plain]:[Water]],-1,0))+SUM(TblConstr[[#This Row],[Dest Hom]:[Dest Doc]])+IF(TblConstr[[#This Row],[Hour]]&gt;12,SUM(OFFSET(TblExplore[[#This Row],[Plains Explore]:[Water Explore]],-12,0)),0),SUM(TblConstr[[#This Row],[Hom]:[Doc]]))</f>
        <v>12</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1028</v>
      </c>
      <c r="AW35" s="97">
        <f ca="1">ROUND((TblConstr[[#This Row],[Land]]-250 - IF(TblExplore[[#This Row],[Land Bonus]]&lt;&gt;0,20,0))*0.285 + 87.5 + 0/4.25,0)</f>
        <v>128</v>
      </c>
      <c r="AX35" s="157"/>
      <c r="AY35" s="191" cm="1">
        <f t="array" aca="1" ref="AY35" ca="1">IF(TblConstr[[#This Row],[Hour]:[Hour]]&gt;12,OFFSET(TblConstr[[#This Row],[Hom]],-12,0),0)+OFFSET(TblConstr[[#This Row],[Tot Hom]],-1,0)-TblConstr[[#This Row],[Dest Hom]]</f>
        <v>0</v>
      </c>
      <c r="AZ35" s="192" cm="1">
        <f t="array" aca="1" ref="AZ35" ca="1">IF(TblConstr[[#This Row],[Hour]:[Hour]]&gt;12,OFFSET(TblConstr[[#This Row],[Alc]],-12,0),0)+OFFSET(TblConstr[[#This Row],[Tot Alc]],-1,0)-TblConstr[[#This Row],[Dest Alc]]</f>
        <v>137</v>
      </c>
      <c r="BA35" s="192" cm="1">
        <f t="array" aca="1" ref="BA35" ca="1">IF(TblConstr[[#This Row],[Hour]:[Hour]]&gt;12,OFFSET(TblConstr[[#This Row],[Far]],-12,0),0)+OFFSET(TblConstr[[#This Row],[Tot Farm]],-1,0)-TblConstr[[#This Row],[Dest Farm]]</f>
        <v>6</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23</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40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18</v>
      </c>
      <c r="BM35" s="395" cm="1">
        <f t="array" aca="1" ref="BM35" ca="1">IF(TblConstr[[#This Row],[Hour]:[Hour]]&gt;12,OFFSET(TblConstr[[#This Row],[Tem]],-12,0),0)+OFFSET(TblConstr[[#This Row],[Tot Tem]],-1,0)-TblConstr[[#This Row],[Dest Tem]]</f>
        <v>47</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5</v>
      </c>
      <c r="BR35" s="145"/>
      <c r="BS35" s="157"/>
      <c r="BT35" s="97">
        <f ca="1">TblConstr[[#This Row],[Land]]</f>
        <v>392</v>
      </c>
      <c r="BU35" s="162">
        <f ca="1">TblImps[[#This Row],[Time]]</f>
        <v>45431.041666666591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237</v>
      </c>
      <c r="DA35" s="97">
        <f t="shared" ca="1" si="4"/>
        <v>25</v>
      </c>
      <c r="DB35" s="45">
        <f t="shared" ca="1" si="5"/>
        <v>0</v>
      </c>
      <c r="DC35" s="97">
        <f t="shared" ca="1" si="6"/>
        <v>54</v>
      </c>
      <c r="DD35" s="97">
        <f t="shared" ca="1" si="7"/>
        <v>66</v>
      </c>
      <c r="DE35" s="45">
        <f t="shared" ca="1" si="8"/>
        <v>0</v>
      </c>
      <c r="DF35" s="97">
        <f t="shared" ca="1" si="9"/>
        <v>10</v>
      </c>
      <c r="DG35" s="97" cm="1">
        <f t="array" aca="1" ref="DG35" ca="1">INDEX(TblConstr[[Total Plain]:[Total Water]],ROW()-ROW(TblConstr[#Headers]),MATCH("Total "&amp;home_land,TblConstr[[#Headers],[Total Plain]:[Total Water]],0))+TblConstr[[#This Row],[Homes]]</f>
        <v>0</v>
      </c>
      <c r="DH35" s="45">
        <f t="shared" ca="1" si="10"/>
        <v>0</v>
      </c>
      <c r="DI35" s="45">
        <f t="shared" ca="1" si="0"/>
        <v>0</v>
      </c>
      <c r="DJ35" s="45">
        <f t="shared" ca="1" si="1"/>
        <v>0</v>
      </c>
    </row>
    <row r="36" spans="1:114" x14ac:dyDescent="0.2">
      <c r="A36" s="178">
        <f>TblRezone[[#This Row],[Hour]]</f>
        <v>33</v>
      </c>
      <c r="B36" s="179">
        <f ca="1">SUM(TblConstr[[#This Row],[Plain]:[Water]])</f>
        <v>0</v>
      </c>
      <c r="C36" s="180">
        <f ca="1">SUM(TblConstr[[#This Row],[Tot Hom]:[Tot Doc]])</f>
        <v>277</v>
      </c>
      <c r="D36" s="180">
        <f t="shared" si="2"/>
        <v>127</v>
      </c>
      <c r="E36" s="181"/>
      <c r="F36" s="62">
        <f ca="1">TblConstr[[#This Row],[Barren]]+TblConstr[[#This Row],[Buildings]]+TblConstr[[#This Row],[Incoming]]</f>
        <v>404</v>
      </c>
      <c r="G36" s="190">
        <f ca="1">OFFSET(TblConstr[[#This Row],[Plain]],-1,0)+TblConstr[[#This Row],[Ch_Plain]]</f>
        <v>0</v>
      </c>
      <c r="H36" s="185">
        <f ca="1">OFFSET(TblConstr[[#This Row],[Forest]],-1,0)+TblConstr[[#This Row],[Ch_Forest]]</f>
        <v>0</v>
      </c>
      <c r="I36" s="385">
        <f ca="1">OFFSET(TblConstr[[#This Row],[Mountain]],-1,0)+TblConstr[[#This Row],[Ch_Mountain]]</f>
        <v>0</v>
      </c>
      <c r="J36" s="389">
        <f ca="1">OFFSET(TblConstr[[#This Row],[Hill]],-1,0)+TblConstr[[#This Row],[Ch_Hill]]</f>
        <v>0</v>
      </c>
      <c r="K36" s="393">
        <f ca="1">OFFSET(TblConstr[[#This Row],[Swamp]],-1,0)+TblConstr[[#This Row],[Ch_Swamp]]</f>
        <v>0</v>
      </c>
      <c r="L36" s="188">
        <f ca="1">OFFSET(TblConstr[[#This Row],[Cavern]],-1,0)+TblConstr[[#This Row],[Ch_Cavern]]</f>
        <v>0</v>
      </c>
      <c r="M36" s="189">
        <f ca="1">OFFSET(TblConstr[[#This Row],[Water]],-1,0)+TblConstr[[#This Row],[Ch_Water]]</f>
        <v>0</v>
      </c>
      <c r="N36" s="383">
        <f>TblRezone[[#This Row],[Hour]]</f>
        <v>33</v>
      </c>
      <c r="O36" s="182"/>
      <c r="P36" s="182"/>
      <c r="Q36" s="182">
        <v>5</v>
      </c>
      <c r="R36" s="182"/>
      <c r="S36" s="182"/>
      <c r="T36" s="182"/>
      <c r="U36" s="182"/>
      <c r="V36" s="182"/>
      <c r="W36" s="182"/>
      <c r="X36" s="182">
        <v>1</v>
      </c>
      <c r="Y36" s="182"/>
      <c r="Z36" s="182"/>
      <c r="AA36" s="182"/>
      <c r="AB36" s="182">
        <v>6</v>
      </c>
      <c r="AC36" s="182"/>
      <c r="AD36" s="182"/>
      <c r="AE36" s="182"/>
      <c r="AF36" s="182"/>
      <c r="AG36" s="182"/>
      <c r="AH36" s="53">
        <f ca="1">TblImps[[#This Row],[Time]]</f>
        <v>45431.083333333256</v>
      </c>
      <c r="AI36" s="183">
        <f ca="1">MIN(25%,(TblConstr[[#This Row],[Tot Fac]]+TblConstr[[#This Row],[Dest Fac]])/(TblConstr[[#This Row],[Land]]-TblExplore[[#This Row],[Land Bonus]]*20))</f>
        <v>0.10148514851485149</v>
      </c>
      <c r="AJ36" s="183">
        <f ca="1">MIN(25%,(TblConstr[[#This Row],[Tot Fac]]+TblConstr[[#This Row],[Dest Fac]])/TblConstr[[#This Row],[Land]])</f>
        <v>0.10148514851485149</v>
      </c>
      <c r="AK36" s="97">
        <f ca="1">TblProd[[#This Row],[Platinum]]</f>
        <v>36027</v>
      </c>
      <c r="AL36" s="97">
        <f ca="1">TblProd[[#This Row],[Lumber]]</f>
        <v>8365</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97">
        <f ca="1">ROUNDDOWN( MAX(1 - MIN(facs_constr_factor*TblConstr[[#This Row],[Facs -DB]],facs_constr_max) + tech_1_11*TblTech[[#This Row],[11-1]] + tech_6_3_2*TblTech[[#This Row],[6-3]] + tech_5_2_3*TblTech[[#This Row],[5-2]], 1-global_constr_cap) * TblConstr[[#This Row],[RCPA Lumber]],0)</f>
        <v>65</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97">
        <f ca="1">ROUNDDOWN( MAX(1 - MIN(facs_constr_factor*TblConstr[[#This Row],[Facs DB]],facs_constr_max) + tech_1_11*TblTech[[#This Row],[1-11]] + tech_6_3_2*TblTech[[#This Row],[6-3]] + tech_5_2_3*TblTech[[#This Row],[5-2]], 1-global_constr_cap) * ROUND((TblConstr[[#This Row],[Land]]-250)*0.285 + 87.5 + 0/4.25,0),0)</f>
        <v>65</v>
      </c>
      <c r="AQ36" s="45">
        <f ca="1">TblConstr[[#This Row],[build -db]]*TblConstr[[#This Row],[CPA Platinum -DB]] + TblConstr[[#This Row],[build db]]*TblConstr[[#This Row],[CPA Platinum DB]]</f>
        <v>5004</v>
      </c>
      <c r="AR36" s="45">
        <f ca="1">TblConstr[[#This Row],[build -db]]*TblConstr[[#This Row],[CPA Lumber -DB]]+TblConstr[[#This Row],[build db]]*TblConstr[[#This Row],[CPA Lumber DB]]</f>
        <v>780</v>
      </c>
      <c r="AS36" s="97">
        <f ca="1">MIN(SUM(OFFSET(TblConstr[[#This Row],[Plain]:[Water]],-1,0))+SUM(TblConstr[[#This Row],[Dest Hom]:[Dest Doc]])+IF(TblConstr[[#This Row],[Hour]]&gt;12,SUM(OFFSET(TblExplore[[#This Row],[Plains Explore]:[Water Explore]],-12,0)),0),SUM(TblConstr[[#This Row],[Hom]:[Doc]]))</f>
        <v>12</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1043</v>
      </c>
      <c r="AW36" s="97">
        <f ca="1">ROUND((TblConstr[[#This Row],[Land]]-250 - IF(TblExplore[[#This Row],[Land Bonus]]&lt;&gt;0,20,0))*0.285 + 87.5 + 0/4.25,0)</f>
        <v>131</v>
      </c>
      <c r="AX36" s="157"/>
      <c r="AY36" s="191" cm="1">
        <f t="array" aca="1" ref="AY36" ca="1">IF(TblConstr[[#This Row],[Hour]:[Hour]]&gt;12,OFFSET(TblConstr[[#This Row],[Hom]],-12,0),0)+OFFSET(TblConstr[[#This Row],[Tot Hom]],-1,0)-TblConstr[[#This Row],[Dest Hom]]</f>
        <v>0</v>
      </c>
      <c r="AZ36" s="192" cm="1">
        <f t="array" aca="1" ref="AZ36" ca="1">IF(TblConstr[[#This Row],[Hour]:[Hour]]&gt;12,OFFSET(TblConstr[[#This Row],[Alc]],-12,0),0)+OFFSET(TblConstr[[#This Row],[Tot Alc]],-1,0)-TblConstr[[#This Row],[Dest Alc]]</f>
        <v>137</v>
      </c>
      <c r="BA36" s="192" cm="1">
        <f t="array" aca="1" ref="BA36" ca="1">IF(TblConstr[[#This Row],[Hour]:[Hour]]&gt;12,OFFSET(TblConstr[[#This Row],[Far]],-12,0),0)+OFFSET(TblConstr[[#This Row],[Tot Farm]],-1,0)-TblConstr[[#This Row],[Dest Farm]]</f>
        <v>6</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23</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41</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18</v>
      </c>
      <c r="BM36" s="395" cm="1">
        <f t="array" aca="1" ref="BM36" ca="1">IF(TblConstr[[#This Row],[Hour]:[Hour]]&gt;12,OFFSET(TblConstr[[#This Row],[Tem]],-12,0),0)+OFFSET(TblConstr[[#This Row],[Tot Tem]],-1,0)-TblConstr[[#This Row],[Dest Tem]]</f>
        <v>47</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5</v>
      </c>
      <c r="BR36" s="145"/>
      <c r="BS36" s="157"/>
      <c r="BT36" s="97">
        <f ca="1">TblConstr[[#This Row],[Land]]</f>
        <v>404</v>
      </c>
      <c r="BU36" s="162">
        <f ca="1">TblImps[[#This Row],[Time]]</f>
        <v>45431.083333333256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242</v>
      </c>
      <c r="DA36" s="97">
        <f t="shared" ca="1" si="4"/>
        <v>25</v>
      </c>
      <c r="DB36" s="45">
        <f t="shared" ca="1" si="5"/>
        <v>0</v>
      </c>
      <c r="DC36" s="97">
        <f t="shared" ca="1" si="6"/>
        <v>55</v>
      </c>
      <c r="DD36" s="97">
        <f t="shared" ca="1" si="7"/>
        <v>72</v>
      </c>
      <c r="DE36" s="45">
        <f t="shared" ca="1" si="8"/>
        <v>0</v>
      </c>
      <c r="DF36" s="97">
        <f t="shared" ca="1" si="9"/>
        <v>10</v>
      </c>
      <c r="DG36" s="97" cm="1">
        <f t="array" aca="1" ref="DG36" ca="1">INDEX(TblConstr[[Total Plain]:[Total Water]],ROW()-ROW(TblConstr[#Headers]),MATCH("Total "&amp;home_land,TblConstr[[#Headers],[Total Plain]:[Total Water]],0))+TblConstr[[#This Row],[Homes]]</f>
        <v>0</v>
      </c>
      <c r="DH36" s="45">
        <f t="shared" ca="1" si="10"/>
        <v>0</v>
      </c>
      <c r="DI36" s="45">
        <f t="shared" ca="1" si="0"/>
        <v>0</v>
      </c>
      <c r="DJ36" s="45">
        <f t="shared" ca="1" si="1"/>
        <v>0</v>
      </c>
    </row>
    <row r="37" spans="1:114" x14ac:dyDescent="0.2">
      <c r="A37" s="178">
        <f>TblRezone[[#This Row],[Hour]]</f>
        <v>34</v>
      </c>
      <c r="B37" s="179">
        <f ca="1">SUM(TblConstr[[#This Row],[Plain]:[Water]])</f>
        <v>0</v>
      </c>
      <c r="C37" s="180">
        <f ca="1">SUM(TblConstr[[#This Row],[Tot Hom]:[Tot Doc]])</f>
        <v>278</v>
      </c>
      <c r="D37" s="180">
        <f t="shared" si="2"/>
        <v>129</v>
      </c>
      <c r="E37" s="181"/>
      <c r="F37" s="62">
        <f ca="1">TblConstr[[#This Row],[Barren]]+TblConstr[[#This Row],[Buildings]]+TblConstr[[#This Row],[Incoming]]</f>
        <v>407</v>
      </c>
      <c r="G37" s="190">
        <f ca="1">OFFSET(TblConstr[[#This Row],[Plain]],-1,0)+TblConstr[[#This Row],[Ch_Plain]]</f>
        <v>0</v>
      </c>
      <c r="H37" s="185">
        <f ca="1">OFFSET(TblConstr[[#This Row],[Forest]],-1,0)+TblConstr[[#This Row],[Ch_Forest]]</f>
        <v>0</v>
      </c>
      <c r="I37" s="385">
        <f ca="1">OFFSET(TblConstr[[#This Row],[Mountain]],-1,0)+TblConstr[[#This Row],[Ch_Mountain]]</f>
        <v>0</v>
      </c>
      <c r="J37" s="389">
        <f ca="1">OFFSET(TblConstr[[#This Row],[Hill]],-1,0)+TblConstr[[#This Row],[Ch_Hill]]</f>
        <v>0</v>
      </c>
      <c r="K37" s="393">
        <f ca="1">OFFSET(TblConstr[[#This Row],[Swamp]],-1,0)+TblConstr[[#This Row],[Ch_Swamp]]</f>
        <v>0</v>
      </c>
      <c r="L37" s="188">
        <f ca="1">OFFSET(TblConstr[[#This Row],[Cavern]],-1,0)+TblConstr[[#This Row],[Ch_Cavern]]</f>
        <v>0</v>
      </c>
      <c r="M37" s="189">
        <f ca="1">OFFSET(TblConstr[[#This Row],[Water]],-1,0)+TblConstr[[#This Row],[Ch_Water]]</f>
        <v>0</v>
      </c>
      <c r="N37" s="383">
        <f>TblRezone[[#This Row],[Hour]]</f>
        <v>34</v>
      </c>
      <c r="O37" s="182"/>
      <c r="P37" s="182"/>
      <c r="Q37" s="182">
        <v>2</v>
      </c>
      <c r="R37" s="182"/>
      <c r="S37" s="182"/>
      <c r="T37" s="182"/>
      <c r="U37" s="182"/>
      <c r="V37" s="182"/>
      <c r="W37" s="182"/>
      <c r="X37" s="182">
        <v>1</v>
      </c>
      <c r="Y37" s="182"/>
      <c r="Z37" s="182"/>
      <c r="AA37" s="182"/>
      <c r="AB37" s="182"/>
      <c r="AC37" s="182"/>
      <c r="AD37" s="182"/>
      <c r="AE37" s="182"/>
      <c r="AF37" s="182"/>
      <c r="AG37" s="182"/>
      <c r="AH37" s="53">
        <f ca="1">TblImps[[#This Row],[Time]]</f>
        <v>45431.12499999992</v>
      </c>
      <c r="AI37" s="183">
        <f ca="1">MIN(25%,(TblConstr[[#This Row],[Tot Fac]]+TblConstr[[#This Row],[Dest Fac]])/(TblConstr[[#This Row],[Land]]-TblExplore[[#This Row],[Land Bonus]]*20))</f>
        <v>0.10319410319410319</v>
      </c>
      <c r="AJ37" s="183">
        <f ca="1">MIN(25%,(TblConstr[[#This Row],[Tot Fac]]+TblConstr[[#This Row],[Dest Fac]])/TblConstr[[#This Row],[Land]])</f>
        <v>0.10319410319410319</v>
      </c>
      <c r="AK37" s="97">
        <f ca="1">TblProd[[#This Row],[Platinum]]</f>
        <v>43944</v>
      </c>
      <c r="AL37" s="97">
        <f ca="1">TblProd[[#This Row],[Lumber]]</f>
        <v>9118</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97">
        <f ca="1">ROUNDDOWN( MAX(1 - MIN(facs_constr_factor*TblConstr[[#This Row],[Facs -DB]],facs_constr_max) + tech_1_11*TblTech[[#This Row],[11-1]] + tech_6_3_2*TblTech[[#This Row],[6-3]] + tech_5_2_3*TblTech[[#This Row],[5-2]], 1-global_constr_cap) * TblConstr[[#This Row],[RCPA Lumber]],0)</f>
        <v>66</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97">
        <f ca="1">ROUNDDOWN( MAX(1 - MIN(facs_constr_factor*TblConstr[[#This Row],[Facs DB]],facs_constr_max) + tech_1_11*TblTech[[#This Row],[1-11]] + tech_6_3_2*TblTech[[#This Row],[6-3]] + tech_5_2_3*TblTech[[#This Row],[5-2]], 1-global_constr_cap) * ROUND((TblConstr[[#This Row],[Land]]-250)*0.285 + 87.5 + 0/4.25,0),0)</f>
        <v>66</v>
      </c>
      <c r="AQ37" s="45">
        <f ca="1">TblConstr[[#This Row],[build -db]]*TblConstr[[#This Row],[CPA Platinum -DB]] + TblConstr[[#This Row],[build db]]*TblConstr[[#This Row],[CPA Platinum DB]]</f>
        <v>1254</v>
      </c>
      <c r="AR37" s="45">
        <f ca="1">TblConstr[[#This Row],[build -db]]*TblConstr[[#This Row],[CPA Lumber -DB]]+TblConstr[[#This Row],[build db]]*TblConstr[[#This Row],[CPA Lumber DB]]</f>
        <v>198</v>
      </c>
      <c r="AS37" s="97">
        <f ca="1">MIN(SUM(OFFSET(TblConstr[[#This Row],[Plain]:[Water]],-1,0))+SUM(TblConstr[[#This Row],[Dest Hom]:[Dest Doc]])+IF(TblConstr[[#This Row],[Hour]]&gt;12,SUM(OFFSET(TblExplore[[#This Row],[Plains Explore]:[Water Explore]],-12,0)),0),SUM(TblConstr[[#This Row],[Hom]:[Doc]]))</f>
        <v>3</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1046</v>
      </c>
      <c r="AW37" s="97">
        <f ca="1">ROUND((TblConstr[[#This Row],[Land]]-250 - IF(TblExplore[[#This Row],[Land Bonus]]&lt;&gt;0,20,0))*0.285 + 87.5 + 0/4.25,0)</f>
        <v>132</v>
      </c>
      <c r="AX37" s="157"/>
      <c r="AY37" s="191" cm="1">
        <f t="array" aca="1" ref="AY37" ca="1">IF(TblConstr[[#This Row],[Hour]:[Hour]]&gt;12,OFFSET(TblConstr[[#This Row],[Hom]],-12,0),0)+OFFSET(TblConstr[[#This Row],[Tot Hom]],-1,0)-TblConstr[[#This Row],[Dest Hom]]</f>
        <v>0</v>
      </c>
      <c r="AZ37" s="192" cm="1">
        <f t="array" aca="1" ref="AZ37" ca="1">IF(TblConstr[[#This Row],[Hour]:[Hour]]&gt;12,OFFSET(TblConstr[[#This Row],[Alc]],-12,0),0)+OFFSET(TblConstr[[#This Row],[Tot Alc]],-1,0)-TblConstr[[#This Row],[Dest Alc]]</f>
        <v>137</v>
      </c>
      <c r="BA37" s="192" cm="1">
        <f t="array" aca="1" ref="BA37" ca="1">IF(TblConstr[[#This Row],[Hour]:[Hour]]&gt;12,OFFSET(TblConstr[[#This Row],[Far]],-12,0),0)+OFFSET(TblConstr[[#This Row],[Tot Farm]],-1,0)-TblConstr[[#This Row],[Dest Farm]]</f>
        <v>6</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23</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42</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18</v>
      </c>
      <c r="BM37" s="395" cm="1">
        <f t="array" aca="1" ref="BM37" ca="1">IF(TblConstr[[#This Row],[Hour]:[Hour]]&gt;12,OFFSET(TblConstr[[#This Row],[Tem]],-12,0),0)+OFFSET(TblConstr[[#This Row],[Tot Tem]],-1,0)-TblConstr[[#This Row],[Dest Tem]]</f>
        <v>47</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5</v>
      </c>
      <c r="BR37" s="145"/>
      <c r="BS37" s="157"/>
      <c r="BT37" s="97">
        <f ca="1">TblConstr[[#This Row],[Land]]</f>
        <v>407</v>
      </c>
      <c r="BU37" s="162">
        <f ca="1">TblImps[[#This Row],[Time]]</f>
        <v>45431.12499999992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244</v>
      </c>
      <c r="DA37" s="97">
        <f t="shared" ca="1" si="4"/>
        <v>25</v>
      </c>
      <c r="DB37" s="45">
        <f t="shared" ca="1" si="5"/>
        <v>0</v>
      </c>
      <c r="DC37" s="97">
        <f t="shared" ca="1" si="6"/>
        <v>56</v>
      </c>
      <c r="DD37" s="97">
        <f t="shared" ca="1" si="7"/>
        <v>72</v>
      </c>
      <c r="DE37" s="45">
        <f t="shared" ca="1" si="8"/>
        <v>0</v>
      </c>
      <c r="DF37" s="97">
        <f t="shared" ca="1" si="9"/>
        <v>10</v>
      </c>
      <c r="DG37" s="97" cm="1">
        <f t="array" aca="1" ref="DG37" ca="1">INDEX(TblConstr[[Total Plain]:[Total Water]],ROW()-ROW(TblConstr[#Headers]),MATCH("Total "&amp;home_land,TblConstr[[#Headers],[Total Plain]:[Total Water]],0))+TblConstr[[#This Row],[Homes]]</f>
        <v>0</v>
      </c>
      <c r="DH37" s="45">
        <f t="shared" ca="1" si="10"/>
        <v>0</v>
      </c>
      <c r="DI37" s="45">
        <f t="shared" ca="1" si="0"/>
        <v>0</v>
      </c>
      <c r="DJ37" s="45">
        <f t="shared" ca="1" si="1"/>
        <v>0</v>
      </c>
    </row>
    <row r="38" spans="1:114" x14ac:dyDescent="0.2">
      <c r="A38" s="178">
        <f>TblRezone[[#This Row],[Hour]]</f>
        <v>35</v>
      </c>
      <c r="B38" s="179">
        <f ca="1">SUM(TblConstr[[#This Row],[Plain]:[Water]])</f>
        <v>0</v>
      </c>
      <c r="C38" s="180">
        <f ca="1">SUM(TblConstr[[#This Row],[Tot Hom]:[Tot Doc]])</f>
        <v>279</v>
      </c>
      <c r="D38" s="180">
        <f t="shared" si="2"/>
        <v>130</v>
      </c>
      <c r="E38" s="181"/>
      <c r="F38" s="62">
        <f ca="1">TblConstr[[#This Row],[Barren]]+TblConstr[[#This Row],[Buildings]]+TblConstr[[#This Row],[Incoming]]</f>
        <v>409</v>
      </c>
      <c r="G38" s="190">
        <f ca="1">OFFSET(TblConstr[[#This Row],[Plain]],-1,0)+TblConstr[[#This Row],[Ch_Plain]]</f>
        <v>0</v>
      </c>
      <c r="H38" s="185">
        <f ca="1">OFFSET(TblConstr[[#This Row],[Forest]],-1,0)+TblConstr[[#This Row],[Ch_Forest]]</f>
        <v>0</v>
      </c>
      <c r="I38" s="385">
        <f ca="1">OFFSET(TblConstr[[#This Row],[Mountain]],-1,0)+TblConstr[[#This Row],[Ch_Mountain]]</f>
        <v>0</v>
      </c>
      <c r="J38" s="389">
        <f ca="1">OFFSET(TblConstr[[#This Row],[Hill]],-1,0)+TblConstr[[#This Row],[Ch_Hill]]</f>
        <v>0</v>
      </c>
      <c r="K38" s="393">
        <f ca="1">OFFSET(TblConstr[[#This Row],[Swamp]],-1,0)+TblConstr[[#This Row],[Ch_Swamp]]</f>
        <v>0</v>
      </c>
      <c r="L38" s="188">
        <f ca="1">OFFSET(TblConstr[[#This Row],[Cavern]],-1,0)+TblConstr[[#This Row],[Ch_Cavern]]</f>
        <v>0</v>
      </c>
      <c r="M38" s="189">
        <f ca="1">OFFSET(TblConstr[[#This Row],[Water]],-1,0)+TblConstr[[#This Row],[Ch_Water]]</f>
        <v>0</v>
      </c>
      <c r="N38" s="383">
        <f>TblRezone[[#This Row],[Hour]]</f>
        <v>35</v>
      </c>
      <c r="O38" s="182"/>
      <c r="P38" s="182"/>
      <c r="Q38" s="182">
        <v>1</v>
      </c>
      <c r="R38" s="182"/>
      <c r="S38" s="182"/>
      <c r="T38" s="182"/>
      <c r="U38" s="182"/>
      <c r="V38" s="182"/>
      <c r="W38" s="182"/>
      <c r="X38" s="182">
        <v>1</v>
      </c>
      <c r="Y38" s="182"/>
      <c r="Z38" s="182"/>
      <c r="AA38" s="182"/>
      <c r="AB38" s="182"/>
      <c r="AC38" s="182"/>
      <c r="AD38" s="182"/>
      <c r="AE38" s="182"/>
      <c r="AF38" s="161"/>
      <c r="AG38" s="182"/>
      <c r="AH38" s="53">
        <f ca="1">TblImps[[#This Row],[Time]]</f>
        <v>45431.166666666584</v>
      </c>
      <c r="AI38" s="183">
        <f ca="1">MIN(25%,(TblConstr[[#This Row],[Tot Fac]]+TblConstr[[#This Row],[Dest Fac]])/(TblConstr[[#This Row],[Land]]-TblExplore[[#This Row],[Land Bonus]]*20))</f>
        <v>0.10513447432762836</v>
      </c>
      <c r="AJ38" s="183">
        <f ca="1">MIN(25%,(TblConstr[[#This Row],[Tot Fac]]+TblConstr[[#This Row],[Dest Fac]])/TblConstr[[#This Row],[Land]])</f>
        <v>0.10513447432762836</v>
      </c>
      <c r="AK38" s="97">
        <f ca="1">TblProd[[#This Row],[Platinum]]</f>
        <v>51273</v>
      </c>
      <c r="AL38" s="97">
        <f ca="1">TblProd[[#This Row],[Lumber]]</f>
        <v>9930</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97">
        <f ca="1">ROUNDDOWN( MAX(1 - MIN(facs_constr_factor*TblConstr[[#This Row],[Facs -DB]],facs_constr_max) + tech_1_11*TblTech[[#This Row],[11-1]] + tech_6_3_2*TblTech[[#This Row],[6-3]] + tech_5_2_3*TblTech[[#This Row],[5-2]], 1-global_constr_cap) * TblConstr[[#This Row],[RCPA Lumber]],0)</f>
        <v>66</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97">
        <f ca="1">ROUNDDOWN( MAX(1 - MIN(facs_constr_factor*TblConstr[[#This Row],[Facs DB]],facs_constr_max) + tech_1_11*TblTech[[#This Row],[1-11]] + tech_6_3_2*TblTech[[#This Row],[6-3]] + tech_5_2_3*TblTech[[#This Row],[5-2]], 1-global_constr_cap) * ROUND((TblConstr[[#This Row],[Land]]-250)*0.285 + 87.5 + 0/4.25,0),0)</f>
        <v>66</v>
      </c>
      <c r="AQ38" s="45">
        <f ca="1">TblConstr[[#This Row],[build -db]]*TblConstr[[#This Row],[CPA Platinum -DB]] + TblConstr[[#This Row],[build db]]*TblConstr[[#This Row],[CPA Platinum DB]]</f>
        <v>838</v>
      </c>
      <c r="AR38" s="45">
        <f ca="1">TblConstr[[#This Row],[build -db]]*TblConstr[[#This Row],[CPA Lumber -DB]]+TblConstr[[#This Row],[build db]]*TblConstr[[#This Row],[CPA Lumber DB]]</f>
        <v>132</v>
      </c>
      <c r="AS38" s="97">
        <f ca="1">MIN(SUM(OFFSET(TblConstr[[#This Row],[Plain]:[Water]],-1,0))+SUM(TblConstr[[#This Row],[Dest Hom]:[Dest Doc]])+IF(TblConstr[[#This Row],[Hour]]&gt;12,SUM(OFFSET(TblExplore[[#This Row],[Plains Explore]:[Water Explore]],-12,0)),0),SUM(TblConstr[[#This Row],[Hom]:[Doc]]))</f>
        <v>2</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1049</v>
      </c>
      <c r="AW38" s="97">
        <f ca="1">ROUND((TblConstr[[#This Row],[Land]]-250 - IF(TblExplore[[#This Row],[Land Bonus]]&lt;&gt;0,20,0))*0.285 + 87.5 + 0/4.25,0)</f>
        <v>133</v>
      </c>
      <c r="AX38" s="157"/>
      <c r="AY38" s="191" cm="1">
        <f t="array" aca="1" ref="AY38" ca="1">IF(TblConstr[[#This Row],[Hour]:[Hour]]&gt;12,OFFSET(TblConstr[[#This Row],[Hom]],-12,0),0)+OFFSET(TblConstr[[#This Row],[Tot Hom]],-1,0)-TblConstr[[#This Row],[Dest Hom]]</f>
        <v>0</v>
      </c>
      <c r="AZ38" s="192" cm="1">
        <f t="array" aca="1" ref="AZ38" ca="1">IF(TblConstr[[#This Row],[Hour]:[Hour]]&gt;12,OFFSET(TblConstr[[#This Row],[Alc]],-12,0),0)+OFFSET(TblConstr[[#This Row],[Tot Alc]],-1,0)-TblConstr[[#This Row],[Dest Alc]]</f>
        <v>137</v>
      </c>
      <c r="BA38" s="192" cm="1">
        <f t="array" aca="1" ref="BA38" ca="1">IF(TblConstr[[#This Row],[Hour]:[Hour]]&gt;12,OFFSET(TblConstr[[#This Row],[Far]],-12,0),0)+OFFSET(TblConstr[[#This Row],[Tot Farm]],-1,0)-TblConstr[[#This Row],[Dest Farm]]</f>
        <v>6</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23</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43</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18</v>
      </c>
      <c r="BM38" s="395" cm="1">
        <f t="array" aca="1" ref="BM38" ca="1">IF(TblConstr[[#This Row],[Hour]:[Hour]]&gt;12,OFFSET(TblConstr[[#This Row],[Tem]],-12,0),0)+OFFSET(TblConstr[[#This Row],[Tot Tem]],-1,0)-TblConstr[[#This Row],[Dest Tem]]</f>
        <v>47</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5</v>
      </c>
      <c r="BR38" s="145"/>
      <c r="BS38" s="157"/>
      <c r="BT38" s="97">
        <f ca="1">TblConstr[[#This Row],[Land]]</f>
        <v>409</v>
      </c>
      <c r="BU38" s="162">
        <f ca="1">TblImps[[#This Row],[Time]]</f>
        <v>45431.166666666584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245</v>
      </c>
      <c r="DA38" s="97">
        <f t="shared" ca="1" si="4"/>
        <v>25</v>
      </c>
      <c r="DB38" s="45">
        <f t="shared" ca="1" si="5"/>
        <v>0</v>
      </c>
      <c r="DC38" s="97">
        <f t="shared" ca="1" si="6"/>
        <v>57</v>
      </c>
      <c r="DD38" s="97">
        <f t="shared" ca="1" si="7"/>
        <v>72</v>
      </c>
      <c r="DE38" s="45">
        <f t="shared" ca="1" si="8"/>
        <v>0</v>
      </c>
      <c r="DF38" s="97">
        <f t="shared" ca="1" si="9"/>
        <v>10</v>
      </c>
      <c r="DG38" s="97" cm="1">
        <f t="array" aca="1" ref="DG38" ca="1">INDEX(TblConstr[[Total Plain]:[Total Water]],ROW()-ROW(TblConstr[#Headers]),MATCH("Total "&amp;home_land,TblConstr[[#Headers],[Total Plain]:[Total Water]],0))+TblConstr[[#This Row],[Homes]]</f>
        <v>0</v>
      </c>
      <c r="DH38" s="45">
        <f t="shared" ca="1" si="10"/>
        <v>0</v>
      </c>
      <c r="DI38" s="45">
        <f t="shared" ca="1" si="0"/>
        <v>0</v>
      </c>
      <c r="DJ38" s="45">
        <f t="shared" ca="1" si="1"/>
        <v>0</v>
      </c>
    </row>
    <row r="39" spans="1:114" x14ac:dyDescent="0.2">
      <c r="A39" s="178">
        <f>TblRezone[[#This Row],[Hour]]</f>
        <v>36</v>
      </c>
      <c r="B39" s="179">
        <f ca="1">SUM(TblConstr[[#This Row],[Plain]:[Water]])</f>
        <v>0</v>
      </c>
      <c r="C39" s="180">
        <f ca="1">SUM(TblConstr[[#This Row],[Tot Hom]:[Tot Doc]])</f>
        <v>299</v>
      </c>
      <c r="D39" s="180">
        <f t="shared" si="2"/>
        <v>120</v>
      </c>
      <c r="E39" s="181"/>
      <c r="F39" s="62">
        <f ca="1">TblConstr[[#This Row],[Barren]]+TblConstr[[#This Row],[Buildings]]+TblConstr[[#This Row],[Incoming]]</f>
        <v>419</v>
      </c>
      <c r="G39" s="190">
        <f ca="1">OFFSET(TblConstr[[#This Row],[Plain]],-1,0)+TblConstr[[#This Row],[Ch_Plain]]</f>
        <v>0</v>
      </c>
      <c r="H39" s="185">
        <f ca="1">OFFSET(TblConstr[[#This Row],[Forest]],-1,0)+TblConstr[[#This Row],[Ch_Forest]]</f>
        <v>0</v>
      </c>
      <c r="I39" s="385">
        <f ca="1">OFFSET(TblConstr[[#This Row],[Mountain]],-1,0)+TblConstr[[#This Row],[Ch_Mountain]]</f>
        <v>0</v>
      </c>
      <c r="J39" s="389">
        <f ca="1">OFFSET(TblConstr[[#This Row],[Hill]],-1,0)+TblConstr[[#This Row],[Ch_Hill]]</f>
        <v>0</v>
      </c>
      <c r="K39" s="393">
        <f ca="1">OFFSET(TblConstr[[#This Row],[Swamp]],-1,0)+TblConstr[[#This Row],[Ch_Swamp]]</f>
        <v>0</v>
      </c>
      <c r="L39" s="188">
        <f ca="1">OFFSET(TblConstr[[#This Row],[Cavern]],-1,0)+TblConstr[[#This Row],[Ch_Cavern]]</f>
        <v>0</v>
      </c>
      <c r="M39" s="189">
        <f ca="1">OFFSET(TblConstr[[#This Row],[Water]],-1,0)+TblConstr[[#This Row],[Ch_Water]]</f>
        <v>0</v>
      </c>
      <c r="N39" s="383">
        <f>TblRezone[[#This Row],[Hour]]</f>
        <v>36</v>
      </c>
      <c r="O39" s="182"/>
      <c r="P39" s="161"/>
      <c r="Q39" s="182"/>
      <c r="R39" s="182"/>
      <c r="S39" s="182"/>
      <c r="T39" s="182"/>
      <c r="U39" s="182"/>
      <c r="V39" s="182"/>
      <c r="W39" s="182"/>
      <c r="X39" s="182">
        <v>10</v>
      </c>
      <c r="Y39" s="182"/>
      <c r="Z39" s="182"/>
      <c r="AA39" s="182"/>
      <c r="AB39" s="182"/>
      <c r="AC39" s="182"/>
      <c r="AD39" s="182"/>
      <c r="AE39" s="182"/>
      <c r="AF39" s="182"/>
      <c r="AG39" s="182"/>
      <c r="AH39" s="53">
        <f ca="1">TblImps[[#This Row],[Time]]</f>
        <v>45431.208333333248</v>
      </c>
      <c r="AI39" s="183">
        <f ca="1">MIN(25%,(TblConstr[[#This Row],[Tot Fac]]+TblConstr[[#This Row],[Dest Fac]])/(TblConstr[[#This Row],[Land]]-TblExplore[[#This Row],[Land Bonus]]*20))</f>
        <v>0.12171837708830549</v>
      </c>
      <c r="AJ39" s="183">
        <f ca="1">MIN(25%,(TblConstr[[#This Row],[Tot Fac]]+TblConstr[[#This Row],[Dest Fac]])/TblConstr[[#This Row],[Land]])</f>
        <v>0.12171837708830549</v>
      </c>
      <c r="AK39" s="97">
        <f ca="1">TblProd[[#This Row],[Platinum]]</f>
        <v>55040</v>
      </c>
      <c r="AL39" s="97">
        <f ca="1">TblProd[[#This Row],[Lumber]]</f>
        <v>10186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97">
        <f ca="1">ROUNDDOWN( MAX(1 - MIN(facs_constr_factor*TblConstr[[#This Row],[Facs -DB]],facs_constr_max) + tech_1_11*TblTech[[#This Row],[11-1]] + tech_6_3_2*TblTech[[#This Row],[6-3]] + tech_5_2_3*TblTech[[#This Row],[5-2]], 1-global_constr_cap) * TblConstr[[#This Row],[RCPA Lumber]],0)</f>
        <v>68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97">
        <f ca="1">ROUNDDOWN( MAX(1 - MIN(facs_constr_factor*TblConstr[[#This Row],[Facs DB]],facs_constr_max) + tech_1_11*TblTech[[#This Row],[1-11]] + tech_6_3_2*TblTech[[#This Row],[6-3]] + tech_5_2_3*TblTech[[#This Row],[5-2]], 1-global_constr_cap) * ROUND((TblConstr[[#This Row],[Land]]-250)*0.285 + 87.5 + 0/4.25,0),0)</f>
        <v>68</v>
      </c>
      <c r="AQ39" s="45">
        <f ca="1">TblConstr[[#This Row],[build -db]]*TblConstr[[#This Row],[CPA Platinum -DB]] + TblConstr[[#This Row],[build db]]*TblConstr[[#This Row],[CPA Platinum DB]]</f>
        <v>4240</v>
      </c>
      <c r="AR39" s="45">
        <f ca="1">TblConstr[[#This Row],[build -db]]*TblConstr[[#This Row],[CPA Lumber -DB]]+TblConstr[[#This Row],[build db]]*TblConstr[[#This Row],[CPA Lumber DB]]</f>
        <v>680</v>
      </c>
      <c r="AS39" s="97">
        <f ca="1">MIN(SUM(OFFSET(TblConstr[[#This Row],[Plain]:[Water]],-1,0))+SUM(TblConstr[[#This Row],[Dest Hom]:[Dest Doc]])+IF(TblConstr[[#This Row],[Hour]]&gt;12,SUM(OFFSET(TblExplore[[#This Row],[Plains Explore]:[Water Explore]],-12,0)),0),SUM(TblConstr[[#This Row],[Hom]:[Doc]]))</f>
        <v>10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1061</v>
      </c>
      <c r="AW39" s="97">
        <f ca="1">ROUND((TblConstr[[#This Row],[Land]]-250 - IF(TblExplore[[#This Row],[Land Bonus]]&lt;&gt;0,20,0))*0.285 + 87.5 + 0/4.25,0)</f>
        <v>136</v>
      </c>
      <c r="AX39" s="157"/>
      <c r="AY39" s="191" cm="1">
        <f t="array" aca="1" ref="AY39" ca="1">IF(TblConstr[[#This Row],[Hour]:[Hour]]&gt;12,OFFSET(TblConstr[[#This Row],[Hom]],-12,0),0)+OFFSET(TblConstr[[#This Row],[Tot Hom]],-1,0)-TblConstr[[#This Row],[Dest Hom]]</f>
        <v>0</v>
      </c>
      <c r="AZ39" s="192" cm="1">
        <f t="array" aca="1" ref="AZ39" ca="1">IF(TblConstr[[#This Row],[Hour]:[Hour]]&gt;12,OFFSET(TblConstr[[#This Row],[Alc]],-12,0),0)+OFFSET(TblConstr[[#This Row],[Tot Alc]],-1,0)-TblConstr[[#This Row],[Dest Alc]]</f>
        <v>147</v>
      </c>
      <c r="BA39" s="192" cm="1">
        <f t="array" aca="1" ref="BA39" ca="1">IF(TblConstr[[#This Row],[Hour]:[Hour]]&gt;12,OFFSET(TblConstr[[#This Row],[Far]],-12,0),0)+OFFSET(TblConstr[[#This Row],[Tot Farm]],-1,0)-TblConstr[[#This Row],[Dest Farm]]</f>
        <v>8</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23</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51</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18</v>
      </c>
      <c r="BM39" s="395" cm="1">
        <f t="array" aca="1" ref="BM39" ca="1">IF(TblConstr[[#This Row],[Hour]:[Hour]]&gt;12,OFFSET(TblConstr[[#This Row],[Tem]],-12,0),0)+OFFSET(TblConstr[[#This Row],[Tot Tem]],-1,0)-TblConstr[[#This Row],[Dest Tem]]</f>
        <v>47</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5</v>
      </c>
      <c r="BR39" s="145"/>
      <c r="BS39" s="157"/>
      <c r="BT39" s="97">
        <f ca="1">TblConstr[[#This Row],[Land]]</f>
        <v>419</v>
      </c>
      <c r="BU39" s="162">
        <f ca="1">TblImps[[#This Row],[Time]]</f>
        <v>45431.208333333248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245</v>
      </c>
      <c r="DA39" s="97">
        <f t="shared" ca="1" si="4"/>
        <v>25</v>
      </c>
      <c r="DB39" s="45">
        <f t="shared" ca="1" si="5"/>
        <v>0</v>
      </c>
      <c r="DC39" s="97">
        <f t="shared" ca="1" si="6"/>
        <v>67</v>
      </c>
      <c r="DD39" s="97">
        <f t="shared" ca="1" si="7"/>
        <v>72</v>
      </c>
      <c r="DE39" s="45">
        <f t="shared" ca="1" si="8"/>
        <v>0</v>
      </c>
      <c r="DF39" s="97">
        <f t="shared" ca="1" si="9"/>
        <v>10</v>
      </c>
      <c r="DG39" s="97" cm="1">
        <f t="array" aca="1" ref="DG39" ca="1">INDEX(TblConstr[[Total Plain]:[Total Water]],ROW()-ROW(TblConstr[#Headers]),MATCH("Total "&amp;home_land,TblConstr[[#Headers],[Total Plain]:[Total Water]],0))+TblConstr[[#This Row],[Homes]]</f>
        <v>0</v>
      </c>
      <c r="DH39" s="45">
        <f t="shared" ca="1" si="10"/>
        <v>0</v>
      </c>
      <c r="DI39" s="45">
        <f t="shared" ca="1" si="0"/>
        <v>2</v>
      </c>
      <c r="DJ39" s="45">
        <f t="shared" ca="1" si="1"/>
        <v>0</v>
      </c>
    </row>
    <row r="40" spans="1:114" x14ac:dyDescent="0.2">
      <c r="A40" s="178">
        <f>TblRezone[[#This Row],[Hour]]</f>
        <v>37</v>
      </c>
      <c r="B40" s="179">
        <f ca="1">SUM(TblConstr[[#This Row],[Plain]:[Water]])</f>
        <v>0</v>
      </c>
      <c r="C40" s="180">
        <f ca="1">SUM(TblConstr[[#This Row],[Tot Hom]:[Tot Doc]])</f>
        <v>299</v>
      </c>
      <c r="D40" s="180">
        <f t="shared" si="2"/>
        <v>120</v>
      </c>
      <c r="E40" s="181"/>
      <c r="F40" s="62">
        <f ca="1">TblConstr[[#This Row],[Barren]]+TblConstr[[#This Row],[Buildings]]+TblConstr[[#This Row],[Incoming]]</f>
        <v>419</v>
      </c>
      <c r="G40" s="190">
        <f ca="1">OFFSET(TblConstr[[#This Row],[Plain]],-1,0)+TblConstr[[#This Row],[Ch_Plain]]</f>
        <v>0</v>
      </c>
      <c r="H40" s="185">
        <f ca="1">OFFSET(TblConstr[[#This Row],[Forest]],-1,0)+TblConstr[[#This Row],[Ch_Forest]]</f>
        <v>0</v>
      </c>
      <c r="I40" s="385">
        <f ca="1">OFFSET(TblConstr[[#This Row],[Mountain]],-1,0)+TblConstr[[#This Row],[Ch_Mountain]]</f>
        <v>0</v>
      </c>
      <c r="J40" s="389">
        <f ca="1">OFFSET(TblConstr[[#This Row],[Hill]],-1,0)+TblConstr[[#This Row],[Ch_Hill]]</f>
        <v>0</v>
      </c>
      <c r="K40" s="393">
        <f ca="1">OFFSET(TblConstr[[#This Row],[Swamp]],-1,0)+TblConstr[[#This Row],[Ch_Swamp]]</f>
        <v>0</v>
      </c>
      <c r="L40" s="188">
        <f ca="1">OFFSET(TblConstr[[#This Row],[Cavern]],-1,0)+TblConstr[[#This Row],[Ch_Cavern]]</f>
        <v>0</v>
      </c>
      <c r="M40" s="189">
        <f ca="1">OFFSET(TblConstr[[#This Row],[Water]],-1,0)+TblConstr[[#This Row],[Ch_Water]]</f>
        <v>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45431.249999999913</v>
      </c>
      <c r="AI40" s="183">
        <f ca="1">MIN(25%,(TblConstr[[#This Row],[Tot Fac]]+TblConstr[[#This Row],[Dest Fac]])/(TblConstr[[#This Row],[Land]]-TblExplore[[#This Row],[Land Bonus]]*20))</f>
        <v>0.12171837708830549</v>
      </c>
      <c r="AJ40" s="183">
        <f ca="1">MIN(25%,(TblConstr[[#This Row],[Tot Fac]]+TblConstr[[#This Row],[Dest Fac]])/TblConstr[[#This Row],[Land]])</f>
        <v>0.12171837708830549</v>
      </c>
      <c r="AK40" s="97">
        <f ca="1">TblProd[[#This Row],[Platinum]]</f>
        <v>63059</v>
      </c>
      <c r="AL40" s="97">
        <f ca="1">TblProd[[#This Row],[Lumber]]</f>
        <v>11119</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97">
        <f ca="1">ROUNDDOWN( MAX(1 - MIN(facs_constr_factor*TblConstr[[#This Row],[Facs -DB]],facs_constr_max) + tech_1_11*TblTech[[#This Row],[11-1]] + tech_6_3_2*TblTech[[#This Row],[6-3]] + tech_5_2_3*TblTech[[#This Row],[5-2]], 1-global_constr_cap) * TblConstr[[#This Row],[RCPA Lumber]],0)</f>
        <v>68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97">
        <f ca="1">ROUNDDOWN( MAX(1 - MIN(facs_constr_factor*TblConstr[[#This Row],[Facs DB]],facs_constr_max) + tech_1_11*TblTech[[#This Row],[1-11]] + tech_6_3_2*TblTech[[#This Row],[6-3]] + tech_5_2_3*TblTech[[#This Row],[5-2]], 1-global_constr_cap) * ROUND((TblConstr[[#This Row],[Land]]-250)*0.285 + 87.5 + 0/4.25,0),0)</f>
        <v>68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1061</v>
      </c>
      <c r="AW40" s="97">
        <f ca="1">ROUND((TblConstr[[#This Row],[Land]]-250 - IF(TblExplore[[#This Row],[Land Bonus]]&lt;&gt;0,20,0))*0.285 + 87.5 + 0/4.25,0)</f>
        <v>136</v>
      </c>
      <c r="AX40" s="157"/>
      <c r="AY40" s="191" cm="1">
        <f t="array" aca="1" ref="AY40" ca="1">IF(TblConstr[[#This Row],[Hour]:[Hour]]&gt;12,OFFSET(TblConstr[[#This Row],[Hom]],-12,0),0)+OFFSET(TblConstr[[#This Row],[Tot Hom]],-1,0)-TblConstr[[#This Row],[Dest Hom]]</f>
        <v>0</v>
      </c>
      <c r="AZ40" s="192" cm="1">
        <f t="array" aca="1" ref="AZ40" ca="1">IF(TblConstr[[#This Row],[Hour]:[Hour]]&gt;12,OFFSET(TblConstr[[#This Row],[Alc]],-12,0),0)+OFFSET(TblConstr[[#This Row],[Tot Alc]],-1,0)-TblConstr[[#This Row],[Dest Alc]]</f>
        <v>147</v>
      </c>
      <c r="BA40" s="192" cm="1">
        <f t="array" aca="1" ref="BA40" ca="1">IF(TblConstr[[#This Row],[Hour]:[Hour]]&gt;12,OFFSET(TblConstr[[#This Row],[Far]],-12,0),0)+OFFSET(TblConstr[[#This Row],[Tot Farm]],-1,0)-TblConstr[[#This Row],[Dest Farm]]</f>
        <v>8</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23</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51</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18</v>
      </c>
      <c r="BM40" s="395" cm="1">
        <f t="array" aca="1" ref="BM40" ca="1">IF(TblConstr[[#This Row],[Hour]:[Hour]]&gt;12,OFFSET(TblConstr[[#This Row],[Tem]],-12,0),0)+OFFSET(TblConstr[[#This Row],[Tot Tem]],-1,0)-TblConstr[[#This Row],[Dest Tem]]</f>
        <v>47</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5</v>
      </c>
      <c r="BR40" s="145"/>
      <c r="BS40" s="157"/>
      <c r="BT40" s="97">
        <f ca="1">TblConstr[[#This Row],[Land]]</f>
        <v>419</v>
      </c>
      <c r="BU40" s="162">
        <f ca="1">TblImps[[#This Row],[Time]]</f>
        <v>45431.249999999913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245</v>
      </c>
      <c r="DA40" s="97">
        <f t="shared" ca="1" si="4"/>
        <v>25</v>
      </c>
      <c r="DB40" s="45">
        <f t="shared" ca="1" si="5"/>
        <v>0</v>
      </c>
      <c r="DC40" s="97">
        <f t="shared" ca="1" si="6"/>
        <v>67</v>
      </c>
      <c r="DD40" s="97">
        <f t="shared" ca="1" si="7"/>
        <v>72</v>
      </c>
      <c r="DE40" s="45">
        <f t="shared" ca="1" si="8"/>
        <v>0</v>
      </c>
      <c r="DF40" s="97">
        <f t="shared" ca="1" si="9"/>
        <v>10</v>
      </c>
      <c r="DG40" s="97" cm="1">
        <f t="array" aca="1" ref="DG40" ca="1">INDEX(TblConstr[[Total Plain]:[Total Water]],ROW()-ROW(TblConstr[#Headers]),MATCH("Total "&amp;home_land,TblConstr[[#Headers],[Total Plain]:[Total Water]],0))+TblConstr[[#This Row],[Homes]]</f>
        <v>0</v>
      </c>
      <c r="DH40" s="45">
        <f t="shared" ca="1" si="10"/>
        <v>0</v>
      </c>
      <c r="DI40" s="45">
        <f t="shared" ca="1" si="0"/>
        <v>0</v>
      </c>
      <c r="DJ40" s="45">
        <f t="shared" ca="1" si="1"/>
        <v>0</v>
      </c>
    </row>
    <row r="41" spans="1:114" x14ac:dyDescent="0.2">
      <c r="A41" s="178">
        <f>TblRezone[[#This Row],[Hour]]</f>
        <v>38</v>
      </c>
      <c r="B41" s="179">
        <f ca="1">SUM(TblConstr[[#This Row],[Plain]:[Water]])</f>
        <v>0</v>
      </c>
      <c r="C41" s="180">
        <f ca="1">SUM(TblConstr[[#This Row],[Tot Hom]:[Tot Doc]])</f>
        <v>299</v>
      </c>
      <c r="D41" s="180">
        <f t="shared" si="2"/>
        <v>120</v>
      </c>
      <c r="E41" s="181"/>
      <c r="F41" s="62">
        <f ca="1">TblConstr[[#This Row],[Barren]]+TblConstr[[#This Row],[Buildings]]+TblConstr[[#This Row],[Incoming]]</f>
        <v>419</v>
      </c>
      <c r="G41" s="190">
        <f ca="1">OFFSET(TblConstr[[#This Row],[Plain]],-1,0)+TblConstr[[#This Row],[Ch_Plain]]</f>
        <v>0</v>
      </c>
      <c r="H41" s="185">
        <f ca="1">OFFSET(TblConstr[[#This Row],[Forest]],-1,0)+TblConstr[[#This Row],[Ch_Forest]]</f>
        <v>0</v>
      </c>
      <c r="I41" s="385">
        <f ca="1">OFFSET(TblConstr[[#This Row],[Mountain]],-1,0)+TblConstr[[#This Row],[Ch_Mountain]]</f>
        <v>0</v>
      </c>
      <c r="J41" s="389">
        <f ca="1">OFFSET(TblConstr[[#This Row],[Hill]],-1,0)+TblConstr[[#This Row],[Ch_Hill]]</f>
        <v>0</v>
      </c>
      <c r="K41" s="393">
        <f ca="1">OFFSET(TblConstr[[#This Row],[Swamp]],-1,0)+TblConstr[[#This Row],[Ch_Swamp]]</f>
        <v>0</v>
      </c>
      <c r="L41" s="188">
        <f ca="1">OFFSET(TblConstr[[#This Row],[Cavern]],-1,0)+TblConstr[[#This Row],[Ch_Cavern]]</f>
        <v>0</v>
      </c>
      <c r="M41" s="189">
        <f ca="1">OFFSET(TblConstr[[#This Row],[Water]],-1,0)+TblConstr[[#This Row],[Ch_Water]]</f>
        <v>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45431.291666666577</v>
      </c>
      <c r="AI41" s="183">
        <f ca="1">MIN(25%,(TblConstr[[#This Row],[Tot Fac]]+TblConstr[[#This Row],[Dest Fac]])/(TblConstr[[#This Row],[Land]]-TblExplore[[#This Row],[Land Bonus]]*20))</f>
        <v>0.12171837708830549</v>
      </c>
      <c r="AJ41" s="183">
        <f ca="1">MIN(25%,(TblConstr[[#This Row],[Tot Fac]]+TblConstr[[#This Row],[Dest Fac]])/TblConstr[[#This Row],[Land]])</f>
        <v>0.12171837708830549</v>
      </c>
      <c r="AK41" s="97">
        <f ca="1">TblProd[[#This Row],[Platinum]]</f>
        <v>71078</v>
      </c>
      <c r="AL41" s="97">
        <f ca="1">TblProd[[#This Row],[Lumber]]</f>
        <v>12043</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97">
        <f ca="1">ROUNDDOWN( MAX(1 - MIN(facs_constr_factor*TblConstr[[#This Row],[Facs -DB]],facs_constr_max) + tech_1_11*TblTech[[#This Row],[11-1]] + tech_6_3_2*TblTech[[#This Row],[6-3]] + tech_5_2_3*TblTech[[#This Row],[5-2]], 1-global_constr_cap) * TblConstr[[#This Row],[RCPA Lumber]],0)</f>
        <v>68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97">
        <f ca="1">ROUNDDOWN( MAX(1 - MIN(facs_constr_factor*TblConstr[[#This Row],[Facs DB]],facs_constr_max) + tech_1_11*TblTech[[#This Row],[1-11]] + tech_6_3_2*TblTech[[#This Row],[6-3]] + tech_5_2_3*TblTech[[#This Row],[5-2]], 1-global_constr_cap) * ROUND((TblConstr[[#This Row],[Land]]-250)*0.285 + 87.5 + 0/4.25,0),0)</f>
        <v>68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1061</v>
      </c>
      <c r="AW41" s="97">
        <f ca="1">ROUND((TblConstr[[#This Row],[Land]]-250 - IF(TblExplore[[#This Row],[Land Bonus]]&lt;&gt;0,20,0))*0.285 + 87.5 + 0/4.25,0)</f>
        <v>136</v>
      </c>
      <c r="AX41" s="157"/>
      <c r="AY41" s="191" cm="1">
        <f t="array" aca="1" ref="AY41" ca="1">IF(TblConstr[[#This Row],[Hour]:[Hour]]&gt;12,OFFSET(TblConstr[[#This Row],[Hom]],-12,0),0)+OFFSET(TblConstr[[#This Row],[Tot Hom]],-1,0)-TblConstr[[#This Row],[Dest Hom]]</f>
        <v>0</v>
      </c>
      <c r="AZ41" s="192" cm="1">
        <f t="array" aca="1" ref="AZ41" ca="1">IF(TblConstr[[#This Row],[Hour]:[Hour]]&gt;12,OFFSET(TblConstr[[#This Row],[Alc]],-12,0),0)+OFFSET(TblConstr[[#This Row],[Tot Alc]],-1,0)-TblConstr[[#This Row],[Dest Alc]]</f>
        <v>147</v>
      </c>
      <c r="BA41" s="192" cm="1">
        <f t="array" aca="1" ref="BA41" ca="1">IF(TblConstr[[#This Row],[Hour]:[Hour]]&gt;12,OFFSET(TblConstr[[#This Row],[Far]],-12,0),0)+OFFSET(TblConstr[[#This Row],[Tot Farm]],-1,0)-TblConstr[[#This Row],[Dest Farm]]</f>
        <v>8</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23</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51</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18</v>
      </c>
      <c r="BM41" s="395" cm="1">
        <f t="array" aca="1" ref="BM41" ca="1">IF(TblConstr[[#This Row],[Hour]:[Hour]]&gt;12,OFFSET(TblConstr[[#This Row],[Tem]],-12,0),0)+OFFSET(TblConstr[[#This Row],[Tot Tem]],-1,0)-TblConstr[[#This Row],[Dest Tem]]</f>
        <v>47</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5</v>
      </c>
      <c r="BR41" s="145"/>
      <c r="BS41" s="157"/>
      <c r="BT41" s="97">
        <f ca="1">TblConstr[[#This Row],[Land]]</f>
        <v>419</v>
      </c>
      <c r="BU41" s="162">
        <f ca="1">TblImps[[#This Row],[Time]]</f>
        <v>45431.291666666577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245</v>
      </c>
      <c r="DA41" s="97">
        <f t="shared" ca="1" si="4"/>
        <v>25</v>
      </c>
      <c r="DB41" s="45">
        <f t="shared" ca="1" si="5"/>
        <v>0</v>
      </c>
      <c r="DC41" s="97">
        <f t="shared" ca="1" si="6"/>
        <v>67</v>
      </c>
      <c r="DD41" s="97">
        <f t="shared" ca="1" si="7"/>
        <v>72</v>
      </c>
      <c r="DE41" s="45">
        <f t="shared" ca="1" si="8"/>
        <v>0</v>
      </c>
      <c r="DF41" s="97">
        <f t="shared" ca="1" si="9"/>
        <v>10</v>
      </c>
      <c r="DG41" s="97" cm="1">
        <f t="array" aca="1" ref="DG41" ca="1">INDEX(TblConstr[[Total Plain]:[Total Water]],ROW()-ROW(TblConstr[#Headers]),MATCH("Total "&amp;home_land,TblConstr[[#Headers],[Total Plain]:[Total Water]],0))+TblConstr[[#This Row],[Homes]]</f>
        <v>0</v>
      </c>
      <c r="DH41" s="45">
        <f t="shared" ca="1" si="10"/>
        <v>0</v>
      </c>
      <c r="DI41" s="45">
        <f t="shared" ca="1" si="0"/>
        <v>0</v>
      </c>
      <c r="DJ41" s="45">
        <f t="shared" ca="1" si="1"/>
        <v>0</v>
      </c>
    </row>
    <row r="42" spans="1:114" x14ac:dyDescent="0.2">
      <c r="A42" s="178">
        <f>TblRezone[[#This Row],[Hour]]</f>
        <v>39</v>
      </c>
      <c r="B42" s="179">
        <f ca="1">SUM(TblConstr[[#This Row],[Plain]:[Water]])</f>
        <v>0</v>
      </c>
      <c r="C42" s="180">
        <f ca="1">SUM(TblConstr[[#This Row],[Tot Hom]:[Tot Doc]])</f>
        <v>299</v>
      </c>
      <c r="D42" s="180">
        <f t="shared" si="2"/>
        <v>120</v>
      </c>
      <c r="E42" s="181"/>
      <c r="F42" s="62">
        <f ca="1">TblConstr[[#This Row],[Barren]]+TblConstr[[#This Row],[Buildings]]+TblConstr[[#This Row],[Incoming]]</f>
        <v>419</v>
      </c>
      <c r="G42" s="190">
        <f ca="1">OFFSET(TblConstr[[#This Row],[Plain]],-1,0)+TblConstr[[#This Row],[Ch_Plain]]</f>
        <v>0</v>
      </c>
      <c r="H42" s="185">
        <f ca="1">OFFSET(TblConstr[[#This Row],[Forest]],-1,0)+TblConstr[[#This Row],[Ch_Forest]]</f>
        <v>0</v>
      </c>
      <c r="I42" s="385">
        <f ca="1">OFFSET(TblConstr[[#This Row],[Mountain]],-1,0)+TblConstr[[#This Row],[Ch_Mountain]]</f>
        <v>0</v>
      </c>
      <c r="J42" s="389">
        <f ca="1">OFFSET(TblConstr[[#This Row],[Hill]],-1,0)+TblConstr[[#This Row],[Ch_Hill]]</f>
        <v>0</v>
      </c>
      <c r="K42" s="393">
        <f ca="1">OFFSET(TblConstr[[#This Row],[Swamp]],-1,0)+TblConstr[[#This Row],[Ch_Swamp]]</f>
        <v>0</v>
      </c>
      <c r="L42" s="188">
        <f ca="1">OFFSET(TblConstr[[#This Row],[Cavern]],-1,0)+TblConstr[[#This Row],[Ch_Cavern]]</f>
        <v>0</v>
      </c>
      <c r="M42" s="189">
        <f ca="1">OFFSET(TblConstr[[#This Row],[Water]],-1,0)+TblConstr[[#This Row],[Ch_Water]]</f>
        <v>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45431.333333333241</v>
      </c>
      <c r="AI42" s="183">
        <f ca="1">MIN(25%,(TblConstr[[#This Row],[Tot Fac]]+TblConstr[[#This Row],[Dest Fac]])/(TblConstr[[#This Row],[Land]]-TblExplore[[#This Row],[Land Bonus]]*20))</f>
        <v>0.12171837708830549</v>
      </c>
      <c r="AJ42" s="183">
        <f ca="1">MIN(25%,(TblConstr[[#This Row],[Tot Fac]]+TblConstr[[#This Row],[Dest Fac]])/TblConstr[[#This Row],[Land]])</f>
        <v>0.12171837708830549</v>
      </c>
      <c r="AK42" s="97">
        <f ca="1">TblProd[[#This Row],[Platinum]]</f>
        <v>77568</v>
      </c>
      <c r="AL42" s="97">
        <f ca="1">TblProd[[#This Row],[Lumber]]</f>
        <v>12958</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97">
        <f ca="1">ROUNDDOWN( MAX(1 - MIN(facs_constr_factor*TblConstr[[#This Row],[Facs -DB]],facs_constr_max) + tech_1_11*TblTech[[#This Row],[11-1]] + tech_6_3_2*TblTech[[#This Row],[6-3]] + tech_5_2_3*TblTech[[#This Row],[5-2]], 1-global_constr_cap) * TblConstr[[#This Row],[RCPA Lumber]],0)</f>
        <v>68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97">
        <f ca="1">ROUNDDOWN( MAX(1 - MIN(facs_constr_factor*TblConstr[[#This Row],[Facs DB]],facs_constr_max) + tech_1_11*TblTech[[#This Row],[1-11]] + tech_6_3_2*TblTech[[#This Row],[6-3]] + tech_5_2_3*TblTech[[#This Row],[5-2]], 1-global_constr_cap) * ROUND((TblConstr[[#This Row],[Land]]-250)*0.285 + 87.5 + 0/4.25,0),0)</f>
        <v>68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1061</v>
      </c>
      <c r="AW42" s="97">
        <f ca="1">ROUND((TblConstr[[#This Row],[Land]]-250 - IF(TblExplore[[#This Row],[Land Bonus]]&lt;&gt;0,20,0))*0.285 + 87.5 + 0/4.25,0)</f>
        <v>136</v>
      </c>
      <c r="AX42" s="157"/>
      <c r="AY42" s="191" cm="1">
        <f t="array" aca="1" ref="AY42" ca="1">IF(TblConstr[[#This Row],[Hour]:[Hour]]&gt;12,OFFSET(TblConstr[[#This Row],[Hom]],-12,0),0)+OFFSET(TblConstr[[#This Row],[Tot Hom]],-1,0)-TblConstr[[#This Row],[Dest Hom]]</f>
        <v>0</v>
      </c>
      <c r="AZ42" s="192" cm="1">
        <f t="array" aca="1" ref="AZ42" ca="1">IF(TblConstr[[#This Row],[Hour]:[Hour]]&gt;12,OFFSET(TblConstr[[#This Row],[Alc]],-12,0),0)+OFFSET(TblConstr[[#This Row],[Tot Alc]],-1,0)-TblConstr[[#This Row],[Dest Alc]]</f>
        <v>147</v>
      </c>
      <c r="BA42" s="192" cm="1">
        <f t="array" aca="1" ref="BA42" ca="1">IF(TblConstr[[#This Row],[Hour]:[Hour]]&gt;12,OFFSET(TblConstr[[#This Row],[Far]],-12,0),0)+OFFSET(TblConstr[[#This Row],[Tot Farm]],-1,0)-TblConstr[[#This Row],[Dest Farm]]</f>
        <v>8</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23</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51</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18</v>
      </c>
      <c r="BM42" s="395" cm="1">
        <f t="array" aca="1" ref="BM42" ca="1">IF(TblConstr[[#This Row],[Hour]:[Hour]]&gt;12,OFFSET(TblConstr[[#This Row],[Tem]],-12,0),0)+OFFSET(TblConstr[[#This Row],[Tot Tem]],-1,0)-TblConstr[[#This Row],[Dest Tem]]</f>
        <v>47</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5</v>
      </c>
      <c r="BR42" s="145"/>
      <c r="BS42" s="157"/>
      <c r="BT42" s="97">
        <f ca="1">TblConstr[[#This Row],[Land]]</f>
        <v>419</v>
      </c>
      <c r="BU42" s="162">
        <f ca="1">TblImps[[#This Row],[Time]]</f>
        <v>45431.333333333241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245</v>
      </c>
      <c r="DA42" s="97">
        <f t="shared" ca="1" si="4"/>
        <v>25</v>
      </c>
      <c r="DB42" s="45">
        <f t="shared" ca="1" si="5"/>
        <v>0</v>
      </c>
      <c r="DC42" s="97">
        <f t="shared" ca="1" si="6"/>
        <v>67</v>
      </c>
      <c r="DD42" s="97">
        <f t="shared" ca="1" si="7"/>
        <v>72</v>
      </c>
      <c r="DE42" s="45">
        <f t="shared" ca="1" si="8"/>
        <v>0</v>
      </c>
      <c r="DF42" s="97">
        <f t="shared" ca="1" si="9"/>
        <v>10</v>
      </c>
      <c r="DG42" s="97" cm="1">
        <f t="array" aca="1" ref="DG42" ca="1">INDEX(TblConstr[[Total Plain]:[Total Water]],ROW()-ROW(TblConstr[#Headers]),MATCH("Total "&amp;home_land,TblConstr[[#Headers],[Total Plain]:[Total Water]],0))+TblConstr[[#This Row],[Homes]]</f>
        <v>0</v>
      </c>
      <c r="DH42" s="45">
        <f t="shared" ca="1" si="10"/>
        <v>0</v>
      </c>
      <c r="DI42" s="45">
        <f t="shared" ca="1" si="0"/>
        <v>0</v>
      </c>
      <c r="DJ42" s="45">
        <f t="shared" ca="1" si="1"/>
        <v>0</v>
      </c>
    </row>
    <row r="43" spans="1:114" x14ac:dyDescent="0.2">
      <c r="A43" s="178">
        <f>TblRezone[[#This Row],[Hour]]</f>
        <v>40</v>
      </c>
      <c r="B43" s="179">
        <f ca="1">SUM(TblConstr[[#This Row],[Plain]:[Water]])</f>
        <v>0</v>
      </c>
      <c r="C43" s="180">
        <f ca="1">SUM(TblConstr[[#This Row],[Tot Hom]:[Tot Doc]])</f>
        <v>299</v>
      </c>
      <c r="D43" s="180">
        <f t="shared" si="2"/>
        <v>120</v>
      </c>
      <c r="E43" s="181"/>
      <c r="F43" s="62">
        <f ca="1">TblConstr[[#This Row],[Barren]]+TblConstr[[#This Row],[Buildings]]+TblConstr[[#This Row],[Incoming]]</f>
        <v>419</v>
      </c>
      <c r="G43" s="190">
        <f ca="1">OFFSET(TblConstr[[#This Row],[Plain]],-1,0)+TblConstr[[#This Row],[Ch_Plain]]</f>
        <v>0</v>
      </c>
      <c r="H43" s="185">
        <f ca="1">OFFSET(TblConstr[[#This Row],[Forest]],-1,0)+TblConstr[[#This Row],[Ch_Forest]]</f>
        <v>0</v>
      </c>
      <c r="I43" s="385">
        <f ca="1">OFFSET(TblConstr[[#This Row],[Mountain]],-1,0)+TblConstr[[#This Row],[Ch_Mountain]]</f>
        <v>0</v>
      </c>
      <c r="J43" s="389">
        <f ca="1">OFFSET(TblConstr[[#This Row],[Hill]],-1,0)+TblConstr[[#This Row],[Ch_Hill]]</f>
        <v>0</v>
      </c>
      <c r="K43" s="393">
        <f ca="1">OFFSET(TblConstr[[#This Row],[Swamp]],-1,0)+TblConstr[[#This Row],[Ch_Swamp]]</f>
        <v>0</v>
      </c>
      <c r="L43" s="188">
        <f ca="1">OFFSET(TblConstr[[#This Row],[Cavern]],-1,0)+TblConstr[[#This Row],[Ch_Cavern]]</f>
        <v>0</v>
      </c>
      <c r="M43" s="189">
        <f ca="1">OFFSET(TblConstr[[#This Row],[Water]],-1,0)+TblConstr[[#This Row],[Ch_Water]]</f>
        <v>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45431.374999999905</v>
      </c>
      <c r="AI43" s="183">
        <f ca="1">MIN(25%,(TblConstr[[#This Row],[Tot Fac]]+TblConstr[[#This Row],[Dest Fac]])/(TblConstr[[#This Row],[Land]]-TblExplore[[#This Row],[Land Bonus]]*20))</f>
        <v>0.12171837708830549</v>
      </c>
      <c r="AJ43" s="183">
        <f ca="1">MIN(25%,(TblConstr[[#This Row],[Tot Fac]]+TblConstr[[#This Row],[Dest Fac]])/TblConstr[[#This Row],[Land]])</f>
        <v>0.12171837708830549</v>
      </c>
      <c r="AK43" s="97">
        <f ca="1">TblProd[[#This Row],[Platinum]]</f>
        <v>85587</v>
      </c>
      <c r="AL43" s="97">
        <f ca="1">TblProd[[#This Row],[Lumber]]</f>
        <v>13863</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97">
        <f ca="1">ROUNDDOWN( MAX(1 - MIN(facs_constr_factor*TblConstr[[#This Row],[Facs -DB]],facs_constr_max) + tech_1_11*TblTech[[#This Row],[11-1]] + tech_6_3_2*TblTech[[#This Row],[6-3]] + tech_5_2_3*TblTech[[#This Row],[5-2]], 1-global_constr_cap) * TblConstr[[#This Row],[RCPA Lumber]],0)</f>
        <v>68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97">
        <f ca="1">ROUNDDOWN( MAX(1 - MIN(facs_constr_factor*TblConstr[[#This Row],[Facs DB]],facs_constr_max) + tech_1_11*TblTech[[#This Row],[1-11]] + tech_6_3_2*TblTech[[#This Row],[6-3]] + tech_5_2_3*TblTech[[#This Row],[5-2]], 1-global_constr_cap) * ROUND((TblConstr[[#This Row],[Land]]-250)*0.285 + 87.5 + 0/4.25,0),0)</f>
        <v>68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1061</v>
      </c>
      <c r="AW43" s="97">
        <f ca="1">ROUND((TblConstr[[#This Row],[Land]]-250 - IF(TblExplore[[#This Row],[Land Bonus]]&lt;&gt;0,20,0))*0.285 + 87.5 + 0/4.25,0)</f>
        <v>136</v>
      </c>
      <c r="AX43" s="157"/>
      <c r="AY43" s="191" cm="1">
        <f t="array" aca="1" ref="AY43" ca="1">IF(TblConstr[[#This Row],[Hour]:[Hour]]&gt;12,OFFSET(TblConstr[[#This Row],[Hom]],-12,0),0)+OFFSET(TblConstr[[#This Row],[Tot Hom]],-1,0)-TblConstr[[#This Row],[Dest Hom]]</f>
        <v>0</v>
      </c>
      <c r="AZ43" s="192" cm="1">
        <f t="array" aca="1" ref="AZ43" ca="1">IF(TblConstr[[#This Row],[Hour]:[Hour]]&gt;12,OFFSET(TblConstr[[#This Row],[Alc]],-12,0),0)+OFFSET(TblConstr[[#This Row],[Tot Alc]],-1,0)-TblConstr[[#This Row],[Dest Alc]]</f>
        <v>147</v>
      </c>
      <c r="BA43" s="192" cm="1">
        <f t="array" aca="1" ref="BA43" ca="1">IF(TblConstr[[#This Row],[Hour]:[Hour]]&gt;12,OFFSET(TblConstr[[#This Row],[Far]],-12,0),0)+OFFSET(TblConstr[[#This Row],[Tot Farm]],-1,0)-TblConstr[[#This Row],[Dest Farm]]</f>
        <v>8</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23</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51</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18</v>
      </c>
      <c r="BM43" s="395" cm="1">
        <f t="array" aca="1" ref="BM43" ca="1">IF(TblConstr[[#This Row],[Hour]:[Hour]]&gt;12,OFFSET(TblConstr[[#This Row],[Tem]],-12,0),0)+OFFSET(TblConstr[[#This Row],[Tot Tem]],-1,0)-TblConstr[[#This Row],[Dest Tem]]</f>
        <v>47</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5</v>
      </c>
      <c r="BR43" s="145"/>
      <c r="BS43" s="157"/>
      <c r="BT43" s="97">
        <f ca="1">TblConstr[[#This Row],[Land]]</f>
        <v>419</v>
      </c>
      <c r="BU43" s="162">
        <f ca="1">TblImps[[#This Row],[Time]]</f>
        <v>45431.374999999905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245</v>
      </c>
      <c r="DA43" s="97">
        <f t="shared" ca="1" si="4"/>
        <v>25</v>
      </c>
      <c r="DB43" s="45">
        <f t="shared" ca="1" si="5"/>
        <v>0</v>
      </c>
      <c r="DC43" s="97">
        <f t="shared" ca="1" si="6"/>
        <v>67</v>
      </c>
      <c r="DD43" s="97">
        <f t="shared" ca="1" si="7"/>
        <v>72</v>
      </c>
      <c r="DE43" s="45">
        <f t="shared" ca="1" si="8"/>
        <v>0</v>
      </c>
      <c r="DF43" s="97">
        <f t="shared" ca="1" si="9"/>
        <v>10</v>
      </c>
      <c r="DG43" s="97" cm="1">
        <f t="array" aca="1" ref="DG43" ca="1">INDEX(TblConstr[[Total Plain]:[Total Water]],ROW()-ROW(TblConstr[#Headers]),MATCH("Total "&amp;home_land,TblConstr[[#Headers],[Total Plain]:[Total Water]],0))+TblConstr[[#This Row],[Homes]]</f>
        <v>0</v>
      </c>
      <c r="DH43" s="45">
        <f t="shared" ca="1" si="10"/>
        <v>0</v>
      </c>
      <c r="DI43" s="45">
        <f t="shared" ca="1" si="0"/>
        <v>0</v>
      </c>
      <c r="DJ43" s="45">
        <f t="shared" ca="1" si="1"/>
        <v>0</v>
      </c>
    </row>
    <row r="44" spans="1:114" x14ac:dyDescent="0.2">
      <c r="A44" s="178">
        <f>TblRezone[[#This Row],[Hour]]</f>
        <v>41</v>
      </c>
      <c r="B44" s="179">
        <f ca="1">SUM(TblConstr[[#This Row],[Plain]:[Water]])</f>
        <v>0</v>
      </c>
      <c r="C44" s="180">
        <f ca="1">SUM(TblConstr[[#This Row],[Tot Hom]:[Tot Doc]])</f>
        <v>299</v>
      </c>
      <c r="D44" s="180">
        <f t="shared" si="2"/>
        <v>202</v>
      </c>
      <c r="E44" s="181"/>
      <c r="F44" s="62">
        <f ca="1">TblConstr[[#This Row],[Barren]]+TblConstr[[#This Row],[Buildings]]+TblConstr[[#This Row],[Incoming]]</f>
        <v>501</v>
      </c>
      <c r="G44" s="190">
        <f ca="1">OFFSET(TblConstr[[#This Row],[Plain]],-1,0)+TblConstr[[#This Row],[Ch_Plain]]</f>
        <v>0</v>
      </c>
      <c r="H44" s="185">
        <f ca="1">OFFSET(TblConstr[[#This Row],[Forest]],-1,0)+TblConstr[[#This Row],[Ch_Forest]]</f>
        <v>0</v>
      </c>
      <c r="I44" s="385">
        <f ca="1">OFFSET(TblConstr[[#This Row],[Mountain]],-1,0)+TblConstr[[#This Row],[Ch_Mountain]]</f>
        <v>0</v>
      </c>
      <c r="J44" s="389">
        <f ca="1">OFFSET(TblConstr[[#This Row],[Hill]],-1,0)+TblConstr[[#This Row],[Ch_Hill]]</f>
        <v>0</v>
      </c>
      <c r="K44" s="393">
        <f ca="1">OFFSET(TblConstr[[#This Row],[Swamp]],-1,0)+TblConstr[[#This Row],[Ch_Swamp]]</f>
        <v>0</v>
      </c>
      <c r="L44" s="188">
        <f ca="1">OFFSET(TblConstr[[#This Row],[Cavern]],-1,0)+TblConstr[[#This Row],[Ch_Cavern]]</f>
        <v>0</v>
      </c>
      <c r="M44" s="189">
        <f ca="1">OFFSET(TblConstr[[#This Row],[Water]],-1,0)+TblConstr[[#This Row],[Ch_Water]]</f>
        <v>0</v>
      </c>
      <c r="N44" s="383">
        <f>TblRezone[[#This Row],[Hour]]</f>
        <v>41</v>
      </c>
      <c r="O44" s="182"/>
      <c r="P44" s="182">
        <v>35</v>
      </c>
      <c r="Q44" s="182"/>
      <c r="R44" s="161">
        <v>47</v>
      </c>
      <c r="S44" s="182"/>
      <c r="T44" s="182"/>
      <c r="U44" s="182"/>
      <c r="V44" s="182"/>
      <c r="W44" s="182"/>
      <c r="X44" s="182"/>
      <c r="Y44" s="182"/>
      <c r="Z44" s="182"/>
      <c r="AA44" s="182"/>
      <c r="AB44" s="182"/>
      <c r="AC44" s="182"/>
      <c r="AD44" s="182"/>
      <c r="AE44" s="182"/>
      <c r="AF44" s="182"/>
      <c r="AG44" s="182"/>
      <c r="AH44" s="53">
        <f ca="1">TblImps[[#This Row],[Time]]</f>
        <v>45431.41666666657</v>
      </c>
      <c r="AI44" s="183">
        <f ca="1">MIN(25%,(TblConstr[[#This Row],[Tot Fac]]+TblConstr[[#This Row],[Dest Fac]])/(TblConstr[[#This Row],[Land]]-TblExplore[[#This Row],[Land Bonus]]*20))</f>
        <v>0.10179640718562874</v>
      </c>
      <c r="AJ44" s="183">
        <f ca="1">MIN(25%,(TblConstr[[#This Row],[Tot Fac]]+TblConstr[[#This Row],[Dest Fac]])/TblConstr[[#This Row],[Land]])</f>
        <v>0.10179640718562874</v>
      </c>
      <c r="AK44" s="97">
        <f ca="1">TblProd[[#This Row],[Platinum]]</f>
        <v>54134</v>
      </c>
      <c r="AL44" s="97">
        <f ca="1">TblProd[[#This Row],[Lumber]]</f>
        <v>8281</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465</v>
      </c>
      <c r="AN44" s="97">
        <f ca="1">ROUNDDOWN( MAX(1 - MIN(facs_constr_factor*TblConstr[[#This Row],[Facs -DB]],facs_constr_max) + tech_1_11*TblTech[[#This Row],[11-1]] + tech_6_3_2*TblTech[[#This Row],[6-3]] + tech_5_2_3*TblTech[[#This Row],[5-2]], 1-global_constr_cap) * TblConstr[[#This Row],[RCPA Lumber]],0)</f>
        <v>79</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465</v>
      </c>
      <c r="AP44" s="97">
        <f ca="1">ROUNDDOWN( MAX(1 - MIN(facs_constr_factor*TblConstr[[#This Row],[Facs DB]],facs_constr_max) + tech_1_11*TblTech[[#This Row],[1-11]] + tech_6_3_2*TblTech[[#This Row],[6-3]] + tech_5_2_3*TblTech[[#This Row],[5-2]], 1-global_constr_cap) * ROUND((TblConstr[[#This Row],[Land]]-250)*0.285 + 87.5 + 0/4.25,0),0)</f>
        <v>79</v>
      </c>
      <c r="AQ44" s="45">
        <f ca="1">TblConstr[[#This Row],[build -db]]*TblConstr[[#This Row],[CPA Platinum -DB]] + TblConstr[[#This Row],[build db]]*TblConstr[[#This Row],[CPA Platinum DB]]</f>
        <v>38130</v>
      </c>
      <c r="AR44" s="45">
        <f ca="1">TblConstr[[#This Row],[build -db]]*TblConstr[[#This Row],[CPA Lumber -DB]]+TblConstr[[#This Row],[build db]]*TblConstr[[#This Row],[CPA Lumber DB]]</f>
        <v>6478</v>
      </c>
      <c r="AS44" s="97">
        <f ca="1">MIN(SUM(OFFSET(TblConstr[[#This Row],[Plain]:[Water]],-1,0))+SUM(TblConstr[[#This Row],[Dest Hom]:[Dest Doc]])+IF(TblConstr[[#This Row],[Hour]]&gt;12,SUM(OFFSET(TblExplore[[#This Row],[Plains Explore]:[Water Explore]],-12,0)),0),SUM(TblConstr[[#This Row],[Hom]:[Doc]]))</f>
        <v>82</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1164</v>
      </c>
      <c r="AW44" s="97">
        <f ca="1">ROUND((TblConstr[[#This Row],[Land]]-250 - IF(TblExplore[[#This Row],[Land Bonus]]&lt;&gt;0,20,0))*0.285 + 87.5 + 0/4.25,0)</f>
        <v>159</v>
      </c>
      <c r="AX44" s="157"/>
      <c r="AY44" s="191" cm="1">
        <f t="array" aca="1" ref="AY44" ca="1">IF(TblConstr[[#This Row],[Hour]:[Hour]]&gt;12,OFFSET(TblConstr[[#This Row],[Hom]],-12,0),0)+OFFSET(TblConstr[[#This Row],[Tot Hom]],-1,0)-TblConstr[[#This Row],[Dest Hom]]</f>
        <v>0</v>
      </c>
      <c r="AZ44" s="192" cm="1">
        <f t="array" aca="1" ref="AZ44" ca="1">IF(TblConstr[[#This Row],[Hour]:[Hour]]&gt;12,OFFSET(TblConstr[[#This Row],[Alc]],-12,0),0)+OFFSET(TblConstr[[#This Row],[Tot Alc]],-1,0)-TblConstr[[#This Row],[Dest Alc]]</f>
        <v>147</v>
      </c>
      <c r="BA44" s="192" cm="1">
        <f t="array" aca="1" ref="BA44" ca="1">IF(TblConstr[[#This Row],[Hour]:[Hour]]&gt;12,OFFSET(TblConstr[[#This Row],[Far]],-12,0),0)+OFFSET(TblConstr[[#This Row],[Tot Farm]],-1,0)-TblConstr[[#This Row],[Dest Farm]]</f>
        <v>8</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23</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51</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18</v>
      </c>
      <c r="BM44" s="395" cm="1">
        <f t="array" aca="1" ref="BM44" ca="1">IF(TblConstr[[#This Row],[Hour]:[Hour]]&gt;12,OFFSET(TblConstr[[#This Row],[Tem]],-12,0),0)+OFFSET(TblConstr[[#This Row],[Tot Tem]],-1,0)-TblConstr[[#This Row],[Dest Tem]]</f>
        <v>47</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5</v>
      </c>
      <c r="BR44" s="145"/>
      <c r="BS44" s="157"/>
      <c r="BT44" s="97">
        <f ca="1">TblConstr[[#This Row],[Land]]</f>
        <v>501</v>
      </c>
      <c r="BU44" s="162">
        <f ca="1">TblImps[[#This Row],[Time]]</f>
        <v>45431.41666666657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327</v>
      </c>
      <c r="DA44" s="97">
        <f t="shared" ca="1" si="4"/>
        <v>25</v>
      </c>
      <c r="DB44" s="45">
        <f t="shared" ca="1" si="5"/>
        <v>0</v>
      </c>
      <c r="DC44" s="97">
        <f t="shared" ca="1" si="6"/>
        <v>67</v>
      </c>
      <c r="DD44" s="97">
        <f t="shared" ca="1" si="7"/>
        <v>72</v>
      </c>
      <c r="DE44" s="45">
        <f t="shared" ca="1" si="8"/>
        <v>0</v>
      </c>
      <c r="DF44" s="97">
        <f t="shared" ca="1" si="9"/>
        <v>10</v>
      </c>
      <c r="DG44" s="97" cm="1">
        <f t="array" aca="1" ref="DG44" ca="1">INDEX(TblConstr[[Total Plain]:[Total Water]],ROW()-ROW(TblConstr[#Headers]),MATCH("Total "&amp;home_land,TblConstr[[#Headers],[Total Plain]:[Total Water]],0))+TblConstr[[#This Row],[Homes]]</f>
        <v>0</v>
      </c>
      <c r="DH44" s="45">
        <f t="shared" ca="1" si="10"/>
        <v>0</v>
      </c>
      <c r="DI44" s="45">
        <f t="shared" ca="1" si="0"/>
        <v>0</v>
      </c>
      <c r="DJ44" s="45">
        <f t="shared" ca="1" si="1"/>
        <v>0</v>
      </c>
    </row>
    <row r="45" spans="1:114" x14ac:dyDescent="0.2">
      <c r="A45" s="178">
        <f>TblRezone[[#This Row],[Hour]]</f>
        <v>42</v>
      </c>
      <c r="B45" s="179">
        <f ca="1">SUM(TblConstr[[#This Row],[Plain]:[Water]])</f>
        <v>0</v>
      </c>
      <c r="C45" s="180">
        <f ca="1">SUM(TblConstr[[#This Row],[Tot Hom]:[Tot Doc]])</f>
        <v>369</v>
      </c>
      <c r="D45" s="180">
        <f t="shared" si="2"/>
        <v>141</v>
      </c>
      <c r="E45" s="181"/>
      <c r="F45" s="62">
        <f ca="1">TblConstr[[#This Row],[Barren]]+TblConstr[[#This Row],[Buildings]]+TblConstr[[#This Row],[Incoming]]</f>
        <v>510</v>
      </c>
      <c r="G45" s="190">
        <f ca="1">OFFSET(TblConstr[[#This Row],[Plain]],-1,0)+TblConstr[[#This Row],[Ch_Plain]]</f>
        <v>0</v>
      </c>
      <c r="H45" s="185">
        <f ca="1">OFFSET(TblConstr[[#This Row],[Forest]],-1,0)+TblConstr[[#This Row],[Ch_Forest]]</f>
        <v>0</v>
      </c>
      <c r="I45" s="385">
        <f ca="1">OFFSET(TblConstr[[#This Row],[Mountain]],-1,0)+TblConstr[[#This Row],[Ch_Mountain]]</f>
        <v>0</v>
      </c>
      <c r="J45" s="389">
        <f ca="1">OFFSET(TblConstr[[#This Row],[Hill]],-1,0)+TblConstr[[#This Row],[Ch_Hill]]</f>
        <v>0</v>
      </c>
      <c r="K45" s="393">
        <f ca="1">OFFSET(TblConstr[[#This Row],[Swamp]],-1,0)+TblConstr[[#This Row],[Ch_Swamp]]</f>
        <v>0</v>
      </c>
      <c r="L45" s="188">
        <f ca="1">OFFSET(TblConstr[[#This Row],[Cavern]],-1,0)+TblConstr[[#This Row],[Ch_Cavern]]</f>
        <v>0</v>
      </c>
      <c r="M45" s="189">
        <f ca="1">OFFSET(TblConstr[[#This Row],[Water]],-1,0)+TblConstr[[#This Row],[Ch_Water]]</f>
        <v>0</v>
      </c>
      <c r="N45" s="383">
        <f>TblRezone[[#This Row],[Hour]]</f>
        <v>42</v>
      </c>
      <c r="O45" s="182"/>
      <c r="P45" s="182">
        <v>1</v>
      </c>
      <c r="Q45" s="182"/>
      <c r="R45" s="161">
        <v>8</v>
      </c>
      <c r="S45" s="182"/>
      <c r="T45" s="182"/>
      <c r="U45" s="182"/>
      <c r="V45" s="182"/>
      <c r="W45" s="182"/>
      <c r="X45" s="182"/>
      <c r="Y45" s="182"/>
      <c r="Z45" s="182"/>
      <c r="AA45" s="182"/>
      <c r="AB45" s="182"/>
      <c r="AC45" s="182"/>
      <c r="AD45" s="182"/>
      <c r="AE45" s="182"/>
      <c r="AF45" s="182"/>
      <c r="AG45" s="182"/>
      <c r="AH45" s="53">
        <f ca="1">TblImps[[#This Row],[Time]]</f>
        <v>45431.458333333234</v>
      </c>
      <c r="AI45" s="183">
        <f ca="1">MIN(25%,(TblConstr[[#This Row],[Tot Fac]]+TblConstr[[#This Row],[Dest Fac]])/(TblConstr[[#This Row],[Land]]-TblExplore[[#This Row],[Land Bonus]]*20))</f>
        <v>0.10196078431372549</v>
      </c>
      <c r="AJ45" s="183">
        <f ca="1">MIN(25%,(TblConstr[[#This Row],[Tot Fac]]+TblConstr[[#This Row],[Dest Fac]])/TblConstr[[#This Row],[Land]])</f>
        <v>0.10196078431372549</v>
      </c>
      <c r="AK45" s="97">
        <f ca="1">TblProd[[#This Row],[Platinum]]</f>
        <v>60267</v>
      </c>
      <c r="AL45" s="97">
        <f ca="1">TblProd[[#This Row],[Lumber]]</f>
        <v>8504</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470</v>
      </c>
      <c r="AN45" s="97">
        <f ca="1">ROUNDDOWN( MAX(1 - MIN(facs_constr_factor*TblConstr[[#This Row],[Facs -DB]],facs_constr_max) + tech_1_11*TblTech[[#This Row],[11-1]] + tech_6_3_2*TblTech[[#This Row],[6-3]] + tech_5_2_3*TblTech[[#This Row],[5-2]], 1-global_constr_cap) * TblConstr[[#This Row],[RCPA Lumber]],0)</f>
        <v>81</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470</v>
      </c>
      <c r="AP45" s="97">
        <f ca="1">ROUNDDOWN( MAX(1 - MIN(facs_constr_factor*TblConstr[[#This Row],[Facs DB]],facs_constr_max) + tech_1_11*TblTech[[#This Row],[1-11]] + tech_6_3_2*TblTech[[#This Row],[6-3]] + tech_5_2_3*TblTech[[#This Row],[5-2]], 1-global_constr_cap) * ROUND((TblConstr[[#This Row],[Land]]-250)*0.285 + 87.5 + 0/4.25,0),0)</f>
        <v>81</v>
      </c>
      <c r="AQ45" s="45">
        <f ca="1">TblConstr[[#This Row],[build -db]]*TblConstr[[#This Row],[CPA Platinum -DB]] + TblConstr[[#This Row],[build db]]*TblConstr[[#This Row],[CPA Platinum DB]]</f>
        <v>4230</v>
      </c>
      <c r="AR45" s="45">
        <f ca="1">TblConstr[[#This Row],[build -db]]*TblConstr[[#This Row],[CPA Lumber -DB]]+TblConstr[[#This Row],[build db]]*TblConstr[[#This Row],[CPA Lumber DB]]</f>
        <v>729</v>
      </c>
      <c r="AS45" s="97">
        <f ca="1">MIN(SUM(OFFSET(TblConstr[[#This Row],[Plain]:[Water]],-1,0))+SUM(TblConstr[[#This Row],[Dest Hom]:[Dest Doc]])+IF(TblConstr[[#This Row],[Hour]]&gt;12,SUM(OFFSET(TblExplore[[#This Row],[Plains Explore]:[Water Explore]],-12,0)),0),SUM(TblConstr[[#This Row],[Hom]:[Doc]]))</f>
        <v>9</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1175</v>
      </c>
      <c r="AW45" s="97">
        <f ca="1">ROUND((TblConstr[[#This Row],[Land]]-250 - IF(TblExplore[[#This Row],[Land Bonus]]&lt;&gt;0,20,0))*0.285 + 87.5 + 0/4.25,0)</f>
        <v>162</v>
      </c>
      <c r="AX45" s="157"/>
      <c r="AY45" s="191" cm="1">
        <f t="array" aca="1" ref="AY45" ca="1">IF(TblConstr[[#This Row],[Hour]:[Hour]]&gt;12,OFFSET(TblConstr[[#This Row],[Hom]],-12,0),0)+OFFSET(TblConstr[[#This Row],[Tot Hom]],-1,0)-TblConstr[[#This Row],[Dest Hom]]</f>
        <v>0</v>
      </c>
      <c r="AZ45" s="192" cm="1">
        <f t="array" aca="1" ref="AZ45" ca="1">IF(TblConstr[[#This Row],[Hour]:[Hour]]&gt;12,OFFSET(TblConstr[[#This Row],[Alc]],-12,0),0)+OFFSET(TblConstr[[#This Row],[Tot Alc]],-1,0)-TblConstr[[#This Row],[Dest Alc]]</f>
        <v>206</v>
      </c>
      <c r="BA45" s="192" cm="1">
        <f t="array" aca="1" ref="BA45" ca="1">IF(TblConstr[[#This Row],[Hour]:[Hour]]&gt;12,OFFSET(TblConstr[[#This Row],[Far]],-12,0),0)+OFFSET(TblConstr[[#This Row],[Tot Farm]],-1,0)-TblConstr[[#This Row],[Dest Farm]]</f>
        <v>11</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25</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52</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18</v>
      </c>
      <c r="BM45" s="395" cm="1">
        <f t="array" aca="1" ref="BM45" ca="1">IF(TblConstr[[#This Row],[Hour]:[Hour]]&gt;12,OFFSET(TblConstr[[#This Row],[Tem]],-12,0),0)+OFFSET(TblConstr[[#This Row],[Tot Tem]],-1,0)-TblConstr[[#This Row],[Dest Tem]]</f>
        <v>47</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10</v>
      </c>
      <c r="BR45" s="145"/>
      <c r="BS45" s="157"/>
      <c r="BT45" s="97">
        <f ca="1">TblConstr[[#This Row],[Land]]</f>
        <v>510</v>
      </c>
      <c r="BU45" s="162">
        <f ca="1">TblImps[[#This Row],[Time]]</f>
        <v>45431.458333333234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336</v>
      </c>
      <c r="DA45" s="97">
        <f t="shared" ca="1" si="4"/>
        <v>25</v>
      </c>
      <c r="DB45" s="45">
        <f t="shared" ca="1" si="5"/>
        <v>0</v>
      </c>
      <c r="DC45" s="97">
        <f t="shared" ca="1" si="6"/>
        <v>67</v>
      </c>
      <c r="DD45" s="97">
        <f t="shared" ca="1" si="7"/>
        <v>72</v>
      </c>
      <c r="DE45" s="45">
        <f t="shared" ca="1" si="8"/>
        <v>0</v>
      </c>
      <c r="DF45" s="97">
        <f t="shared" ca="1" si="9"/>
        <v>10</v>
      </c>
      <c r="DG45" s="97" cm="1">
        <f t="array" aca="1" ref="DG45" ca="1">INDEX(TblConstr[[Total Plain]:[Total Water]],ROW()-ROW(TblConstr[#Headers]),MATCH("Total "&amp;home_land,TblConstr[[#Headers],[Total Plain]:[Total Water]],0))+TblConstr[[#This Row],[Homes]]</f>
        <v>0</v>
      </c>
      <c r="DH45" s="45">
        <f t="shared" ca="1" si="10"/>
        <v>0</v>
      </c>
      <c r="DI45" s="45">
        <f t="shared" ca="1" si="0"/>
        <v>3</v>
      </c>
      <c r="DJ45" s="45">
        <f t="shared" ca="1" si="1"/>
        <v>5</v>
      </c>
    </row>
    <row r="46" spans="1:114" x14ac:dyDescent="0.2">
      <c r="A46" s="178">
        <f>TblRezone[[#This Row],[Hour]]</f>
        <v>43</v>
      </c>
      <c r="B46" s="179">
        <f ca="1">SUM(TblConstr[[#This Row],[Plain]:[Water]])</f>
        <v>0</v>
      </c>
      <c r="C46" s="180">
        <f ca="1">SUM(TblConstr[[#This Row],[Tot Hom]:[Tot Doc]])</f>
        <v>380</v>
      </c>
      <c r="D46" s="180">
        <f t="shared" si="2"/>
        <v>140</v>
      </c>
      <c r="E46" s="181"/>
      <c r="F46" s="62">
        <f ca="1">TblConstr[[#This Row],[Barren]]+TblConstr[[#This Row],[Buildings]]+TblConstr[[#This Row],[Incoming]]</f>
        <v>520</v>
      </c>
      <c r="G46" s="190">
        <f ca="1">OFFSET(TblConstr[[#This Row],[Plain]],-1,0)+TblConstr[[#This Row],[Ch_Plain]]</f>
        <v>0</v>
      </c>
      <c r="H46" s="185">
        <f ca="1">OFFSET(TblConstr[[#This Row],[Forest]],-1,0)+TblConstr[[#This Row],[Ch_Forest]]</f>
        <v>0</v>
      </c>
      <c r="I46" s="385">
        <f ca="1">OFFSET(TblConstr[[#This Row],[Mountain]],-1,0)+TblConstr[[#This Row],[Ch_Mountain]]</f>
        <v>0</v>
      </c>
      <c r="J46" s="389">
        <f ca="1">OFFSET(TblConstr[[#This Row],[Hill]],-1,0)+TblConstr[[#This Row],[Ch_Hill]]</f>
        <v>0</v>
      </c>
      <c r="K46" s="393">
        <f ca="1">OFFSET(TblConstr[[#This Row],[Swamp]],-1,0)+TblConstr[[#This Row],[Ch_Swamp]]</f>
        <v>0</v>
      </c>
      <c r="L46" s="188">
        <f ca="1">OFFSET(TblConstr[[#This Row],[Cavern]],-1,0)+TblConstr[[#This Row],[Ch_Cavern]]</f>
        <v>0</v>
      </c>
      <c r="M46" s="189">
        <f ca="1">OFFSET(TblConstr[[#This Row],[Water]],-1,0)+TblConstr[[#This Row],[Ch_Water]]</f>
        <v>0</v>
      </c>
      <c r="N46" s="383">
        <f>TblRezone[[#This Row],[Hour]]</f>
        <v>43</v>
      </c>
      <c r="O46" s="182"/>
      <c r="P46" s="182">
        <v>1</v>
      </c>
      <c r="Q46" s="182"/>
      <c r="R46" s="161">
        <v>9</v>
      </c>
      <c r="S46" s="182"/>
      <c r="T46" s="182"/>
      <c r="U46" s="182"/>
      <c r="V46" s="182"/>
      <c r="W46" s="182"/>
      <c r="X46" s="182"/>
      <c r="Y46" s="182"/>
      <c r="Z46" s="182"/>
      <c r="AA46" s="182"/>
      <c r="AB46" s="182"/>
      <c r="AC46" s="182"/>
      <c r="AD46" s="182"/>
      <c r="AE46" s="182"/>
      <c r="AF46" s="182"/>
      <c r="AG46" s="182"/>
      <c r="AH46" s="53">
        <f ca="1">TblImps[[#This Row],[Time]]</f>
        <v>45431.499999999898</v>
      </c>
      <c r="AI46" s="183">
        <f ca="1">MIN(25%,(TblConstr[[#This Row],[Tot Fac]]+TblConstr[[#This Row],[Dest Fac]])/(TblConstr[[#This Row],[Land]]-TblExplore[[#This Row],[Land Bonus]]*20))</f>
        <v>0.10192307692307692</v>
      </c>
      <c r="AJ46" s="183">
        <f ca="1">MIN(25%,(TblConstr[[#This Row],[Tot Fac]]+TblConstr[[#This Row],[Dest Fac]])/TblConstr[[#This Row],[Land]])</f>
        <v>0.10192307692307692</v>
      </c>
      <c r="AK46" s="97">
        <f ca="1">TblProd[[#This Row],[Platinum]]</f>
        <v>75080</v>
      </c>
      <c r="AL46" s="97">
        <f ca="1">TblProd[[#This Row],[Lumber]]</f>
        <v>8724</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475</v>
      </c>
      <c r="AN46" s="97">
        <f ca="1">ROUNDDOWN( MAX(1 - MIN(facs_constr_factor*TblConstr[[#This Row],[Facs -DB]],facs_constr_max) + tech_1_11*TblTech[[#This Row],[11-1]] + tech_6_3_2*TblTech[[#This Row],[6-3]] + tech_5_2_3*TblTech[[#This Row],[5-2]], 1-global_constr_cap) * TblConstr[[#This Row],[RCPA Lumber]],0)</f>
        <v>82</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475</v>
      </c>
      <c r="AP46" s="97">
        <f ca="1">ROUNDDOWN( MAX(1 - MIN(facs_constr_factor*TblConstr[[#This Row],[Facs DB]],facs_constr_max) + tech_1_11*TblTech[[#This Row],[1-11]] + tech_6_3_2*TblTech[[#This Row],[6-3]] + tech_5_2_3*TblTech[[#This Row],[5-2]], 1-global_constr_cap) * ROUND((TblConstr[[#This Row],[Land]]-250)*0.285 + 87.5 + 0/4.25,0),0)</f>
        <v>82</v>
      </c>
      <c r="AQ46" s="45">
        <f ca="1">TblConstr[[#This Row],[build -db]]*TblConstr[[#This Row],[CPA Platinum -DB]] + TblConstr[[#This Row],[build db]]*TblConstr[[#This Row],[CPA Platinum DB]]</f>
        <v>4750</v>
      </c>
      <c r="AR46" s="45">
        <f ca="1">TblConstr[[#This Row],[build -db]]*TblConstr[[#This Row],[CPA Lumber -DB]]+TblConstr[[#This Row],[build db]]*TblConstr[[#This Row],[CPA Lumber DB]]</f>
        <v>820</v>
      </c>
      <c r="AS46" s="97">
        <f ca="1">MIN(SUM(OFFSET(TblConstr[[#This Row],[Plain]:[Water]],-1,0))+SUM(TblConstr[[#This Row],[Dest Hom]:[Dest Doc]])+IF(TblConstr[[#This Row],[Hour]]&gt;12,SUM(OFFSET(TblExplore[[#This Row],[Plains Explore]:[Water Explore]],-12,0)),0),SUM(TblConstr[[#This Row],[Hom]:[Doc]]))</f>
        <v>10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1188</v>
      </c>
      <c r="AW46" s="97">
        <f ca="1">ROUND((TblConstr[[#This Row],[Land]]-250 - IF(TblExplore[[#This Row],[Land Bonus]]&lt;&gt;0,20,0))*0.285 + 87.5 + 0/4.25,0)</f>
        <v>164</v>
      </c>
      <c r="AX46" s="157"/>
      <c r="AY46" s="191" cm="1">
        <f t="array" aca="1" ref="AY46" ca="1">IF(TblConstr[[#This Row],[Hour]:[Hour]]&gt;12,OFFSET(TblConstr[[#This Row],[Hom]],-12,0),0)+OFFSET(TblConstr[[#This Row],[Tot Hom]],-1,0)-TblConstr[[#This Row],[Dest Hom]]</f>
        <v>0</v>
      </c>
      <c r="AZ46" s="192" cm="1">
        <f t="array" aca="1" ref="AZ46" ca="1">IF(TblConstr[[#This Row],[Hour]:[Hour]]&gt;12,OFFSET(TblConstr[[#This Row],[Alc]],-12,0),0)+OFFSET(TblConstr[[#This Row],[Tot Alc]],-1,0)-TblConstr[[#This Row],[Dest Alc]]</f>
        <v>216</v>
      </c>
      <c r="BA46" s="192" cm="1">
        <f t="array" aca="1" ref="BA46" ca="1">IF(TblConstr[[#This Row],[Hour]:[Hour]]&gt;12,OFFSET(TblConstr[[#This Row],[Far]],-12,0),0)+OFFSET(TblConstr[[#This Row],[Tot Farm]],-1,0)-TblConstr[[#This Row],[Dest Farm]]</f>
        <v>11</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25</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53</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18</v>
      </c>
      <c r="BM46" s="395" cm="1">
        <f t="array" aca="1" ref="BM46" ca="1">IF(TblConstr[[#This Row],[Hour]:[Hour]]&gt;12,OFFSET(TblConstr[[#This Row],[Tem]],-12,0),0)+OFFSET(TblConstr[[#This Row],[Tot Tem]],-1,0)-TblConstr[[#This Row],[Dest Tem]]</f>
        <v>47</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10</v>
      </c>
      <c r="BR46" s="145"/>
      <c r="BS46" s="157"/>
      <c r="BT46" s="97">
        <f ca="1">TblConstr[[#This Row],[Land]]</f>
        <v>520</v>
      </c>
      <c r="BU46" s="162">
        <f ca="1">TblImps[[#This Row],[Time]]</f>
        <v>45431.499999999898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346</v>
      </c>
      <c r="DA46" s="97">
        <f t="shared" ca="1" si="4"/>
        <v>25</v>
      </c>
      <c r="DB46" s="45">
        <f t="shared" ca="1" si="5"/>
        <v>0</v>
      </c>
      <c r="DC46" s="97">
        <f t="shared" ca="1" si="6"/>
        <v>67</v>
      </c>
      <c r="DD46" s="97">
        <f t="shared" ca="1" si="7"/>
        <v>72</v>
      </c>
      <c r="DE46" s="45">
        <f t="shared" ca="1" si="8"/>
        <v>0</v>
      </c>
      <c r="DF46" s="97">
        <f t="shared" ca="1" si="9"/>
        <v>10</v>
      </c>
      <c r="DG46" s="97" cm="1">
        <f t="array" aca="1" ref="DG46" ca="1">INDEX(TblConstr[[Total Plain]:[Total Water]],ROW()-ROW(TblConstr[#Headers]),MATCH("Total "&amp;home_land,TblConstr[[#Headers],[Total Plain]:[Total Water]],0))+TblConstr[[#This Row],[Homes]]</f>
        <v>0</v>
      </c>
      <c r="DH46" s="45">
        <f t="shared" ca="1" si="10"/>
        <v>0</v>
      </c>
      <c r="DI46" s="45">
        <f t="shared" ca="1" si="0"/>
        <v>0</v>
      </c>
      <c r="DJ46" s="45">
        <f t="shared" ca="1" si="1"/>
        <v>0</v>
      </c>
    </row>
    <row r="47" spans="1:114" x14ac:dyDescent="0.2">
      <c r="A47" s="178">
        <f>TblRezone[[#This Row],[Hour]]</f>
        <v>44</v>
      </c>
      <c r="B47" s="179">
        <f ca="1">SUM(TblConstr[[#This Row],[Plain]:[Water]])</f>
        <v>0</v>
      </c>
      <c r="C47" s="180">
        <f ca="1">SUM(TblConstr[[#This Row],[Tot Hom]:[Tot Doc]])</f>
        <v>392</v>
      </c>
      <c r="D47" s="180">
        <f t="shared" ref="D47:D75" si="11">SUM(O36:AG47)</f>
        <v>138</v>
      </c>
      <c r="E47" s="181"/>
      <c r="F47" s="62">
        <f ca="1">TblConstr[[#This Row],[Barren]]+TblConstr[[#This Row],[Buildings]]+TblConstr[[#This Row],[Incoming]]</f>
        <v>530</v>
      </c>
      <c r="G47" s="190">
        <f ca="1">OFFSET(TblConstr[[#This Row],[Plain]],-1,0)+TblConstr[[#This Row],[Ch_Plain]]</f>
        <v>0</v>
      </c>
      <c r="H47" s="185">
        <f ca="1">OFFSET(TblConstr[[#This Row],[Forest]],-1,0)+TblConstr[[#This Row],[Ch_Forest]]</f>
        <v>0</v>
      </c>
      <c r="I47" s="385">
        <f ca="1">OFFSET(TblConstr[[#This Row],[Mountain]],-1,0)+TblConstr[[#This Row],[Ch_Mountain]]</f>
        <v>0</v>
      </c>
      <c r="J47" s="389">
        <f ca="1">OFFSET(TblConstr[[#This Row],[Hill]],-1,0)+TblConstr[[#This Row],[Ch_Hill]]</f>
        <v>0</v>
      </c>
      <c r="K47" s="393">
        <f ca="1">OFFSET(TblConstr[[#This Row],[Swamp]],-1,0)+TblConstr[[#This Row],[Ch_Swamp]]</f>
        <v>0</v>
      </c>
      <c r="L47" s="188">
        <f ca="1">OFFSET(TblConstr[[#This Row],[Cavern]],-1,0)+TblConstr[[#This Row],[Ch_Cavern]]</f>
        <v>0</v>
      </c>
      <c r="M47" s="189">
        <f ca="1">OFFSET(TblConstr[[#This Row],[Water]],-1,0)+TblConstr[[#This Row],[Ch_Water]]</f>
        <v>0</v>
      </c>
      <c r="N47" s="383">
        <f>TblRezone[[#This Row],[Hour]]</f>
        <v>44</v>
      </c>
      <c r="O47" s="182"/>
      <c r="P47" s="182">
        <v>1</v>
      </c>
      <c r="Q47" s="182"/>
      <c r="R47" s="161">
        <v>9</v>
      </c>
      <c r="S47" s="182"/>
      <c r="T47" s="182"/>
      <c r="U47" s="182"/>
      <c r="V47" s="182"/>
      <c r="W47" s="182"/>
      <c r="X47" s="182"/>
      <c r="Y47" s="182"/>
      <c r="Z47" s="182"/>
      <c r="AA47" s="182"/>
      <c r="AB47" s="182"/>
      <c r="AC47" s="182"/>
      <c r="AD47" s="182"/>
      <c r="AE47" s="182"/>
      <c r="AF47" s="182"/>
      <c r="AG47" s="182"/>
      <c r="AH47" s="53">
        <f ca="1">TblImps[[#This Row],[Time]]</f>
        <v>45431.541666666562</v>
      </c>
      <c r="AI47" s="183">
        <f ca="1">MIN(25%,(TblConstr[[#This Row],[Tot Fac]]+TblConstr[[#This Row],[Dest Fac]])/(TblConstr[[#This Row],[Land]]-TblExplore[[#This Row],[Land Bonus]]*20))</f>
        <v>0.10188679245283019</v>
      </c>
      <c r="AJ47" s="183">
        <f ca="1">MIN(25%,(TblConstr[[#This Row],[Tot Fac]]+TblConstr[[#This Row],[Dest Fac]])/TblConstr[[#This Row],[Land]])</f>
        <v>0.10188679245283019</v>
      </c>
      <c r="AK47" s="97">
        <f ca="1">TblProd[[#This Row],[Platinum]]</f>
        <v>107787</v>
      </c>
      <c r="AL47" s="97">
        <f ca="1">TblProd[[#This Row],[Lumber]]</f>
        <v>8932</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480</v>
      </c>
      <c r="AN47" s="97">
        <f ca="1">ROUNDDOWN( MAX(1 - MIN(facs_constr_factor*TblConstr[[#This Row],[Facs -DB]],facs_constr_max) + tech_1_11*TblTech[[#This Row],[11-1]] + tech_6_3_2*TblTech[[#This Row],[6-3]] + tech_5_2_3*TblTech[[#This Row],[5-2]], 1-global_constr_cap) * TblConstr[[#This Row],[RCPA Lumber]],0)</f>
        <v>83</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480</v>
      </c>
      <c r="AP47" s="97">
        <f ca="1">ROUNDDOWN( MAX(1 - MIN(facs_constr_factor*TblConstr[[#This Row],[Facs DB]],facs_constr_max) + tech_1_11*TblTech[[#This Row],[1-11]] + tech_6_3_2*TblTech[[#This Row],[6-3]] + tech_5_2_3*TblTech[[#This Row],[5-2]], 1-global_constr_cap) * ROUND((TblConstr[[#This Row],[Land]]-250)*0.285 + 87.5 + 0/4.25,0),0)</f>
        <v>83</v>
      </c>
      <c r="AQ47" s="45">
        <f ca="1">TblConstr[[#This Row],[build -db]]*TblConstr[[#This Row],[CPA Platinum -DB]] + TblConstr[[#This Row],[build db]]*TblConstr[[#This Row],[CPA Platinum DB]]</f>
        <v>4800</v>
      </c>
      <c r="AR47" s="45">
        <f ca="1">TblConstr[[#This Row],[build -db]]*TblConstr[[#This Row],[CPA Lumber -DB]]+TblConstr[[#This Row],[build db]]*TblConstr[[#This Row],[CPA Lumber DB]]</f>
        <v>830</v>
      </c>
      <c r="AS47" s="97">
        <f ca="1">MIN(SUM(OFFSET(TblConstr[[#This Row],[Plain]:[Water]],-1,0))+SUM(TblConstr[[#This Row],[Dest Hom]:[Dest Doc]])+IF(TblConstr[[#This Row],[Hour]]&gt;12,SUM(OFFSET(TblExplore[[#This Row],[Plains Explore]:[Water Explore]],-12,0)),0),SUM(TblConstr[[#This Row],[Hom]:[Doc]]))</f>
        <v>10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1200</v>
      </c>
      <c r="AW47" s="97">
        <f ca="1">ROUND((TblConstr[[#This Row],[Land]]-250 - IF(TblExplore[[#This Row],[Land Bonus]]&lt;&gt;0,20,0))*0.285 + 87.5 + 0/4.25,0)</f>
        <v>167</v>
      </c>
      <c r="AX47" s="157"/>
      <c r="AY47" s="191" cm="1">
        <f t="array" aca="1" ref="AY47" ca="1">IF(TblConstr[[#This Row],[Hour]:[Hour]]&gt;12,OFFSET(TblConstr[[#This Row],[Hom]],-12,0),0)+OFFSET(TblConstr[[#This Row],[Tot Hom]],-1,0)-TblConstr[[#This Row],[Dest Hom]]</f>
        <v>0</v>
      </c>
      <c r="AZ47" s="192" cm="1">
        <f t="array" aca="1" ref="AZ47" ca="1">IF(TblConstr[[#This Row],[Hour]:[Hour]]&gt;12,OFFSET(TblConstr[[#This Row],[Alc]],-12,0),0)+OFFSET(TblConstr[[#This Row],[Tot Alc]],-1,0)-TblConstr[[#This Row],[Dest Alc]]</f>
        <v>226</v>
      </c>
      <c r="BA47" s="192" cm="1">
        <f t="array" aca="1" ref="BA47" ca="1">IF(TblConstr[[#This Row],[Hour]:[Hour]]&gt;12,OFFSET(TblConstr[[#This Row],[Far]],-12,0),0)+OFFSET(TblConstr[[#This Row],[Tot Farm]],-1,0)-TblConstr[[#This Row],[Dest Farm]]</f>
        <v>11</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25</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54</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19</v>
      </c>
      <c r="BM47" s="395" cm="1">
        <f t="array" aca="1" ref="BM47" ca="1">IF(TblConstr[[#This Row],[Hour]:[Hour]]&gt;12,OFFSET(TblConstr[[#This Row],[Tem]],-12,0),0)+OFFSET(TblConstr[[#This Row],[Tot Tem]],-1,0)-TblConstr[[#This Row],[Dest Tem]]</f>
        <v>47</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10</v>
      </c>
      <c r="BR47" s="145"/>
      <c r="BS47" s="157"/>
      <c r="BT47" s="97">
        <f ca="1">TblConstr[[#This Row],[Land]]</f>
        <v>530</v>
      </c>
      <c r="BU47" s="162">
        <f ca="1">TblImps[[#This Row],[Time]]</f>
        <v>45431.541666666562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356</v>
      </c>
      <c r="DA47" s="97">
        <f t="shared" ca="1" si="4"/>
        <v>25</v>
      </c>
      <c r="DB47" s="45">
        <f t="shared" ca="1" si="5"/>
        <v>0</v>
      </c>
      <c r="DC47" s="97">
        <f t="shared" ca="1" si="6"/>
        <v>67</v>
      </c>
      <c r="DD47" s="97">
        <f t="shared" ca="1" si="7"/>
        <v>72</v>
      </c>
      <c r="DE47" s="45">
        <f t="shared" ca="1" si="8"/>
        <v>0</v>
      </c>
      <c r="DF47" s="97">
        <f t="shared" ca="1" si="9"/>
        <v>10</v>
      </c>
      <c r="DG47" s="97" cm="1">
        <f t="array" aca="1" ref="DG47" ca="1">INDEX(TblConstr[[Total Plain]:[Total Water]],ROW()-ROW(TblConstr[#Headers]),MATCH("Total "&amp;home_land,TblConstr[[#Headers],[Total Plain]:[Total Water]],0))+TblConstr[[#This Row],[Homes]]</f>
        <v>0</v>
      </c>
      <c r="DH47" s="45">
        <f t="shared" ca="1" si="10"/>
        <v>0</v>
      </c>
      <c r="DI47" s="45">
        <f t="shared" ca="1" si="0"/>
        <v>0</v>
      </c>
      <c r="DJ47" s="45">
        <f t="shared" ca="1" si="1"/>
        <v>0</v>
      </c>
    </row>
    <row r="48" spans="1:114" x14ac:dyDescent="0.2">
      <c r="A48" s="178">
        <f>TblRezone[[#This Row],[Hour]]</f>
        <v>45</v>
      </c>
      <c r="B48" s="179">
        <f ca="1">SUM(TblConstr[[#This Row],[Plain]:[Water]])</f>
        <v>0</v>
      </c>
      <c r="C48" s="180">
        <f ca="1">SUM(TblConstr[[#This Row],[Tot Hom]:[Tot Doc]])</f>
        <v>404</v>
      </c>
      <c r="D48" s="180">
        <f t="shared" si="11"/>
        <v>136</v>
      </c>
      <c r="E48" s="181"/>
      <c r="F48" s="62">
        <f ca="1">TblConstr[[#This Row],[Barren]]+TblConstr[[#This Row],[Buildings]]+TblConstr[[#This Row],[Incoming]]</f>
        <v>540</v>
      </c>
      <c r="G48" s="190">
        <f ca="1">OFFSET(TblConstr[[#This Row],[Plain]],-1,0)+TblConstr[[#This Row],[Ch_Plain]]</f>
        <v>0</v>
      </c>
      <c r="H48" s="185">
        <f ca="1">OFFSET(TblConstr[[#This Row],[Forest]],-1,0)+TblConstr[[#This Row],[Ch_Forest]]</f>
        <v>0</v>
      </c>
      <c r="I48" s="385">
        <f ca="1">OFFSET(TblConstr[[#This Row],[Mountain]],-1,0)+TblConstr[[#This Row],[Ch_Mountain]]</f>
        <v>0</v>
      </c>
      <c r="J48" s="389">
        <f ca="1">OFFSET(TblConstr[[#This Row],[Hill]],-1,0)+TblConstr[[#This Row],[Ch_Hill]]</f>
        <v>0</v>
      </c>
      <c r="K48" s="393">
        <f ca="1">OFFSET(TblConstr[[#This Row],[Swamp]],-1,0)+TblConstr[[#This Row],[Ch_Swamp]]</f>
        <v>0</v>
      </c>
      <c r="L48" s="188">
        <f ca="1">OFFSET(TblConstr[[#This Row],[Cavern]],-1,0)+TblConstr[[#This Row],[Ch_Cavern]]</f>
        <v>0</v>
      </c>
      <c r="M48" s="189">
        <f ca="1">OFFSET(TblConstr[[#This Row],[Water]],-1,0)+TblConstr[[#This Row],[Ch_Water]]</f>
        <v>0</v>
      </c>
      <c r="N48" s="383">
        <f>TblRezone[[#This Row],[Hour]]</f>
        <v>45</v>
      </c>
      <c r="O48" s="182"/>
      <c r="P48" s="182">
        <v>1</v>
      </c>
      <c r="Q48" s="182"/>
      <c r="R48" s="161">
        <v>9</v>
      </c>
      <c r="S48" s="182"/>
      <c r="T48" s="182"/>
      <c r="U48" s="182"/>
      <c r="V48" s="182"/>
      <c r="W48" s="182"/>
      <c r="X48" s="182"/>
      <c r="Y48" s="182"/>
      <c r="Z48" s="182"/>
      <c r="AA48" s="182"/>
      <c r="AB48" s="182"/>
      <c r="AC48" s="182"/>
      <c r="AD48" s="182"/>
      <c r="AE48" s="182"/>
      <c r="AF48" s="182"/>
      <c r="AG48" s="182"/>
      <c r="AH48" s="53">
        <f ca="1">TblImps[[#This Row],[Time]]</f>
        <v>45431.583333333227</v>
      </c>
      <c r="AI48" s="183">
        <f ca="1">MIN(25%,(TblConstr[[#This Row],[Tot Fac]]+TblConstr[[#This Row],[Dest Fac]])/(TblConstr[[#This Row],[Land]]-TblExplore[[#This Row],[Land Bonus]]*20))</f>
        <v>0.10185185185185185</v>
      </c>
      <c r="AJ48" s="183">
        <f ca="1">MIN(25%,(TblConstr[[#This Row],[Tot Fac]]+TblConstr[[#This Row],[Dest Fac]])/TblConstr[[#This Row],[Land]])</f>
        <v>0.10185185185185185</v>
      </c>
      <c r="AK48" s="97">
        <f ca="1">TblProd[[#This Row],[Platinum]]</f>
        <v>141605</v>
      </c>
      <c r="AL48" s="97">
        <f ca="1">TblProd[[#This Row],[Lumber]]</f>
        <v>9118</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485</v>
      </c>
      <c r="AN48" s="97">
        <f ca="1">ROUNDDOWN( MAX(1 - MIN(facs_constr_factor*TblConstr[[#This Row],[Facs -DB]],facs_constr_max) + tech_1_11*TblTech[[#This Row],[11-1]] + tech_6_3_2*TblTech[[#This Row],[6-3]] + tech_5_2_3*TblTech[[#This Row],[5-2]], 1-global_constr_cap) * TblConstr[[#This Row],[RCPA Lumber]],0)</f>
        <v>85</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485</v>
      </c>
      <c r="AP48" s="97">
        <f ca="1">ROUNDDOWN( MAX(1 - MIN(facs_constr_factor*TblConstr[[#This Row],[Facs DB]],facs_constr_max) + tech_1_11*TblTech[[#This Row],[1-11]] + tech_6_3_2*TblTech[[#This Row],[6-3]] + tech_5_2_3*TblTech[[#This Row],[5-2]], 1-global_constr_cap) * ROUND((TblConstr[[#This Row],[Land]]-250)*0.285 + 87.5 + 0/4.25,0),0)</f>
        <v>85</v>
      </c>
      <c r="AQ48" s="45">
        <f ca="1">TblConstr[[#This Row],[build -db]]*TblConstr[[#This Row],[CPA Platinum -DB]] + TblConstr[[#This Row],[build db]]*TblConstr[[#This Row],[CPA Platinum DB]]</f>
        <v>4850</v>
      </c>
      <c r="AR48" s="45">
        <f ca="1">TblConstr[[#This Row],[build -db]]*TblConstr[[#This Row],[CPA Lumber -DB]]+TblConstr[[#This Row],[build db]]*TblConstr[[#This Row],[CPA Lumber DB]]</f>
        <v>850</v>
      </c>
      <c r="AS48" s="97">
        <f ca="1">MIN(SUM(OFFSET(TblConstr[[#This Row],[Plain]:[Water]],-1,0))+SUM(TblConstr[[#This Row],[Dest Hom]:[Dest Doc]])+IF(TblConstr[[#This Row],[Hour]]&gt;12,SUM(OFFSET(TblExplore[[#This Row],[Plains Explore]:[Water Explore]],-12,0)),0),SUM(TblConstr[[#This Row],[Hom]:[Doc]]))</f>
        <v>10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1213</v>
      </c>
      <c r="AW48" s="97">
        <f ca="1">ROUND((TblConstr[[#This Row],[Land]]-250 - IF(TblExplore[[#This Row],[Land Bonus]]&lt;&gt;0,20,0))*0.285 + 87.5 + 0/4.25,0)</f>
        <v>170</v>
      </c>
      <c r="AX48" s="157"/>
      <c r="AY48" s="191" cm="1">
        <f t="array" aca="1" ref="AY48" ca="1">IF(TblConstr[[#This Row],[Hour]:[Hour]]&gt;12,OFFSET(TblConstr[[#This Row],[Hom]],-12,0),0)+OFFSET(TblConstr[[#This Row],[Tot Hom]],-1,0)-TblConstr[[#This Row],[Dest Hom]]</f>
        <v>0</v>
      </c>
      <c r="AZ48" s="192" cm="1">
        <f t="array" aca="1" ref="AZ48" ca="1">IF(TblConstr[[#This Row],[Hour]:[Hour]]&gt;12,OFFSET(TblConstr[[#This Row],[Alc]],-12,0),0)+OFFSET(TblConstr[[#This Row],[Tot Alc]],-1,0)-TblConstr[[#This Row],[Dest Alc]]</f>
        <v>226</v>
      </c>
      <c r="BA48" s="192" cm="1">
        <f t="array" aca="1" ref="BA48" ca="1">IF(TblConstr[[#This Row],[Hour]:[Hour]]&gt;12,OFFSET(TblConstr[[#This Row],[Far]],-12,0),0)+OFFSET(TblConstr[[#This Row],[Tot Farm]],-1,0)-TblConstr[[#This Row],[Dest Farm]]</f>
        <v>16</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25</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55</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25</v>
      </c>
      <c r="BM48" s="395" cm="1">
        <f t="array" aca="1" ref="BM48" ca="1">IF(TblConstr[[#This Row],[Hour]:[Hour]]&gt;12,OFFSET(TblConstr[[#This Row],[Tem]],-12,0),0)+OFFSET(TblConstr[[#This Row],[Tot Tem]],-1,0)-TblConstr[[#This Row],[Dest Tem]]</f>
        <v>47</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10</v>
      </c>
      <c r="BR48" s="145"/>
      <c r="BS48" s="157"/>
      <c r="BT48" s="97">
        <f ca="1">TblConstr[[#This Row],[Land]]</f>
        <v>540</v>
      </c>
      <c r="BU48" s="162">
        <f ca="1">TblImps[[#This Row],[Time]]</f>
        <v>45431.583333333227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366</v>
      </c>
      <c r="DA48" s="97">
        <f t="shared" ref="DA48:DA79" ca="1" si="13">H48+SUM(T37:U48)+SUM(BD48:BE48)</f>
        <v>25</v>
      </c>
      <c r="DB48" s="45">
        <f t="shared" ref="DB48:DB79" ca="1" si="14">I48+SUM(V37:W48)+SUM(BF48:BG48)</f>
        <v>0</v>
      </c>
      <c r="DC48" s="97">
        <f t="shared" ref="DC48:DC79" ca="1" si="15">J48+SUM(X37:Y48)+SUM(BH48:BI48)</f>
        <v>67</v>
      </c>
      <c r="DD48" s="97">
        <f t="shared" ref="DD48:DD79" ca="1" si="16">K48+SUM(AB37:AD48)+SUM(BL48:BN48)</f>
        <v>72</v>
      </c>
      <c r="DE48" s="45">
        <f t="shared" ref="DE48:DE79" ca="1" si="17">L48+SUM(AE37:AE48)+BO48</f>
        <v>0</v>
      </c>
      <c r="DF48" s="97">
        <f t="shared" ref="DF48:DF79" ca="1" si="18">M48+SUM(AG37:AG48)+BQ48</f>
        <v>10</v>
      </c>
      <c r="DG48" s="97" cm="1">
        <f t="array" aca="1" ref="DG48" ca="1">INDEX(TblConstr[[Total Plain]:[Total Water]],ROW()-ROW(TblConstr[#Headers]),MATCH("Total "&amp;home_land,TblConstr[[#Headers],[Total Plain]:[Total Water]],0))+TblConstr[[#This Row],[Homes]]</f>
        <v>0</v>
      </c>
      <c r="DH48" s="45">
        <f t="shared" ca="1" si="10"/>
        <v>0</v>
      </c>
      <c r="DI48" s="45">
        <f t="shared" ca="1" si="0"/>
        <v>5</v>
      </c>
      <c r="DJ48" s="45">
        <f t="shared" ca="1" si="1"/>
        <v>0</v>
      </c>
    </row>
    <row r="49" spans="1:114" x14ac:dyDescent="0.2">
      <c r="A49" s="178">
        <f>TblRezone[[#This Row],[Hour]]</f>
        <v>46</v>
      </c>
      <c r="B49" s="179">
        <f ca="1">SUM(TblConstr[[#This Row],[Plain]:[Water]])</f>
        <v>0</v>
      </c>
      <c r="C49" s="180">
        <f ca="1">SUM(TblConstr[[#This Row],[Tot Hom]:[Tot Doc]])</f>
        <v>407</v>
      </c>
      <c r="D49" s="180">
        <f t="shared" si="11"/>
        <v>144</v>
      </c>
      <c r="E49" s="181"/>
      <c r="F49" s="62">
        <f ca="1">TblConstr[[#This Row],[Barren]]+TblConstr[[#This Row],[Buildings]]+TblConstr[[#This Row],[Incoming]]</f>
        <v>551</v>
      </c>
      <c r="G49" s="190">
        <f ca="1">OFFSET(TblConstr[[#This Row],[Plain]],-1,0)+TblConstr[[#This Row],[Ch_Plain]]</f>
        <v>0</v>
      </c>
      <c r="H49" s="185">
        <f ca="1">OFFSET(TblConstr[[#This Row],[Forest]],-1,0)+TblConstr[[#This Row],[Ch_Forest]]</f>
        <v>0</v>
      </c>
      <c r="I49" s="385">
        <f ca="1">OFFSET(TblConstr[[#This Row],[Mountain]],-1,0)+TblConstr[[#This Row],[Ch_Mountain]]</f>
        <v>0</v>
      </c>
      <c r="J49" s="389">
        <f ca="1">OFFSET(TblConstr[[#This Row],[Hill]],-1,0)+TblConstr[[#This Row],[Ch_Hill]]</f>
        <v>0</v>
      </c>
      <c r="K49" s="393">
        <f ca="1">OFFSET(TblConstr[[#This Row],[Swamp]],-1,0)+TblConstr[[#This Row],[Ch_Swamp]]</f>
        <v>0</v>
      </c>
      <c r="L49" s="188">
        <f ca="1">OFFSET(TblConstr[[#This Row],[Cavern]],-1,0)+TblConstr[[#This Row],[Ch_Cavern]]</f>
        <v>0</v>
      </c>
      <c r="M49" s="189">
        <f ca="1">OFFSET(TblConstr[[#This Row],[Water]],-1,0)+TblConstr[[#This Row],[Ch_Water]]</f>
        <v>0</v>
      </c>
      <c r="N49" s="383">
        <f>TblRezone[[#This Row],[Hour]]</f>
        <v>46</v>
      </c>
      <c r="O49" s="182"/>
      <c r="P49" s="182">
        <v>1</v>
      </c>
      <c r="Q49" s="182"/>
      <c r="R49" s="161">
        <v>10</v>
      </c>
      <c r="S49" s="182"/>
      <c r="T49" s="182"/>
      <c r="U49" s="182"/>
      <c r="V49" s="182"/>
      <c r="W49" s="182"/>
      <c r="X49" s="182"/>
      <c r="Y49" s="182"/>
      <c r="Z49" s="182"/>
      <c r="AA49" s="182"/>
      <c r="AB49" s="182"/>
      <c r="AC49" s="182"/>
      <c r="AD49" s="182"/>
      <c r="AE49" s="182"/>
      <c r="AF49" s="182"/>
      <c r="AG49" s="182"/>
      <c r="AH49" s="53">
        <f ca="1">TblImps[[#This Row],[Time]]</f>
        <v>45431.624999999891</v>
      </c>
      <c r="AI49" s="183">
        <f ca="1">MIN(25%,(TblConstr[[#This Row],[Tot Fac]]+TblConstr[[#This Row],[Dest Fac]])/(TblConstr[[#This Row],[Land]]-TblExplore[[#This Row],[Land Bonus]]*20))</f>
        <v>0.10163339382940109</v>
      </c>
      <c r="AJ49" s="183">
        <f ca="1">MIN(25%,(TblConstr[[#This Row],[Tot Fac]]+TblConstr[[#This Row],[Dest Fac]])/TblConstr[[#This Row],[Land]])</f>
        <v>0.10163339382940109</v>
      </c>
      <c r="AK49" s="97">
        <f ca="1">TblProd[[#This Row],[Platinum]]</f>
        <v>175641</v>
      </c>
      <c r="AL49" s="97">
        <f ca="1">TblProd[[#This Row],[Lumber]]</f>
        <v>9206</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490</v>
      </c>
      <c r="AN49" s="97">
        <f ca="1">ROUNDDOWN( MAX(1 - MIN(facs_constr_factor*TblConstr[[#This Row],[Facs -DB]],facs_constr_max) + tech_1_11*TblTech[[#This Row],[11-1]] + tech_6_3_2*TblTech[[#This Row],[6-3]] + tech_5_2_3*TblTech[[#This Row],[5-2]], 1-global_constr_cap) * TblConstr[[#This Row],[RCPA Lumber]],0)</f>
        <v>86</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490</v>
      </c>
      <c r="AP49" s="97">
        <f ca="1">ROUNDDOWN( MAX(1 - MIN(facs_constr_factor*TblConstr[[#This Row],[Facs DB]],facs_constr_max) + tech_1_11*TblTech[[#This Row],[1-11]] + tech_6_3_2*TblTech[[#This Row],[6-3]] + tech_5_2_3*TblTech[[#This Row],[5-2]], 1-global_constr_cap) * ROUND((TblConstr[[#This Row],[Land]]-250)*0.285 + 87.5 + 0/4.25,0),0)</f>
        <v>86</v>
      </c>
      <c r="AQ49" s="45">
        <f ca="1">TblConstr[[#This Row],[build -db]]*TblConstr[[#This Row],[CPA Platinum -DB]] + TblConstr[[#This Row],[build db]]*TblConstr[[#This Row],[CPA Platinum DB]]</f>
        <v>5390</v>
      </c>
      <c r="AR49" s="45">
        <f ca="1">TblConstr[[#This Row],[build -db]]*TblConstr[[#This Row],[CPA Lumber -DB]]+TblConstr[[#This Row],[build db]]*TblConstr[[#This Row],[CPA Lumber DB]]</f>
        <v>946</v>
      </c>
      <c r="AS49" s="97">
        <f ca="1">MIN(SUM(OFFSET(TblConstr[[#This Row],[Plain]:[Water]],-1,0))+SUM(TblConstr[[#This Row],[Dest Hom]:[Dest Doc]])+IF(TblConstr[[#This Row],[Hour]]&gt;12,SUM(OFFSET(TblExplore[[#This Row],[Plains Explore]:[Water Explore]],-12,0)),0),SUM(TblConstr[[#This Row],[Hom]:[Doc]]))</f>
        <v>11</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1226</v>
      </c>
      <c r="AW49" s="97">
        <f ca="1">ROUND((TblConstr[[#This Row],[Land]]-250 - IF(TblExplore[[#This Row],[Land Bonus]]&lt;&gt;0,20,0))*0.285 + 87.5 + 0/4.25,0)</f>
        <v>173</v>
      </c>
      <c r="AX49" s="157"/>
      <c r="AY49" s="191" cm="1">
        <f t="array" aca="1" ref="AY49" ca="1">IF(TblConstr[[#This Row],[Hour]:[Hour]]&gt;12,OFFSET(TblConstr[[#This Row],[Hom]],-12,0),0)+OFFSET(TblConstr[[#This Row],[Tot Hom]],-1,0)-TblConstr[[#This Row],[Dest Hom]]</f>
        <v>0</v>
      </c>
      <c r="AZ49" s="192" cm="1">
        <f t="array" aca="1" ref="AZ49" ca="1">IF(TblConstr[[#This Row],[Hour]:[Hour]]&gt;12,OFFSET(TblConstr[[#This Row],[Alc]],-12,0),0)+OFFSET(TblConstr[[#This Row],[Tot Alc]],-1,0)-TblConstr[[#This Row],[Dest Alc]]</f>
        <v>226</v>
      </c>
      <c r="BA49" s="192" cm="1">
        <f t="array" aca="1" ref="BA49" ca="1">IF(TblConstr[[#This Row],[Hour]:[Hour]]&gt;12,OFFSET(TblConstr[[#This Row],[Far]],-12,0),0)+OFFSET(TblConstr[[#This Row],[Tot Farm]],-1,0)-TblConstr[[#This Row],[Dest Farm]]</f>
        <v>18</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25</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56</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25</v>
      </c>
      <c r="BM49" s="395" cm="1">
        <f t="array" aca="1" ref="BM49" ca="1">IF(TblConstr[[#This Row],[Hour]:[Hour]]&gt;12,OFFSET(TblConstr[[#This Row],[Tem]],-12,0),0)+OFFSET(TblConstr[[#This Row],[Tot Tem]],-1,0)-TblConstr[[#This Row],[Dest Tem]]</f>
        <v>47</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10</v>
      </c>
      <c r="BR49" s="145"/>
      <c r="BS49" s="157"/>
      <c r="BT49" s="97">
        <f ca="1">TblConstr[[#This Row],[Land]]</f>
        <v>551</v>
      </c>
      <c r="BU49" s="162">
        <f ca="1">TblImps[[#This Row],[Time]]</f>
        <v>45431.624999999891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377</v>
      </c>
      <c r="DA49" s="97">
        <f t="shared" ca="1" si="13"/>
        <v>25</v>
      </c>
      <c r="DB49" s="45">
        <f t="shared" ca="1" si="14"/>
        <v>0</v>
      </c>
      <c r="DC49" s="97">
        <f t="shared" ca="1" si="15"/>
        <v>67</v>
      </c>
      <c r="DD49" s="97">
        <f t="shared" ca="1" si="16"/>
        <v>72</v>
      </c>
      <c r="DE49" s="45">
        <f t="shared" ca="1" si="17"/>
        <v>0</v>
      </c>
      <c r="DF49" s="97">
        <f t="shared" ca="1" si="18"/>
        <v>10</v>
      </c>
      <c r="DG49" s="97" cm="1">
        <f t="array" aca="1" ref="DG49" ca="1">INDEX(TblConstr[[Total Plain]:[Total Water]],ROW()-ROW(TblConstr[#Headers]),MATCH("Total "&amp;home_land,TblConstr[[#Headers],[Total Plain]:[Total Water]],0))+TblConstr[[#This Row],[Homes]]</f>
        <v>0</v>
      </c>
      <c r="DH49" s="45">
        <f t="shared" ca="1" si="10"/>
        <v>0</v>
      </c>
      <c r="DI49" s="45">
        <f t="shared" ca="1" si="0"/>
        <v>2</v>
      </c>
      <c r="DJ49" s="45">
        <f t="shared" ca="1" si="1"/>
        <v>0</v>
      </c>
    </row>
    <row r="50" spans="1:114" x14ac:dyDescent="0.2">
      <c r="A50" s="178">
        <f>TblRezone[[#This Row],[Hour]]</f>
        <v>47</v>
      </c>
      <c r="B50" s="179">
        <f ca="1">SUM(TblConstr[[#This Row],[Plain]:[Water]])</f>
        <v>0</v>
      </c>
      <c r="C50" s="180">
        <f ca="1">SUM(TblConstr[[#This Row],[Tot Hom]:[Tot Doc]])</f>
        <v>409</v>
      </c>
      <c r="D50" s="180">
        <f t="shared" si="11"/>
        <v>154</v>
      </c>
      <c r="E50" s="181"/>
      <c r="F50" s="62">
        <f ca="1">TblConstr[[#This Row],[Barren]]+TblConstr[[#This Row],[Buildings]]+TblConstr[[#This Row],[Incoming]]</f>
        <v>563</v>
      </c>
      <c r="G50" s="190">
        <f ca="1">OFFSET(TblConstr[[#This Row],[Plain]],-1,0)+TblConstr[[#This Row],[Ch_Plain]]</f>
        <v>0</v>
      </c>
      <c r="H50" s="185">
        <f ca="1">OFFSET(TblConstr[[#This Row],[Forest]],-1,0)+TblConstr[[#This Row],[Ch_Forest]]</f>
        <v>0</v>
      </c>
      <c r="I50" s="385">
        <f ca="1">OFFSET(TblConstr[[#This Row],[Mountain]],-1,0)+TblConstr[[#This Row],[Ch_Mountain]]</f>
        <v>0</v>
      </c>
      <c r="J50" s="389">
        <f ca="1">OFFSET(TblConstr[[#This Row],[Hill]],-1,0)+TblConstr[[#This Row],[Ch_Hill]]</f>
        <v>0</v>
      </c>
      <c r="K50" s="393">
        <f ca="1">OFFSET(TblConstr[[#This Row],[Swamp]],-1,0)+TblConstr[[#This Row],[Ch_Swamp]]</f>
        <v>0</v>
      </c>
      <c r="L50" s="188">
        <f ca="1">OFFSET(TblConstr[[#This Row],[Cavern]],-1,0)+TblConstr[[#This Row],[Ch_Cavern]]</f>
        <v>0</v>
      </c>
      <c r="M50" s="189">
        <f ca="1">OFFSET(TblConstr[[#This Row],[Water]],-1,0)+TblConstr[[#This Row],[Ch_Water]]</f>
        <v>0</v>
      </c>
      <c r="N50" s="383">
        <f>TblRezone[[#This Row],[Hour]]</f>
        <v>47</v>
      </c>
      <c r="O50" s="182"/>
      <c r="P50" s="182">
        <v>2</v>
      </c>
      <c r="Q50" s="182"/>
      <c r="R50" s="161">
        <v>10</v>
      </c>
      <c r="S50" s="182"/>
      <c r="T50" s="182"/>
      <c r="U50" s="182"/>
      <c r="V50" s="182"/>
      <c r="W50" s="182"/>
      <c r="X50" s="182"/>
      <c r="Y50" s="182"/>
      <c r="Z50" s="182"/>
      <c r="AA50" s="182"/>
      <c r="AB50" s="182"/>
      <c r="AC50" s="182"/>
      <c r="AD50" s="182"/>
      <c r="AE50" s="182"/>
      <c r="AF50" s="182"/>
      <c r="AG50" s="182"/>
      <c r="AH50" s="53">
        <f ca="1">TblImps[[#This Row],[Time]]</f>
        <v>45431.666666666555</v>
      </c>
      <c r="AI50" s="183">
        <f ca="1">MIN(25%,(TblConstr[[#This Row],[Tot Fac]]+TblConstr[[#This Row],[Dest Fac]])/(TblConstr[[#This Row],[Land]]-TblExplore[[#This Row],[Land Bonus]]*20))</f>
        <v>0.10124333925399645</v>
      </c>
      <c r="AJ50" s="183">
        <f ca="1">MIN(25%,(TblConstr[[#This Row],[Tot Fac]]+TblConstr[[#This Row],[Dest Fac]])/TblConstr[[#This Row],[Land]])</f>
        <v>0.10124333925399645</v>
      </c>
      <c r="AK50" s="97">
        <f ca="1">TblProd[[#This Row],[Platinum]]</f>
        <v>209248</v>
      </c>
      <c r="AL50" s="97">
        <f ca="1">TblProd[[#This Row],[Lumber]]</f>
        <v>9183</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496</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496</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5952</v>
      </c>
      <c r="AR50" s="45">
        <f ca="1">TblConstr[[#This Row],[build -db]]*TblConstr[[#This Row],[CPA Lumber -DB]]+TblConstr[[#This Row],[build db]]*TblConstr[[#This Row],[CPA Lumber DB]]</f>
        <v>1056</v>
      </c>
      <c r="AS50" s="97">
        <f ca="1">MIN(SUM(OFFSET(TblConstr[[#This Row],[Plain]:[Water]],-1,0))+SUM(TblConstr[[#This Row],[Dest Hom]:[Dest Doc]])+IF(TblConstr[[#This Row],[Hour]]&gt;12,SUM(OFFSET(TblExplore[[#This Row],[Plains Explore]:[Water Explore]],-12,0)),0),SUM(TblConstr[[#This Row],[Hom]:[Doc]]))</f>
        <v>12</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1241</v>
      </c>
      <c r="AW50" s="97">
        <f ca="1">ROUND((TblConstr[[#This Row],[Land]]-250 - IF(TblExplore[[#This Row],[Land Bonus]]&lt;&gt;0,20,0))*0.285 + 87.5 + 0/4.25,0)</f>
        <v>177</v>
      </c>
      <c r="AX50" s="157"/>
      <c r="AY50" s="191" cm="1">
        <f t="array" aca="1" ref="AY50" ca="1">IF(TblConstr[[#This Row],[Hour]:[Hour]]&gt;12,OFFSET(TblConstr[[#This Row],[Hom]],-12,0),0)+OFFSET(TblConstr[[#This Row],[Tot Hom]],-1,0)-TblConstr[[#This Row],[Dest Hom]]</f>
        <v>0</v>
      </c>
      <c r="AZ50" s="192" cm="1">
        <f t="array" aca="1" ref="AZ50" ca="1">IF(TblConstr[[#This Row],[Hour]:[Hour]]&gt;12,OFFSET(TblConstr[[#This Row],[Alc]],-12,0),0)+OFFSET(TblConstr[[#This Row],[Tot Alc]],-1,0)-TblConstr[[#This Row],[Dest Alc]]</f>
        <v>226</v>
      </c>
      <c r="BA50" s="192" cm="1">
        <f t="array" aca="1" ref="BA50" ca="1">IF(TblConstr[[#This Row],[Hour]:[Hour]]&gt;12,OFFSET(TblConstr[[#This Row],[Far]],-12,0),0)+OFFSET(TblConstr[[#This Row],[Tot Farm]],-1,0)-TblConstr[[#This Row],[Dest Farm]]</f>
        <v>19</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25</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57</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25</v>
      </c>
      <c r="BM50" s="395" cm="1">
        <f t="array" aca="1" ref="BM50" ca="1">IF(TblConstr[[#This Row],[Hour]:[Hour]]&gt;12,OFFSET(TblConstr[[#This Row],[Tem]],-12,0),0)+OFFSET(TblConstr[[#This Row],[Tot Tem]],-1,0)-TblConstr[[#This Row],[Dest Tem]]</f>
        <v>47</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10</v>
      </c>
      <c r="BR50" s="145"/>
      <c r="BS50" s="157"/>
      <c r="BT50" s="97">
        <f ca="1">TblConstr[[#This Row],[Land]]</f>
        <v>563</v>
      </c>
      <c r="BU50" s="162">
        <f ca="1">TblImps[[#This Row],[Time]]</f>
        <v>45431.666666666555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389</v>
      </c>
      <c r="DA50" s="97">
        <f t="shared" ca="1" si="13"/>
        <v>25</v>
      </c>
      <c r="DB50" s="45">
        <f t="shared" ca="1" si="14"/>
        <v>0</v>
      </c>
      <c r="DC50" s="97">
        <f t="shared" ca="1" si="15"/>
        <v>67</v>
      </c>
      <c r="DD50" s="97">
        <f t="shared" ca="1" si="16"/>
        <v>72</v>
      </c>
      <c r="DE50" s="45">
        <f t="shared" ca="1" si="17"/>
        <v>0</v>
      </c>
      <c r="DF50" s="97">
        <f t="shared" ca="1" si="18"/>
        <v>10</v>
      </c>
      <c r="DG50" s="97" cm="1">
        <f t="array" aca="1" ref="DG50" ca="1">INDEX(TblConstr[[Total Plain]:[Total Water]],ROW()-ROW(TblConstr[#Headers]),MATCH("Total "&amp;home_land,TblConstr[[#Headers],[Total Plain]:[Total Water]],0))+TblConstr[[#This Row],[Homes]]</f>
        <v>0</v>
      </c>
      <c r="DH50" s="45">
        <f t="shared" ca="1" si="10"/>
        <v>0</v>
      </c>
      <c r="DI50" s="45">
        <f t="shared" ca="1" si="0"/>
        <v>1</v>
      </c>
      <c r="DJ50" s="45">
        <f t="shared" ca="1" si="1"/>
        <v>0</v>
      </c>
    </row>
    <row r="51" spans="1:114" x14ac:dyDescent="0.2">
      <c r="A51" s="178">
        <f>TblRezone[[#This Row],[Hour]]</f>
        <v>48</v>
      </c>
      <c r="B51" s="179">
        <f ca="1">SUM(TblConstr[[#This Row],[Plain]:[Water]])</f>
        <v>0</v>
      </c>
      <c r="C51" s="180">
        <f ca="1">SUM(TblConstr[[#This Row],[Tot Hom]:[Tot Doc]])</f>
        <v>419</v>
      </c>
      <c r="D51" s="180">
        <f t="shared" si="11"/>
        <v>177</v>
      </c>
      <c r="E51" s="181"/>
      <c r="F51" s="62">
        <f ca="1">TblConstr[[#This Row],[Barren]]+TblConstr[[#This Row],[Buildings]]+TblConstr[[#This Row],[Incoming]]</f>
        <v>596</v>
      </c>
      <c r="G51" s="190">
        <f ca="1">OFFSET(TblConstr[[#This Row],[Plain]],-1,0)+TblConstr[[#This Row],[Ch_Plain]]</f>
        <v>0</v>
      </c>
      <c r="H51" s="185">
        <f ca="1">OFFSET(TblConstr[[#This Row],[Forest]],-1,0)+TblConstr[[#This Row],[Ch_Forest]]</f>
        <v>0</v>
      </c>
      <c r="I51" s="385">
        <f ca="1">OFFSET(TblConstr[[#This Row],[Mountain]],-1,0)+TblConstr[[#This Row],[Ch_Mountain]]</f>
        <v>0</v>
      </c>
      <c r="J51" s="389">
        <f ca="1">OFFSET(TblConstr[[#This Row],[Hill]],-1,0)+TblConstr[[#This Row],[Ch_Hill]]</f>
        <v>0</v>
      </c>
      <c r="K51" s="393">
        <f ca="1">OFFSET(TblConstr[[#This Row],[Swamp]],-1,0)+TblConstr[[#This Row],[Ch_Swamp]]</f>
        <v>0</v>
      </c>
      <c r="L51" s="188">
        <f ca="1">OFFSET(TblConstr[[#This Row],[Cavern]],-1,0)+TblConstr[[#This Row],[Ch_Cavern]]</f>
        <v>0</v>
      </c>
      <c r="M51" s="189">
        <f ca="1">OFFSET(TblConstr[[#This Row],[Water]],-1,0)+TblConstr[[#This Row],[Ch_Water]]</f>
        <v>0</v>
      </c>
      <c r="N51" s="383">
        <f>TblRezone[[#This Row],[Hour]]</f>
        <v>48</v>
      </c>
      <c r="O51" s="182">
        <v>20</v>
      </c>
      <c r="P51" s="182">
        <v>1</v>
      </c>
      <c r="Q51" s="182"/>
      <c r="R51" s="161">
        <v>12</v>
      </c>
      <c r="S51" s="182"/>
      <c r="T51" s="182"/>
      <c r="U51" s="182"/>
      <c r="V51" s="182"/>
      <c r="W51" s="182"/>
      <c r="X51" s="182"/>
      <c r="Y51" s="182"/>
      <c r="Z51" s="182"/>
      <c r="AA51" s="182"/>
      <c r="AB51" s="182"/>
      <c r="AC51" s="182"/>
      <c r="AD51" s="182"/>
      <c r="AE51" s="182"/>
      <c r="AF51" s="182"/>
      <c r="AG51" s="182"/>
      <c r="AH51" s="53">
        <f ca="1">TblImps[[#This Row],[Time]]</f>
        <v>45431.708333333219</v>
      </c>
      <c r="AI51" s="183">
        <f ca="1">MIN(25%,(TblConstr[[#This Row],[Tot Fac]]+TblConstr[[#This Row],[Dest Fac]])/(TblConstr[[#This Row],[Land]]-TblExplore[[#This Row],[Land Bonus]]*20))</f>
        <v>0.11631944444444445</v>
      </c>
      <c r="AJ51" s="183">
        <f ca="1">MIN(25%,(TblConstr[[#This Row],[Tot Fac]]+TblConstr[[#This Row],[Dest Fac]])/TblConstr[[#This Row],[Land]])</f>
        <v>0.11241610738255034</v>
      </c>
      <c r="AK51" s="97">
        <f ca="1">TblProd[[#This Row],[Platinum]]</f>
        <v>267289</v>
      </c>
      <c r="AL51" s="97">
        <f ca="1">TblProd[[#This Row],[Lumber]]</f>
        <v>7186</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503</v>
      </c>
      <c r="AN51" s="97">
        <f ca="1">ROUNDDOWN( MAX(1 - MIN(facs_constr_factor*TblConstr[[#This Row],[Facs -DB]],facs_constr_max) + tech_1_11*TblTech[[#This Row],[11-1]] + tech_6_3_2*TblTech[[#This Row],[6-3]] + tech_5_2_3*TblTech[[#This Row],[5-2]], 1-global_constr_cap) * TblConstr[[#This Row],[RCPA Lumber]],0)</f>
        <v>90</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513</v>
      </c>
      <c r="AP51" s="97">
        <f ca="1">ROUNDDOWN( MAX(1 - MIN(facs_constr_factor*TblConstr[[#This Row],[Facs DB]],facs_constr_max) + tech_1_11*TblTech[[#This Row],[1-11]] + tech_6_3_2*TblTech[[#This Row],[6-3]] + tech_5_2_3*TblTech[[#This Row],[5-2]], 1-global_constr_cap) * ROUND((TblConstr[[#This Row],[Land]]-250)*0.285 + 87.5 + 0/4.25,0),0)</f>
        <v>93</v>
      </c>
      <c r="AQ51" s="45">
        <f ca="1">TblConstr[[#This Row],[build -db]]*TblConstr[[#This Row],[CPA Platinum -DB]] + TblConstr[[#This Row],[build db]]*TblConstr[[#This Row],[CPA Platinum DB]]</f>
        <v>16799</v>
      </c>
      <c r="AR51" s="45">
        <f ca="1">TblConstr[[#This Row],[build -db]]*TblConstr[[#This Row],[CPA Lumber -DB]]+TblConstr[[#This Row],[build db]]*TblConstr[[#This Row],[CPA Lumber DB]]</f>
        <v>3030</v>
      </c>
      <c r="AS51" s="97">
        <f ca="1">MIN(SUM(OFFSET(TblConstr[[#This Row],[Plain]:[Water]],-1,0))+SUM(TblConstr[[#This Row],[Dest Hom]:[Dest Doc]])+IF(TblConstr[[#This Row],[Hour]]&gt;12,SUM(OFFSET(TblExplore[[#This Row],[Plains Explore]:[Water Explore]],-12,0)),0),SUM(TblConstr[[#This Row],[Hom]:[Doc]]))</f>
        <v>13</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45"/>
      <c r="AV51" s="97">
        <f ca="1">ROUND((TblConstr[[#This Row],[Land]]-250 - IF(TblExplore[[#This Row],[Land Bonus]]&lt;&gt;0,20,0))*1.25 + 850 + 0,0)</f>
        <v>1258</v>
      </c>
      <c r="AW51" s="97">
        <f ca="1">ROUND((TblConstr[[#This Row],[Land]]-250 - IF(TblExplore[[#This Row],[Land Bonus]]&lt;&gt;0,20,0))*0.285 + 87.5 + 0/4.25,0)</f>
        <v>180</v>
      </c>
      <c r="AX51" s="157"/>
      <c r="AY51" s="191" cm="1">
        <f t="array" aca="1" ref="AY51" ca="1">IF(TblConstr[[#This Row],[Hour]:[Hour]]&gt;12,OFFSET(TblConstr[[#This Row],[Hom]],-12,0),0)+OFFSET(TblConstr[[#This Row],[Tot Hom]],-1,0)-TblConstr[[#This Row],[Dest Hom]]</f>
        <v>0</v>
      </c>
      <c r="AZ51" s="192" cm="1">
        <f t="array" aca="1" ref="AZ51" ca="1">IF(TblConstr[[#This Row],[Hour]:[Hour]]&gt;12,OFFSET(TblConstr[[#This Row],[Alc]],-12,0),0)+OFFSET(TblConstr[[#This Row],[Tot Alc]],-1,0)-TblConstr[[#This Row],[Dest Alc]]</f>
        <v>226</v>
      </c>
      <c r="BA51" s="192" cm="1">
        <f t="array" aca="1" ref="BA51" ca="1">IF(TblConstr[[#This Row],[Hour]:[Hour]]&gt;12,OFFSET(TblConstr[[#This Row],[Far]],-12,0),0)+OFFSET(TblConstr[[#This Row],[Tot Farm]],-1,0)-TblConstr[[#This Row],[Dest Farm]]</f>
        <v>19</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25</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67</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25</v>
      </c>
      <c r="BM51" s="395" cm="1">
        <f t="array" aca="1" ref="BM51" ca="1">IF(TblConstr[[#This Row],[Hour]:[Hour]]&gt;12,OFFSET(TblConstr[[#This Row],[Tem]],-12,0),0)+OFFSET(TblConstr[[#This Row],[Tot Tem]],-1,0)-TblConstr[[#This Row],[Dest Tem]]</f>
        <v>47</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10</v>
      </c>
      <c r="BR51" s="145"/>
      <c r="BS51" s="157"/>
      <c r="BT51" s="97">
        <f ca="1">TblConstr[[#This Row],[Land]]</f>
        <v>596</v>
      </c>
      <c r="BU51" s="162">
        <f ca="1">TblImps[[#This Row],[Time]]</f>
        <v>45431.708333333219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402</v>
      </c>
      <c r="DA51" s="97">
        <f t="shared" ca="1" si="13"/>
        <v>25</v>
      </c>
      <c r="DB51" s="45">
        <f t="shared" ca="1" si="14"/>
        <v>0</v>
      </c>
      <c r="DC51" s="97">
        <f t="shared" ca="1" si="15"/>
        <v>67</v>
      </c>
      <c r="DD51" s="97">
        <f t="shared" ca="1" si="16"/>
        <v>72</v>
      </c>
      <c r="DE51" s="45">
        <f t="shared" ca="1" si="17"/>
        <v>0</v>
      </c>
      <c r="DF51" s="97">
        <f t="shared" ca="1" si="18"/>
        <v>10</v>
      </c>
      <c r="DG51" s="97" cm="1">
        <f t="array" aca="1" ref="DG51" ca="1">INDEX(TblConstr[[Total Plain]:[Total Water]],ROW()-ROW(TblConstr[#Headers]),MATCH("Total "&amp;home_land,TblConstr[[#Headers],[Total Plain]:[Total Water]],0))+TblConstr[[#This Row],[Homes]]</f>
        <v>20</v>
      </c>
      <c r="DH51" s="45">
        <f t="shared" ca="1" si="10"/>
        <v>20</v>
      </c>
      <c r="DI51" s="45">
        <f t="shared" ca="1" si="0"/>
        <v>0</v>
      </c>
      <c r="DJ51" s="45">
        <f t="shared" ca="1" si="1"/>
        <v>0</v>
      </c>
    </row>
    <row r="52" spans="1:114" x14ac:dyDescent="0.2">
      <c r="A52" s="178">
        <f>TblRezone[[#This Row],[Hour]]</f>
        <v>49</v>
      </c>
      <c r="B52" s="179">
        <f ca="1">SUM(TblConstr[[#This Row],[Plain]:[Water]])</f>
        <v>0</v>
      </c>
      <c r="C52" s="180">
        <f ca="1">SUM(TblConstr[[#This Row],[Tot Hom]:[Tot Doc]])</f>
        <v>419</v>
      </c>
      <c r="D52" s="180">
        <f t="shared" si="11"/>
        <v>210</v>
      </c>
      <c r="E52" s="181"/>
      <c r="F52" s="62">
        <f ca="1">TblConstr[[#This Row],[Barren]]+TblConstr[[#This Row],[Buildings]]+TblConstr[[#This Row],[Incoming]]</f>
        <v>629</v>
      </c>
      <c r="G52" s="190">
        <f ca="1">OFFSET(TblConstr[[#This Row],[Plain]],-1,0)+TblConstr[[#This Row],[Ch_Plain]]</f>
        <v>0</v>
      </c>
      <c r="H52" s="185">
        <f ca="1">OFFSET(TblConstr[[#This Row],[Forest]],-1,0)+TblConstr[[#This Row],[Ch_Forest]]</f>
        <v>0</v>
      </c>
      <c r="I52" s="385">
        <f ca="1">OFFSET(TblConstr[[#This Row],[Mountain]],-1,0)+TblConstr[[#This Row],[Ch_Mountain]]</f>
        <v>0</v>
      </c>
      <c r="J52" s="389">
        <f ca="1">OFFSET(TblConstr[[#This Row],[Hill]],-1,0)+TblConstr[[#This Row],[Ch_Hill]]</f>
        <v>0</v>
      </c>
      <c r="K52" s="393">
        <f ca="1">OFFSET(TblConstr[[#This Row],[Swamp]],-1,0)+TblConstr[[#This Row],[Ch_Swamp]]</f>
        <v>0</v>
      </c>
      <c r="L52" s="188">
        <f ca="1">OFFSET(TblConstr[[#This Row],[Cavern]],-1,0)+TblConstr[[#This Row],[Ch_Cavern]]</f>
        <v>0</v>
      </c>
      <c r="M52" s="189">
        <f ca="1">OFFSET(TblConstr[[#This Row],[Water]],-1,0)+TblConstr[[#This Row],[Ch_Water]]</f>
        <v>0</v>
      </c>
      <c r="N52" s="383">
        <f>TblRezone[[#This Row],[Hour]]</f>
        <v>49</v>
      </c>
      <c r="O52" s="182">
        <v>20</v>
      </c>
      <c r="P52" s="182">
        <v>1</v>
      </c>
      <c r="Q52" s="182"/>
      <c r="R52" s="182">
        <v>12</v>
      </c>
      <c r="S52" s="182"/>
      <c r="T52" s="182"/>
      <c r="U52" s="182"/>
      <c r="V52" s="182"/>
      <c r="W52" s="182"/>
      <c r="X52" s="182"/>
      <c r="Y52" s="182"/>
      <c r="Z52" s="182"/>
      <c r="AA52" s="182"/>
      <c r="AB52" s="182"/>
      <c r="AC52" s="182"/>
      <c r="AD52" s="182"/>
      <c r="AE52" s="182"/>
      <c r="AF52" s="182"/>
      <c r="AG52" s="182"/>
      <c r="AH52" s="53">
        <f ca="1">TblImps[[#This Row],[Time]]</f>
        <v>45431.749999999884</v>
      </c>
      <c r="AI52" s="183">
        <f ca="1">MIN(25%,(TblConstr[[#This Row],[Tot Fac]]+TblConstr[[#This Row],[Dest Fac]])/(TblConstr[[#This Row],[Land]]-TblExplore[[#This Row],[Land Bonus]]*20))</f>
        <v>0.11001642036124795</v>
      </c>
      <c r="AJ52" s="183">
        <f ca="1">MIN(25%,(TblConstr[[#This Row],[Tot Fac]]+TblConstr[[#This Row],[Dest Fac]])/TblConstr[[#This Row],[Land]])</f>
        <v>0.10651828298887123</v>
      </c>
      <c r="AK52" s="97">
        <f ca="1">TblProd[[#This Row],[Platinum]]</f>
        <v>290264</v>
      </c>
      <c r="AL52" s="97">
        <f ca="1">TblProd[[#This Row],[Lumber]]</f>
        <v>5044</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519</v>
      </c>
      <c r="AN52" s="97">
        <f ca="1">ROUNDDOWN( MAX(1 - MIN(facs_constr_factor*TblConstr[[#This Row],[Facs -DB]],facs_constr_max) + tech_1_11*TblTech[[#This Row],[11-1]] + tech_6_3_2*TblTech[[#This Row],[6-3]] + tech_5_2_3*TblTech[[#This Row],[5-2]], 1-global_constr_cap) * TblConstr[[#This Row],[RCPA Lumber]],0)</f>
        <v>95</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529</v>
      </c>
      <c r="AP52" s="97">
        <f ca="1">ROUNDDOWN( MAX(1 - MIN(facs_constr_factor*TblConstr[[#This Row],[Facs DB]],facs_constr_max) + tech_1_11*TblTech[[#This Row],[1-11]] + tech_6_3_2*TblTech[[#This Row],[6-3]] + tech_5_2_3*TblTech[[#This Row],[5-2]], 1-global_constr_cap) * ROUND((TblConstr[[#This Row],[Land]]-250)*0.285 + 87.5 + 0/4.25,0),0)</f>
        <v>98</v>
      </c>
      <c r="AQ52" s="45">
        <f ca="1">TblConstr[[#This Row],[build -db]]*TblConstr[[#This Row],[CPA Platinum -DB]] + TblConstr[[#This Row],[build db]]*TblConstr[[#This Row],[CPA Platinum DB]]</f>
        <v>17327</v>
      </c>
      <c r="AR52" s="45">
        <f ca="1">TblConstr[[#This Row],[build -db]]*TblConstr[[#This Row],[CPA Lumber -DB]]+TblConstr[[#This Row],[build db]]*TblConstr[[#This Row],[CPA Lumber DB]]</f>
        <v>3195</v>
      </c>
      <c r="AS52" s="97">
        <f ca="1">MIN(SUM(OFFSET(TblConstr[[#This Row],[Plain]:[Water]],-1,0))+SUM(TblConstr[[#This Row],[Dest Hom]:[Dest Doc]])+IF(TblConstr[[#This Row],[Hour]]&gt;12,SUM(OFFSET(TblExplore[[#This Row],[Plains Explore]:[Water Explore]],-12,0)),0),SUM(TblConstr[[#This Row],[Hom]:[Doc]]))</f>
        <v>13</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45"/>
      <c r="AV52" s="97">
        <f ca="1">ROUND((TblConstr[[#This Row],[Land]]-250 - IF(TblExplore[[#This Row],[Land Bonus]]&lt;&gt;0,20,0))*1.25 + 850 + 0,0)</f>
        <v>1299</v>
      </c>
      <c r="AW52" s="97">
        <f ca="1">ROUND((TblConstr[[#This Row],[Land]]-250 - IF(TblExplore[[#This Row],[Land Bonus]]&lt;&gt;0,20,0))*0.285 + 87.5 + 0/4.25,0)</f>
        <v>190</v>
      </c>
      <c r="AX52" s="157"/>
      <c r="AY52" s="191" cm="1">
        <f t="array" aca="1" ref="AY52" ca="1">IF(TblConstr[[#This Row],[Hour]:[Hour]]&gt;12,OFFSET(TblConstr[[#This Row],[Hom]],-12,0),0)+OFFSET(TblConstr[[#This Row],[Tot Hom]],-1,0)-TblConstr[[#This Row],[Dest Hom]]</f>
        <v>0</v>
      </c>
      <c r="AZ52" s="192" cm="1">
        <f t="array" aca="1" ref="AZ52" ca="1">IF(TblConstr[[#This Row],[Hour]:[Hour]]&gt;12,OFFSET(TblConstr[[#This Row],[Alc]],-12,0),0)+OFFSET(TblConstr[[#This Row],[Tot Alc]],-1,0)-TblConstr[[#This Row],[Dest Alc]]</f>
        <v>226</v>
      </c>
      <c r="BA52" s="192" cm="1">
        <f t="array" aca="1" ref="BA52" ca="1">IF(TblConstr[[#This Row],[Hour]:[Hour]]&gt;12,OFFSET(TblConstr[[#This Row],[Far]],-12,0),0)+OFFSET(TblConstr[[#This Row],[Tot Farm]],-1,0)-TblConstr[[#This Row],[Dest Farm]]</f>
        <v>19</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25</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67</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25</v>
      </c>
      <c r="BM52" s="395" cm="1">
        <f t="array" aca="1" ref="BM52" ca="1">IF(TblConstr[[#This Row],[Hour]:[Hour]]&gt;12,OFFSET(TblConstr[[#This Row],[Tem]],-12,0),0)+OFFSET(TblConstr[[#This Row],[Tot Tem]],-1,0)-TblConstr[[#This Row],[Dest Tem]]</f>
        <v>47</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10</v>
      </c>
      <c r="BR52" s="145"/>
      <c r="BS52" s="157"/>
      <c r="BT52" s="97">
        <f ca="1">TblConstr[[#This Row],[Land]]</f>
        <v>629</v>
      </c>
      <c r="BU52" s="162">
        <f ca="1">TblImps[[#This Row],[Time]]</f>
        <v>45431.749999999884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415</v>
      </c>
      <c r="DA52" s="97">
        <f t="shared" ca="1" si="13"/>
        <v>25</v>
      </c>
      <c r="DB52" s="45">
        <f t="shared" ca="1" si="14"/>
        <v>0</v>
      </c>
      <c r="DC52" s="97">
        <f t="shared" ca="1" si="15"/>
        <v>67</v>
      </c>
      <c r="DD52" s="97">
        <f t="shared" ca="1" si="16"/>
        <v>72</v>
      </c>
      <c r="DE52" s="45">
        <f t="shared" ca="1" si="17"/>
        <v>0</v>
      </c>
      <c r="DF52" s="97">
        <f t="shared" ca="1" si="18"/>
        <v>10</v>
      </c>
      <c r="DG52" s="97" cm="1">
        <f t="array" aca="1" ref="DG52" ca="1">INDEX(TblConstr[[Total Plain]:[Total Water]],ROW()-ROW(TblConstr[#Headers]),MATCH("Total "&amp;home_land,TblConstr[[#Headers],[Total Plain]:[Total Water]],0))+TblConstr[[#This Row],[Homes]]</f>
        <v>40</v>
      </c>
      <c r="DH52" s="45">
        <f t="shared" ca="1" si="10"/>
        <v>40</v>
      </c>
      <c r="DI52" s="45">
        <f t="shared" ca="1" si="0"/>
        <v>0</v>
      </c>
      <c r="DJ52" s="45">
        <f t="shared" ca="1" si="1"/>
        <v>0</v>
      </c>
    </row>
    <row r="53" spans="1:114" x14ac:dyDescent="0.2">
      <c r="A53" s="178">
        <f>TblRezone[[#This Row],[Hour]]</f>
        <v>50</v>
      </c>
      <c r="B53" s="179">
        <f ca="1">SUM(TblConstr[[#This Row],[Plain]:[Water]])</f>
        <v>0</v>
      </c>
      <c r="C53" s="180">
        <f ca="1">SUM(TblConstr[[#This Row],[Tot Hom]:[Tot Doc]])</f>
        <v>419</v>
      </c>
      <c r="D53" s="180">
        <f t="shared" si="11"/>
        <v>223</v>
      </c>
      <c r="E53" s="181"/>
      <c r="F53" s="62">
        <f ca="1">TblConstr[[#This Row],[Barren]]+TblConstr[[#This Row],[Buildings]]+TblConstr[[#This Row],[Incoming]]</f>
        <v>642</v>
      </c>
      <c r="G53" s="190">
        <f ca="1">OFFSET(TblConstr[[#This Row],[Plain]],-1,0)+TblConstr[[#This Row],[Ch_Plain]]</f>
        <v>0</v>
      </c>
      <c r="H53" s="185">
        <f ca="1">OFFSET(TblConstr[[#This Row],[Forest]],-1,0)+TblConstr[[#This Row],[Ch_Forest]]</f>
        <v>0</v>
      </c>
      <c r="I53" s="385">
        <f ca="1">OFFSET(TblConstr[[#This Row],[Mountain]],-1,0)+TblConstr[[#This Row],[Ch_Mountain]]</f>
        <v>0</v>
      </c>
      <c r="J53" s="389">
        <f ca="1">OFFSET(TblConstr[[#This Row],[Hill]],-1,0)+TblConstr[[#This Row],[Ch_Hill]]</f>
        <v>0</v>
      </c>
      <c r="K53" s="393">
        <f ca="1">OFFSET(TblConstr[[#This Row],[Swamp]],-1,0)+TblConstr[[#This Row],[Ch_Swamp]]</f>
        <v>0</v>
      </c>
      <c r="L53" s="188">
        <f ca="1">OFFSET(TblConstr[[#This Row],[Cavern]],-1,0)+TblConstr[[#This Row],[Ch_Cavern]]</f>
        <v>0</v>
      </c>
      <c r="M53" s="189">
        <f ca="1">OFFSET(TblConstr[[#This Row],[Water]],-1,0)+TblConstr[[#This Row],[Ch_Water]]</f>
        <v>0</v>
      </c>
      <c r="N53" s="383">
        <f>TblRezone[[#This Row],[Hour]]</f>
        <v>50</v>
      </c>
      <c r="O53" s="182"/>
      <c r="P53" s="182">
        <v>5</v>
      </c>
      <c r="Q53" s="182">
        <v>2</v>
      </c>
      <c r="R53" s="182"/>
      <c r="S53" s="182"/>
      <c r="T53" s="182"/>
      <c r="U53" s="182"/>
      <c r="V53" s="182"/>
      <c r="W53" s="182"/>
      <c r="X53" s="182"/>
      <c r="Y53" s="182"/>
      <c r="Z53" s="182"/>
      <c r="AA53" s="182"/>
      <c r="AB53" s="182"/>
      <c r="AC53" s="182"/>
      <c r="AD53" s="182"/>
      <c r="AE53" s="182"/>
      <c r="AF53" s="182"/>
      <c r="AG53" s="182">
        <v>6</v>
      </c>
      <c r="AH53" s="53">
        <f ca="1">TblImps[[#This Row],[Time]]</f>
        <v>45431.791666666548</v>
      </c>
      <c r="AI53" s="183">
        <f ca="1">MIN(25%,(TblConstr[[#This Row],[Tot Fac]]+TblConstr[[#This Row],[Dest Fac]])/(TblConstr[[#This Row],[Land]]-TblExplore[[#This Row],[Land Bonus]]*20))</f>
        <v>0.1043613707165109</v>
      </c>
      <c r="AJ53" s="183">
        <f ca="1">MIN(25%,(TblConstr[[#This Row],[Tot Fac]]+TblConstr[[#This Row],[Dest Fac]])/TblConstr[[#This Row],[Land]])</f>
        <v>0.1043613707165109</v>
      </c>
      <c r="AK53" s="97">
        <f ca="1">TblProd[[#This Row],[Platinum]]</f>
        <v>323598</v>
      </c>
      <c r="AL53" s="97">
        <f ca="1">TblProd[[#This Row],[Lumber]]</f>
        <v>4832</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536</v>
      </c>
      <c r="AN53" s="97">
        <f ca="1">ROUNDDOWN( MAX(1 - MIN(facs_constr_factor*TblConstr[[#This Row],[Facs -DB]],facs_constr_max) + tech_1_11*TblTech[[#This Row],[11-1]] + tech_6_3_2*TblTech[[#This Row],[6-3]] + tech_5_2_3*TblTech[[#This Row],[5-2]], 1-global_constr_cap) * TblConstr[[#This Row],[RCPA Lumber]],0)</f>
        <v>99</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536</v>
      </c>
      <c r="AP53" s="97">
        <f ca="1">ROUNDDOWN( MAX(1 - MIN(facs_constr_factor*TblConstr[[#This Row],[Facs DB]],facs_constr_max) + tech_1_11*TblTech[[#This Row],[1-11]] + tech_6_3_2*TblTech[[#This Row],[6-3]] + tech_5_2_3*TblTech[[#This Row],[5-2]], 1-global_constr_cap) * ROUND((TblConstr[[#This Row],[Land]]-250)*0.285 + 87.5 + 0/4.25,0),0)</f>
        <v>99</v>
      </c>
      <c r="AQ53" s="45">
        <f ca="1">TblConstr[[#This Row],[build -db]]*TblConstr[[#This Row],[CPA Platinum -DB]] + TblConstr[[#This Row],[build db]]*TblConstr[[#This Row],[CPA Platinum DB]]</f>
        <v>6968</v>
      </c>
      <c r="AR53" s="45">
        <f ca="1">TblConstr[[#This Row],[build -db]]*TblConstr[[#This Row],[CPA Lumber -DB]]+TblConstr[[#This Row],[build db]]*TblConstr[[#This Row],[CPA Lumber DB]]</f>
        <v>1287</v>
      </c>
      <c r="AS53" s="97">
        <f ca="1">MIN(SUM(OFFSET(TblConstr[[#This Row],[Plain]:[Water]],-1,0))+SUM(TblConstr[[#This Row],[Dest Hom]:[Dest Doc]])+IF(TblConstr[[#This Row],[Hour]]&gt;12,SUM(OFFSET(TblExplore[[#This Row],[Plains Explore]:[Water Explore]],-12,0)),0),SUM(TblConstr[[#This Row],[Hom]:[Doc]]))</f>
        <v>13</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1340</v>
      </c>
      <c r="AW53" s="97">
        <f ca="1">ROUND((TblConstr[[#This Row],[Land]]-250 - IF(TblExplore[[#This Row],[Land Bonus]]&lt;&gt;0,20,0))*0.285 + 87.5 + 0/4.25,0)</f>
        <v>199</v>
      </c>
      <c r="AX53" s="157"/>
      <c r="AY53" s="191" cm="1">
        <f t="array" aca="1" ref="AY53" ca="1">IF(TblConstr[[#This Row],[Hour]:[Hour]]&gt;12,OFFSET(TblConstr[[#This Row],[Hom]],-12,0),0)+OFFSET(TblConstr[[#This Row],[Tot Hom]],-1,0)-TblConstr[[#This Row],[Dest Hom]]</f>
        <v>0</v>
      </c>
      <c r="AZ53" s="192" cm="1">
        <f t="array" aca="1" ref="AZ53" ca="1">IF(TblConstr[[#This Row],[Hour]:[Hour]]&gt;12,OFFSET(TblConstr[[#This Row],[Alc]],-12,0),0)+OFFSET(TblConstr[[#This Row],[Tot Alc]],-1,0)-TblConstr[[#This Row],[Dest Alc]]</f>
        <v>226</v>
      </c>
      <c r="BA53" s="192" cm="1">
        <f t="array" aca="1" ref="BA53" ca="1">IF(TblConstr[[#This Row],[Hour]:[Hour]]&gt;12,OFFSET(TblConstr[[#This Row],[Far]],-12,0),0)+OFFSET(TblConstr[[#This Row],[Tot Farm]],-1,0)-TblConstr[[#This Row],[Dest Farm]]</f>
        <v>19</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25</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67</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25</v>
      </c>
      <c r="BM53" s="395" cm="1">
        <f t="array" aca="1" ref="BM53" ca="1">IF(TblConstr[[#This Row],[Hour]:[Hour]]&gt;12,OFFSET(TblConstr[[#This Row],[Tem]],-12,0),0)+OFFSET(TblConstr[[#This Row],[Tot Tem]],-1,0)-TblConstr[[#This Row],[Dest Tem]]</f>
        <v>47</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10</v>
      </c>
      <c r="BR53" s="145"/>
      <c r="BS53" s="157"/>
      <c r="BT53" s="97">
        <f ca="1">TblConstr[[#This Row],[Land]]</f>
        <v>642</v>
      </c>
      <c r="BU53" s="162">
        <f ca="1">TblImps[[#This Row],[Time]]</f>
        <v>45431.791666666548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422</v>
      </c>
      <c r="DA53" s="97">
        <f t="shared" ca="1" si="13"/>
        <v>25</v>
      </c>
      <c r="DB53" s="45">
        <f t="shared" ca="1" si="14"/>
        <v>0</v>
      </c>
      <c r="DC53" s="97">
        <f t="shared" ca="1" si="15"/>
        <v>67</v>
      </c>
      <c r="DD53" s="97">
        <f t="shared" ca="1" si="16"/>
        <v>72</v>
      </c>
      <c r="DE53" s="45">
        <f t="shared" ca="1" si="17"/>
        <v>0</v>
      </c>
      <c r="DF53" s="97">
        <f t="shared" ca="1" si="18"/>
        <v>16</v>
      </c>
      <c r="DG53" s="97" cm="1">
        <f t="array" aca="1" ref="DG53" ca="1">INDEX(TblConstr[[Total Plain]:[Total Water]],ROW()-ROW(TblConstr[#Headers]),MATCH("Total "&amp;home_land,TblConstr[[#Headers],[Total Plain]:[Total Water]],0))+TblConstr[[#This Row],[Homes]]</f>
        <v>40</v>
      </c>
      <c r="DH53" s="45">
        <f t="shared" ca="1" si="10"/>
        <v>40</v>
      </c>
      <c r="DI53" s="45">
        <f t="shared" ca="1" si="0"/>
        <v>0</v>
      </c>
      <c r="DJ53" s="45">
        <f t="shared" ca="1" si="1"/>
        <v>0</v>
      </c>
    </row>
    <row r="54" spans="1:114" x14ac:dyDescent="0.2">
      <c r="A54" s="178">
        <f>TblRezone[[#This Row],[Hour]]</f>
        <v>51</v>
      </c>
      <c r="B54" s="179">
        <f ca="1">SUM(TblConstr[[#This Row],[Plain]:[Water]])</f>
        <v>0</v>
      </c>
      <c r="C54" s="180">
        <f ca="1">SUM(TblConstr[[#This Row],[Tot Hom]:[Tot Doc]])</f>
        <v>419</v>
      </c>
      <c r="D54" s="180">
        <f t="shared" si="11"/>
        <v>237</v>
      </c>
      <c r="E54" s="181"/>
      <c r="F54" s="62">
        <f ca="1">TblConstr[[#This Row],[Barren]]+TblConstr[[#This Row],[Buildings]]+TblConstr[[#This Row],[Incoming]]</f>
        <v>656</v>
      </c>
      <c r="G54" s="190">
        <f ca="1">OFFSET(TblConstr[[#This Row],[Plain]],-1,0)+TblConstr[[#This Row],[Ch_Plain]]</f>
        <v>0</v>
      </c>
      <c r="H54" s="185">
        <f ca="1">OFFSET(TblConstr[[#This Row],[Forest]],-1,0)+TblConstr[[#This Row],[Ch_Forest]]</f>
        <v>0</v>
      </c>
      <c r="I54" s="385">
        <f ca="1">OFFSET(TblConstr[[#This Row],[Mountain]],-1,0)+TblConstr[[#This Row],[Ch_Mountain]]</f>
        <v>0</v>
      </c>
      <c r="J54" s="389">
        <f ca="1">OFFSET(TblConstr[[#This Row],[Hill]],-1,0)+TblConstr[[#This Row],[Ch_Hill]]</f>
        <v>0</v>
      </c>
      <c r="K54" s="393">
        <f ca="1">OFFSET(TblConstr[[#This Row],[Swamp]],-1,0)+TblConstr[[#This Row],[Ch_Swamp]]</f>
        <v>0</v>
      </c>
      <c r="L54" s="188">
        <f ca="1">OFFSET(TblConstr[[#This Row],[Cavern]],-1,0)+TblConstr[[#This Row],[Ch_Cavern]]</f>
        <v>0</v>
      </c>
      <c r="M54" s="189">
        <f ca="1">OFFSET(TblConstr[[#This Row],[Water]],-1,0)+TblConstr[[#This Row],[Ch_Water]]</f>
        <v>0</v>
      </c>
      <c r="N54" s="383">
        <f>TblRezone[[#This Row],[Hour]]</f>
        <v>51</v>
      </c>
      <c r="O54" s="182"/>
      <c r="P54" s="182"/>
      <c r="Q54" s="182">
        <v>6</v>
      </c>
      <c r="R54" s="182"/>
      <c r="S54" s="182"/>
      <c r="T54" s="182"/>
      <c r="U54" s="182"/>
      <c r="V54" s="182"/>
      <c r="W54" s="182"/>
      <c r="X54" s="182"/>
      <c r="Y54" s="182"/>
      <c r="Z54" s="182"/>
      <c r="AA54" s="182"/>
      <c r="AB54" s="182"/>
      <c r="AC54" s="182"/>
      <c r="AD54" s="182"/>
      <c r="AE54" s="182"/>
      <c r="AF54" s="182"/>
      <c r="AG54" s="182">
        <v>8</v>
      </c>
      <c r="AH54" s="53">
        <f ca="1">TblImps[[#This Row],[Time]]</f>
        <v>45431.833333333212</v>
      </c>
      <c r="AI54" s="183">
        <f ca="1">MIN(25%,(TblConstr[[#This Row],[Tot Fac]]+TblConstr[[#This Row],[Dest Fac]])/(TblConstr[[#This Row],[Land]]-TblExplore[[#This Row],[Land Bonus]]*20))</f>
        <v>0.10213414634146341</v>
      </c>
      <c r="AJ54" s="183">
        <f ca="1">MIN(25%,(TblConstr[[#This Row],[Tot Fac]]+TblConstr[[#This Row],[Dest Fac]])/TblConstr[[#This Row],[Land]])</f>
        <v>0.10213414634146341</v>
      </c>
      <c r="AK54" s="97">
        <f ca="1">TblProd[[#This Row],[Platinum]]</f>
        <v>356298</v>
      </c>
      <c r="AL54" s="97">
        <f ca="1">TblProd[[#This Row],[Lumber]]</f>
        <v>4495</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543</v>
      </c>
      <c r="AN54" s="97">
        <f ca="1">ROUNDDOWN( MAX(1 - MIN(facs_constr_factor*TblConstr[[#This Row],[Facs -DB]],facs_constr_max) + tech_1_11*TblTech[[#This Row],[11-1]] + tech_6_3_2*TblTech[[#This Row],[6-3]] + tech_5_2_3*TblTech[[#This Row],[5-2]], 1-global_constr_cap) * TblConstr[[#This Row],[RCPA Lumber]],0)</f>
        <v>101</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543</v>
      </c>
      <c r="AP54" s="97">
        <f ca="1">ROUNDDOWN( MAX(1 - MIN(facs_constr_factor*TblConstr[[#This Row],[Facs DB]],facs_constr_max) + tech_1_11*TblTech[[#This Row],[1-11]] + tech_6_3_2*TblTech[[#This Row],[6-3]] + tech_5_2_3*TblTech[[#This Row],[5-2]], 1-global_constr_cap) * ROUND((TblConstr[[#This Row],[Land]]-250)*0.285 + 87.5 + 0/4.25,0),0)</f>
        <v>101</v>
      </c>
      <c r="AQ54" s="45">
        <f ca="1">TblConstr[[#This Row],[build -db]]*TblConstr[[#This Row],[CPA Platinum -DB]] + TblConstr[[#This Row],[build db]]*TblConstr[[#This Row],[CPA Platinum DB]]</f>
        <v>7602</v>
      </c>
      <c r="AR54" s="45">
        <f ca="1">TblConstr[[#This Row],[build -db]]*TblConstr[[#This Row],[CPA Lumber -DB]]+TblConstr[[#This Row],[build db]]*TblConstr[[#This Row],[CPA Lumber DB]]</f>
        <v>1414</v>
      </c>
      <c r="AS54" s="97">
        <f ca="1">MIN(SUM(OFFSET(TblConstr[[#This Row],[Plain]:[Water]],-1,0))+SUM(TblConstr[[#This Row],[Dest Hom]:[Dest Doc]])+IF(TblConstr[[#This Row],[Hour]]&gt;12,SUM(OFFSET(TblExplore[[#This Row],[Plains Explore]:[Water Explore]],-12,0)),0),SUM(TblConstr[[#This Row],[Hom]:[Doc]]))</f>
        <v>14</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1358</v>
      </c>
      <c r="AW54" s="97">
        <f ca="1">ROUND((TblConstr[[#This Row],[Land]]-250 - IF(TblExplore[[#This Row],[Land Bonus]]&lt;&gt;0,20,0))*0.285 + 87.5 + 0/4.25,0)</f>
        <v>203</v>
      </c>
      <c r="AX54" s="157"/>
      <c r="AY54" s="191" cm="1">
        <f t="array" aca="1" ref="AY54" ca="1">IF(TblConstr[[#This Row],[Hour]:[Hour]]&gt;12,OFFSET(TblConstr[[#This Row],[Hom]],-12,0),0)+OFFSET(TblConstr[[#This Row],[Tot Hom]],-1,0)-TblConstr[[#This Row],[Dest Hom]]</f>
        <v>0</v>
      </c>
      <c r="AZ54" s="192" cm="1">
        <f t="array" aca="1" ref="AZ54" ca="1">IF(TblConstr[[#This Row],[Hour]:[Hour]]&gt;12,OFFSET(TblConstr[[#This Row],[Alc]],-12,0),0)+OFFSET(TblConstr[[#This Row],[Tot Alc]],-1,0)-TblConstr[[#This Row],[Dest Alc]]</f>
        <v>226</v>
      </c>
      <c r="BA54" s="192" cm="1">
        <f t="array" aca="1" ref="BA54" ca="1">IF(TblConstr[[#This Row],[Hour]:[Hour]]&gt;12,OFFSET(TblConstr[[#This Row],[Far]],-12,0),0)+OFFSET(TblConstr[[#This Row],[Tot Farm]],-1,0)-TblConstr[[#This Row],[Dest Farm]]</f>
        <v>19</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25</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67</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25</v>
      </c>
      <c r="BM54" s="395" cm="1">
        <f t="array" aca="1" ref="BM54" ca="1">IF(TblConstr[[#This Row],[Hour]:[Hour]]&gt;12,OFFSET(TblConstr[[#This Row],[Tem]],-12,0),0)+OFFSET(TblConstr[[#This Row],[Tot Tem]],-1,0)-TblConstr[[#This Row],[Dest Tem]]</f>
        <v>47</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10</v>
      </c>
      <c r="BR54" s="145"/>
      <c r="BS54" s="157"/>
      <c r="BT54" s="97">
        <f ca="1">TblConstr[[#This Row],[Land]]</f>
        <v>656</v>
      </c>
      <c r="BU54" s="162">
        <f ca="1">TblImps[[#This Row],[Time]]</f>
        <v>45431.833333333212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428</v>
      </c>
      <c r="DA54" s="97">
        <f t="shared" ca="1" si="13"/>
        <v>25</v>
      </c>
      <c r="DB54" s="45">
        <f t="shared" ca="1" si="14"/>
        <v>0</v>
      </c>
      <c r="DC54" s="97">
        <f t="shared" ca="1" si="15"/>
        <v>67</v>
      </c>
      <c r="DD54" s="97">
        <f t="shared" ca="1" si="16"/>
        <v>72</v>
      </c>
      <c r="DE54" s="45">
        <f t="shared" ca="1" si="17"/>
        <v>0</v>
      </c>
      <c r="DF54" s="97">
        <f t="shared" ca="1" si="18"/>
        <v>24</v>
      </c>
      <c r="DG54" s="97" cm="1">
        <f t="array" aca="1" ref="DG54" ca="1">INDEX(TblConstr[[Total Plain]:[Total Water]],ROW()-ROW(TblConstr[#Headers]),MATCH("Total "&amp;home_land,TblConstr[[#Headers],[Total Plain]:[Total Water]],0))+TblConstr[[#This Row],[Homes]]</f>
        <v>40</v>
      </c>
      <c r="DH54" s="45">
        <f t="shared" ca="1" si="10"/>
        <v>40</v>
      </c>
      <c r="DI54" s="45">
        <f t="shared" ca="1" si="0"/>
        <v>0</v>
      </c>
      <c r="DJ54" s="45">
        <f t="shared" ca="1" si="1"/>
        <v>0</v>
      </c>
    </row>
    <row r="55" spans="1:114" x14ac:dyDescent="0.2">
      <c r="A55" s="178">
        <f>TblRezone[[#This Row],[Hour]]</f>
        <v>52</v>
      </c>
      <c r="B55" s="179">
        <f ca="1">SUM(TblConstr[[#This Row],[Plain]:[Water]])</f>
        <v>0</v>
      </c>
      <c r="C55" s="180">
        <f ca="1">SUM(TblConstr[[#This Row],[Tot Hom]:[Tot Doc]])</f>
        <v>419</v>
      </c>
      <c r="D55" s="180">
        <f t="shared" si="11"/>
        <v>250</v>
      </c>
      <c r="E55" s="181"/>
      <c r="F55" s="62">
        <f ca="1">TblConstr[[#This Row],[Barren]]+TblConstr[[#This Row],[Buildings]]+TblConstr[[#This Row],[Incoming]]</f>
        <v>669</v>
      </c>
      <c r="G55" s="190">
        <f ca="1">OFFSET(TblConstr[[#This Row],[Plain]],-1,0)+TblConstr[[#This Row],[Ch_Plain]]</f>
        <v>0</v>
      </c>
      <c r="H55" s="185">
        <f ca="1">OFFSET(TblConstr[[#This Row],[Forest]],-1,0)+TblConstr[[#This Row],[Ch_Forest]]</f>
        <v>0</v>
      </c>
      <c r="I55" s="385">
        <f ca="1">OFFSET(TblConstr[[#This Row],[Mountain]],-1,0)+TblConstr[[#This Row],[Ch_Mountain]]</f>
        <v>0</v>
      </c>
      <c r="J55" s="389">
        <f ca="1">OFFSET(TblConstr[[#This Row],[Hill]],-1,0)+TblConstr[[#This Row],[Ch_Hill]]</f>
        <v>0</v>
      </c>
      <c r="K55" s="393">
        <f ca="1">OFFSET(TblConstr[[#This Row],[Swamp]],-1,0)+TblConstr[[#This Row],[Ch_Swamp]]</f>
        <v>0</v>
      </c>
      <c r="L55" s="188">
        <f ca="1">OFFSET(TblConstr[[#This Row],[Cavern]],-1,0)+TblConstr[[#This Row],[Ch_Cavern]]</f>
        <v>0</v>
      </c>
      <c r="M55" s="189">
        <f ca="1">OFFSET(TblConstr[[#This Row],[Water]],-1,0)+TblConstr[[#This Row],[Ch_Water]]</f>
        <v>0</v>
      </c>
      <c r="N55" s="383">
        <f>TblRezone[[#This Row],[Hour]]</f>
        <v>52</v>
      </c>
      <c r="O55" s="182"/>
      <c r="P55" s="182"/>
      <c r="Q55" s="182">
        <v>2</v>
      </c>
      <c r="R55" s="182"/>
      <c r="S55" s="182"/>
      <c r="T55" s="182"/>
      <c r="U55" s="182"/>
      <c r="V55" s="182"/>
      <c r="W55" s="182"/>
      <c r="X55" s="182"/>
      <c r="Y55" s="182"/>
      <c r="Z55" s="182">
        <v>11</v>
      </c>
      <c r="AA55" s="182"/>
      <c r="AB55" s="182"/>
      <c r="AC55" s="182"/>
      <c r="AD55" s="182"/>
      <c r="AE55" s="182"/>
      <c r="AF55" s="182"/>
      <c r="AG55" s="182"/>
      <c r="AH55" s="53">
        <f ca="1">TblImps[[#This Row],[Time]]</f>
        <v>45431.874999999876</v>
      </c>
      <c r="AI55" s="183">
        <f ca="1">MIN(25%,(TblConstr[[#This Row],[Tot Fac]]+TblConstr[[#This Row],[Dest Fac]])/(TblConstr[[#This Row],[Land]]-TblExplore[[#This Row],[Land Bonus]]*20))</f>
        <v>0.10014947683109118</v>
      </c>
      <c r="AJ55" s="183">
        <f ca="1">MIN(25%,(TblConstr[[#This Row],[Tot Fac]]+TblConstr[[#This Row],[Dest Fac]])/TblConstr[[#This Row],[Land]])</f>
        <v>0.10014947683109118</v>
      </c>
      <c r="AK55" s="97">
        <f ca="1">TblProd[[#This Row],[Platinum]]</f>
        <v>389463</v>
      </c>
      <c r="AL55" s="97">
        <f ca="1">TblProd[[#This Row],[Lumber]]</f>
        <v>4236</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549</v>
      </c>
      <c r="AN55" s="97">
        <f ca="1">ROUNDDOWN( MAX(1 - MIN(facs_constr_factor*TblConstr[[#This Row],[Facs -DB]],facs_constr_max) + tech_1_11*TblTech[[#This Row],[11-1]] + tech_6_3_2*TblTech[[#This Row],[6-3]] + tech_5_2_3*TblTech[[#This Row],[5-2]], 1-global_constr_cap) * TblConstr[[#This Row],[RCPA Lumber]],0)</f>
        <v>103</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549</v>
      </c>
      <c r="AP55" s="97">
        <f ca="1">ROUNDDOWN( MAX(1 - MIN(facs_constr_factor*TblConstr[[#This Row],[Facs DB]],facs_constr_max) + tech_1_11*TblTech[[#This Row],[1-11]] + tech_6_3_2*TblTech[[#This Row],[6-3]] + tech_5_2_3*TblTech[[#This Row],[5-2]], 1-global_constr_cap) * ROUND((TblConstr[[#This Row],[Land]]-250)*0.285 + 87.5 + 0/4.25,0),0)</f>
        <v>103</v>
      </c>
      <c r="AQ55" s="45">
        <f ca="1">TblConstr[[#This Row],[build -db]]*TblConstr[[#This Row],[CPA Platinum -DB]] + TblConstr[[#This Row],[build db]]*TblConstr[[#This Row],[CPA Platinum DB]]</f>
        <v>7137</v>
      </c>
      <c r="AR55" s="45">
        <f ca="1">TblConstr[[#This Row],[build -db]]*TblConstr[[#This Row],[CPA Lumber -DB]]+TblConstr[[#This Row],[build db]]*TblConstr[[#This Row],[CPA Lumber DB]]</f>
        <v>1339</v>
      </c>
      <c r="AS55" s="97">
        <f ca="1">MIN(SUM(OFFSET(TblConstr[[#This Row],[Plain]:[Water]],-1,0))+SUM(TblConstr[[#This Row],[Dest Hom]:[Dest Doc]])+IF(TblConstr[[#This Row],[Hour]]&gt;12,SUM(OFFSET(TblExplore[[#This Row],[Plains Explore]:[Water Explore]],-12,0)),0),SUM(TblConstr[[#This Row],[Hom]:[Doc]]))</f>
        <v>13</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1374</v>
      </c>
      <c r="AW55" s="97">
        <f ca="1">ROUND((TblConstr[[#This Row],[Land]]-250 - IF(TblExplore[[#This Row],[Land Bonus]]&lt;&gt;0,20,0))*0.285 + 87.5 + 0/4.25,0)</f>
        <v>207</v>
      </c>
      <c r="AX55" s="157"/>
      <c r="AY55" s="191" cm="1">
        <f t="array" aca="1" ref="AY55" ca="1">IF(TblConstr[[#This Row],[Hour]:[Hour]]&gt;12,OFFSET(TblConstr[[#This Row],[Hom]],-12,0),0)+OFFSET(TblConstr[[#This Row],[Tot Hom]],-1,0)-TblConstr[[#This Row],[Dest Hom]]</f>
        <v>0</v>
      </c>
      <c r="AZ55" s="192" cm="1">
        <f t="array" aca="1" ref="AZ55" ca="1">IF(TblConstr[[#This Row],[Hour]:[Hour]]&gt;12,OFFSET(TblConstr[[#This Row],[Alc]],-12,0),0)+OFFSET(TblConstr[[#This Row],[Tot Alc]],-1,0)-TblConstr[[#This Row],[Dest Alc]]</f>
        <v>226</v>
      </c>
      <c r="BA55" s="192" cm="1">
        <f t="array" aca="1" ref="BA55" ca="1">IF(TblConstr[[#This Row],[Hour]:[Hour]]&gt;12,OFFSET(TblConstr[[#This Row],[Far]],-12,0),0)+OFFSET(TblConstr[[#This Row],[Tot Farm]],-1,0)-TblConstr[[#This Row],[Dest Farm]]</f>
        <v>19</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25</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67</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25</v>
      </c>
      <c r="BM55" s="395" cm="1">
        <f t="array" aca="1" ref="BM55" ca="1">IF(TblConstr[[#This Row],[Hour]:[Hour]]&gt;12,OFFSET(TblConstr[[#This Row],[Tem]],-12,0),0)+OFFSET(TblConstr[[#This Row],[Tot Tem]],-1,0)-TblConstr[[#This Row],[Dest Tem]]</f>
        <v>47</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10</v>
      </c>
      <c r="BR55" s="145"/>
      <c r="BS55" s="157"/>
      <c r="BT55" s="97">
        <f ca="1">TblConstr[[#This Row],[Land]]</f>
        <v>669</v>
      </c>
      <c r="BU55" s="162">
        <f ca="1">TblImps[[#This Row],[Time]]</f>
        <v>45431.874999999876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430</v>
      </c>
      <c r="DA55" s="97">
        <f t="shared" ca="1" si="13"/>
        <v>25</v>
      </c>
      <c r="DB55" s="45">
        <f t="shared" ca="1" si="14"/>
        <v>0</v>
      </c>
      <c r="DC55" s="97">
        <f t="shared" ca="1" si="15"/>
        <v>67</v>
      </c>
      <c r="DD55" s="97">
        <f t="shared" ca="1" si="16"/>
        <v>72</v>
      </c>
      <c r="DE55" s="45">
        <f t="shared" ca="1" si="17"/>
        <v>0</v>
      </c>
      <c r="DF55" s="97">
        <f t="shared" ca="1" si="18"/>
        <v>24</v>
      </c>
      <c r="DG55" s="97" cm="1">
        <f t="array" aca="1" ref="DG55" ca="1">INDEX(TblConstr[[Total Plain]:[Total Water]],ROW()-ROW(TblConstr[#Headers]),MATCH("Total "&amp;home_land,TblConstr[[#Headers],[Total Plain]:[Total Water]],0))+TblConstr[[#This Row],[Homes]]</f>
        <v>40</v>
      </c>
      <c r="DH55" s="45">
        <f t="shared" ca="1" si="10"/>
        <v>40</v>
      </c>
      <c r="DI55" s="45">
        <f t="shared" ca="1" si="0"/>
        <v>0</v>
      </c>
      <c r="DJ55" s="45">
        <f t="shared" ca="1" si="1"/>
        <v>0</v>
      </c>
    </row>
    <row r="56" spans="1:114" x14ac:dyDescent="0.2">
      <c r="A56" s="178">
        <f>TblRezone[[#This Row],[Hour]]</f>
        <v>53</v>
      </c>
      <c r="B56" s="179">
        <f ca="1">SUM(TblConstr[[#This Row],[Plain]:[Water]])</f>
        <v>0</v>
      </c>
      <c r="C56" s="180">
        <f ca="1">SUM(TblConstr[[#This Row],[Tot Hom]:[Tot Doc]])</f>
        <v>501</v>
      </c>
      <c r="D56" s="180">
        <f t="shared" si="11"/>
        <v>179</v>
      </c>
      <c r="E56" s="181"/>
      <c r="F56" s="62">
        <f ca="1">TblConstr[[#This Row],[Barren]]+TblConstr[[#This Row],[Buildings]]+TblConstr[[#This Row],[Incoming]]</f>
        <v>680</v>
      </c>
      <c r="G56" s="190">
        <f ca="1">OFFSET(TblConstr[[#This Row],[Plain]],-1,0)+TblConstr[[#This Row],[Ch_Plain]]</f>
        <v>0</v>
      </c>
      <c r="H56" s="185">
        <f ca="1">OFFSET(TblConstr[[#This Row],[Forest]],-1,0)+TblConstr[[#This Row],[Ch_Forest]]</f>
        <v>0</v>
      </c>
      <c r="I56" s="385">
        <f ca="1">OFFSET(TblConstr[[#This Row],[Mountain]],-1,0)+TblConstr[[#This Row],[Ch_Mountain]]</f>
        <v>0</v>
      </c>
      <c r="J56" s="389">
        <f ca="1">OFFSET(TblConstr[[#This Row],[Hill]],-1,0)+TblConstr[[#This Row],[Ch_Hill]]</f>
        <v>0</v>
      </c>
      <c r="K56" s="393">
        <f ca="1">OFFSET(TblConstr[[#This Row],[Swamp]],-1,0)+TblConstr[[#This Row],[Ch_Swamp]]</f>
        <v>0</v>
      </c>
      <c r="L56" s="188">
        <f ca="1">OFFSET(TblConstr[[#This Row],[Cavern]],-1,0)+TblConstr[[#This Row],[Ch_Cavern]]</f>
        <v>0</v>
      </c>
      <c r="M56" s="189">
        <f ca="1">OFFSET(TblConstr[[#This Row],[Water]],-1,0)+TblConstr[[#This Row],[Ch_Water]]</f>
        <v>0</v>
      </c>
      <c r="N56" s="383">
        <f>TblRezone[[#This Row],[Hour]]</f>
        <v>53</v>
      </c>
      <c r="O56" s="182"/>
      <c r="P56" s="182"/>
      <c r="Q56" s="182"/>
      <c r="R56" s="182"/>
      <c r="S56" s="182"/>
      <c r="T56" s="182"/>
      <c r="U56" s="182"/>
      <c r="V56" s="182"/>
      <c r="W56" s="182"/>
      <c r="X56" s="182"/>
      <c r="Y56" s="182"/>
      <c r="Z56" s="182">
        <v>11</v>
      </c>
      <c r="AA56" s="182"/>
      <c r="AB56" s="182"/>
      <c r="AC56" s="182"/>
      <c r="AD56" s="182"/>
      <c r="AE56" s="182"/>
      <c r="AF56" s="182"/>
      <c r="AG56" s="182"/>
      <c r="AH56" s="53">
        <f ca="1">TblImps[[#This Row],[Time]]</f>
        <v>45431.916666666541</v>
      </c>
      <c r="AI56" s="183">
        <f ca="1">MIN(25%,(TblConstr[[#This Row],[Tot Fac]]+TblConstr[[#This Row],[Dest Fac]])/(TblConstr[[#This Row],[Land]]-TblExplore[[#This Row],[Land Bonus]]*20))</f>
        <v>9.8529411764705879E-2</v>
      </c>
      <c r="AJ56" s="183">
        <f ca="1">MIN(25%,(TblConstr[[#This Row],[Tot Fac]]+TblConstr[[#This Row],[Dest Fac]])/TblConstr[[#This Row],[Land]])</f>
        <v>9.8529411764705879E-2</v>
      </c>
      <c r="AK56" s="97">
        <f ca="1">TblProd[[#This Row],[Platinum]]</f>
        <v>429145</v>
      </c>
      <c r="AL56" s="97">
        <f ca="1">TblProd[[#This Row],[Lumber]]</f>
        <v>4153</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56" s="97">
        <f ca="1">ROUNDDOWN( MAX(1 - MIN(facs_constr_factor*TblConstr[[#This Row],[Facs -DB]],facs_constr_max) + tech_1_11*TblTech[[#This Row],[11-1]] + tech_6_3_2*TblTech[[#This Row],[6-3]] + tech_5_2_3*TblTech[[#This Row],[5-2]], 1-global_constr_cap) * TblConstr[[#This Row],[RCPA Lumber]],0)</f>
        <v>106</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56" s="97">
        <f ca="1">ROUNDDOWN( MAX(1 - MIN(facs_constr_factor*TblConstr[[#This Row],[Facs DB]],facs_constr_max) + tech_1_11*TblTech[[#This Row],[1-11]] + tech_6_3_2*TblTech[[#This Row],[6-3]] + tech_5_2_3*TblTech[[#This Row],[5-2]], 1-global_constr_cap) * ROUND((TblConstr[[#This Row],[Land]]-250)*0.285 + 87.5 + 0/4.25,0),0)</f>
        <v>106</v>
      </c>
      <c r="AQ56" s="45">
        <f ca="1">TblConstr[[#This Row],[build -db]]*TblConstr[[#This Row],[CPA Platinum -DB]] + TblConstr[[#This Row],[build db]]*TblConstr[[#This Row],[CPA Platinum DB]]</f>
        <v>6215</v>
      </c>
      <c r="AR56" s="45">
        <f ca="1">TblConstr[[#This Row],[build -db]]*TblConstr[[#This Row],[CPA Lumber -DB]]+TblConstr[[#This Row],[build db]]*TblConstr[[#This Row],[CPA Lumber DB]]</f>
        <v>1166</v>
      </c>
      <c r="AS56" s="97">
        <f ca="1">MIN(SUM(OFFSET(TblConstr[[#This Row],[Plain]:[Water]],-1,0))+SUM(TblConstr[[#This Row],[Dest Hom]:[Dest Doc]])+IF(TblConstr[[#This Row],[Hour]]&gt;12,SUM(OFFSET(TblExplore[[#This Row],[Plains Explore]:[Water Explore]],-12,0)),0),SUM(TblConstr[[#This Row],[Hom]:[Doc]]))</f>
        <v>11</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1388</v>
      </c>
      <c r="AW56" s="97">
        <f ca="1">ROUND((TblConstr[[#This Row],[Land]]-250 - IF(TblExplore[[#This Row],[Land Bonus]]&lt;&gt;0,20,0))*0.285 + 87.5 + 0/4.25,0)</f>
        <v>210</v>
      </c>
      <c r="AX56" s="157"/>
      <c r="AY56" s="191" cm="1">
        <f t="array" aca="1" ref="AY56" ca="1">IF(TblConstr[[#This Row],[Hour]:[Hour]]&gt;12,OFFSET(TblConstr[[#This Row],[Hom]],-12,0),0)+OFFSET(TblConstr[[#This Row],[Tot Hom]],-1,0)-TblConstr[[#This Row],[Dest Hom]]</f>
        <v>0</v>
      </c>
      <c r="AZ56" s="192" cm="1">
        <f t="array" aca="1" ref="AZ56" ca="1">IF(TblConstr[[#This Row],[Hour]:[Hour]]&gt;12,OFFSET(TblConstr[[#This Row],[Alc]],-12,0),0)+OFFSET(TblConstr[[#This Row],[Tot Alc]],-1,0)-TblConstr[[#This Row],[Dest Alc]]</f>
        <v>261</v>
      </c>
      <c r="BA56" s="192" cm="1">
        <f t="array" aca="1" ref="BA56" ca="1">IF(TblConstr[[#This Row],[Hour]:[Hour]]&gt;12,OFFSET(TblConstr[[#This Row],[Far]],-12,0),0)+OFFSET(TblConstr[[#This Row],[Tot Farm]],-1,0)-TblConstr[[#This Row],[Dest Farm]]</f>
        <v>19</v>
      </c>
      <c r="BB56" s="192" cm="1">
        <f t="array" aca="1" ref="BB56" ca="1">IF(TblConstr[[#This Row],[Hour]:[Hour]]&gt;12,OFFSET(TblConstr[[#This Row],[Smi]],-12,0),0)+OFFSET(TblConstr[[#This Row],[Tot Smi]],-1,0)-TblConstr[[#This Row],[Dest Smi]]</f>
        <v>47</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25</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67</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25</v>
      </c>
      <c r="BM56" s="395" cm="1">
        <f t="array" aca="1" ref="BM56" ca="1">IF(TblConstr[[#This Row],[Hour]:[Hour]]&gt;12,OFFSET(TblConstr[[#This Row],[Tem]],-12,0),0)+OFFSET(TblConstr[[#This Row],[Tot Tem]],-1,0)-TblConstr[[#This Row],[Dest Tem]]</f>
        <v>47</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10</v>
      </c>
      <c r="BR56" s="145"/>
      <c r="BS56" s="157"/>
      <c r="BT56" s="97">
        <f ca="1">TblConstr[[#This Row],[Land]]</f>
        <v>680</v>
      </c>
      <c r="BU56" s="162">
        <f ca="1">TblImps[[#This Row],[Time]]</f>
        <v>45431.916666666541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430</v>
      </c>
      <c r="DA56" s="97">
        <f t="shared" ca="1" si="13"/>
        <v>25</v>
      </c>
      <c r="DB56" s="45">
        <f t="shared" ca="1" si="14"/>
        <v>0</v>
      </c>
      <c r="DC56" s="97">
        <f t="shared" ca="1" si="15"/>
        <v>67</v>
      </c>
      <c r="DD56" s="97">
        <f t="shared" ca="1" si="16"/>
        <v>72</v>
      </c>
      <c r="DE56" s="45">
        <f t="shared" ca="1" si="17"/>
        <v>0</v>
      </c>
      <c r="DF56" s="97">
        <f t="shared" ca="1" si="18"/>
        <v>24</v>
      </c>
      <c r="DG56" s="97" cm="1">
        <f t="array" aca="1" ref="DG56" ca="1">INDEX(TblConstr[[Total Plain]:[Total Water]],ROW()-ROW(TblConstr[#Headers]),MATCH("Total "&amp;home_land,TblConstr[[#Headers],[Total Plain]:[Total Water]],0))+TblConstr[[#This Row],[Homes]]</f>
        <v>40</v>
      </c>
      <c r="DH56" s="45">
        <f t="shared" ca="1" si="10"/>
        <v>40</v>
      </c>
      <c r="DI56" s="45">
        <f t="shared" ca="1" si="0"/>
        <v>0</v>
      </c>
      <c r="DJ56" s="45">
        <f t="shared" ca="1" si="1"/>
        <v>0</v>
      </c>
    </row>
    <row r="57" spans="1:114" x14ac:dyDescent="0.2">
      <c r="A57" s="178">
        <f>TblRezone[[#This Row],[Hour]]</f>
        <v>54</v>
      </c>
      <c r="B57" s="179">
        <f ca="1">SUM(TblConstr[[#This Row],[Plain]:[Water]])</f>
        <v>0</v>
      </c>
      <c r="C57" s="180">
        <f ca="1">SUM(TblConstr[[#This Row],[Tot Hom]:[Tot Doc]])</f>
        <v>510</v>
      </c>
      <c r="D57" s="180">
        <f t="shared" si="11"/>
        <v>182</v>
      </c>
      <c r="E57" s="181"/>
      <c r="F57" s="62">
        <f ca="1">TblConstr[[#This Row],[Barren]]+TblConstr[[#This Row],[Buildings]]+TblConstr[[#This Row],[Incoming]]</f>
        <v>692</v>
      </c>
      <c r="G57" s="190">
        <f ca="1">OFFSET(TblConstr[[#This Row],[Plain]],-1,0)+TblConstr[[#This Row],[Ch_Plain]]</f>
        <v>0</v>
      </c>
      <c r="H57" s="185">
        <f ca="1">OFFSET(TblConstr[[#This Row],[Forest]],-1,0)+TblConstr[[#This Row],[Ch_Forest]]</f>
        <v>0</v>
      </c>
      <c r="I57" s="385">
        <f ca="1">OFFSET(TblConstr[[#This Row],[Mountain]],-1,0)+TblConstr[[#This Row],[Ch_Mountain]]</f>
        <v>0</v>
      </c>
      <c r="J57" s="389">
        <f ca="1">OFFSET(TblConstr[[#This Row],[Hill]],-1,0)+TblConstr[[#This Row],[Ch_Hill]]</f>
        <v>0</v>
      </c>
      <c r="K57" s="393">
        <f ca="1">OFFSET(TblConstr[[#This Row],[Swamp]],-1,0)+TblConstr[[#This Row],[Ch_Swamp]]</f>
        <v>0</v>
      </c>
      <c r="L57" s="188">
        <f ca="1">OFFSET(TblConstr[[#This Row],[Cavern]],-1,0)+TblConstr[[#This Row],[Ch_Cavern]]</f>
        <v>0</v>
      </c>
      <c r="M57" s="189">
        <f ca="1">OFFSET(TblConstr[[#This Row],[Water]],-1,0)+TblConstr[[#This Row],[Ch_Water]]</f>
        <v>0</v>
      </c>
      <c r="N57" s="383">
        <f>TblRezone[[#This Row],[Hour]]</f>
        <v>54</v>
      </c>
      <c r="O57" s="182"/>
      <c r="P57" s="182"/>
      <c r="Q57" s="182"/>
      <c r="R57" s="182"/>
      <c r="S57" s="182"/>
      <c r="T57" s="182"/>
      <c r="U57" s="182"/>
      <c r="V57" s="182"/>
      <c r="W57" s="182"/>
      <c r="X57" s="182"/>
      <c r="Y57" s="182"/>
      <c r="Z57" s="182">
        <v>12</v>
      </c>
      <c r="AA57" s="182"/>
      <c r="AB57" s="182"/>
      <c r="AC57" s="182"/>
      <c r="AD57" s="182"/>
      <c r="AE57" s="182"/>
      <c r="AF57" s="182"/>
      <c r="AG57" s="182"/>
      <c r="AH57" s="53">
        <f ca="1">TblImps[[#This Row],[Time]]</f>
        <v>45431.958333333205</v>
      </c>
      <c r="AI57" s="183">
        <f ca="1">MIN(25%,(TblConstr[[#This Row],[Tot Fac]]+TblConstr[[#This Row],[Dest Fac]])/(TblConstr[[#This Row],[Land]]-TblExplore[[#This Row],[Land Bonus]]*20))</f>
        <v>9.6820809248554907E-2</v>
      </c>
      <c r="AJ57" s="183">
        <f ca="1">MIN(25%,(TblConstr[[#This Row],[Tot Fac]]+TblConstr[[#This Row],[Dest Fac]])/TblConstr[[#This Row],[Land]])</f>
        <v>9.6820809248554907E-2</v>
      </c>
      <c r="AK57" s="97">
        <f ca="1">TblProd[[#This Row],[Platinum]]</f>
        <v>468410</v>
      </c>
      <c r="AL57" s="97">
        <f ca="1">TblProd[[#This Row],[Lumber]]</f>
        <v>3928</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583</v>
      </c>
      <c r="AN57" s="97">
        <f ca="1">ROUNDDOWN( MAX(1 - MIN(facs_constr_factor*TblConstr[[#This Row],[Facs -DB]],facs_constr_max) + tech_1_11*TblTech[[#This Row],[11-1]] + tech_6_3_2*TblTech[[#This Row],[6-3]] + tech_5_2_3*TblTech[[#This Row],[5-2]], 1-global_constr_cap) * TblConstr[[#This Row],[RCPA Lumber]],0)</f>
        <v>109</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583</v>
      </c>
      <c r="AP57" s="97">
        <f ca="1">ROUNDDOWN( MAX(1 - MIN(facs_constr_factor*TblConstr[[#This Row],[Facs DB]],facs_constr_max) + tech_1_11*TblTech[[#This Row],[1-11]] + tech_6_3_2*TblTech[[#This Row],[6-3]] + tech_5_2_3*TblTech[[#This Row],[5-2]], 1-global_constr_cap) * ROUND((TblConstr[[#This Row],[Land]]-250)*0.285 + 87.5 + 0/4.25,0),0)</f>
        <v>109</v>
      </c>
      <c r="AQ57" s="45">
        <f ca="1">TblConstr[[#This Row],[build -db]]*TblConstr[[#This Row],[CPA Platinum -DB]] + TblConstr[[#This Row],[build db]]*TblConstr[[#This Row],[CPA Platinum DB]]</f>
        <v>6996</v>
      </c>
      <c r="AR57" s="45">
        <f ca="1">TblConstr[[#This Row],[build -db]]*TblConstr[[#This Row],[CPA Lumber -DB]]+TblConstr[[#This Row],[build db]]*TblConstr[[#This Row],[CPA Lumber DB]]</f>
        <v>1308</v>
      </c>
      <c r="AS57" s="97">
        <f ca="1">MIN(SUM(OFFSET(TblConstr[[#This Row],[Plain]:[Water]],-1,0))+SUM(TblConstr[[#This Row],[Dest Hom]:[Dest Doc]])+IF(TblConstr[[#This Row],[Hour]]&gt;12,SUM(OFFSET(TblExplore[[#This Row],[Plains Explore]:[Water Explore]],-12,0)),0),SUM(TblConstr[[#This Row],[Hom]:[Doc]]))</f>
        <v>12</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1403</v>
      </c>
      <c r="AW57" s="97">
        <f ca="1">ROUND((TblConstr[[#This Row],[Land]]-250 - IF(TblExplore[[#This Row],[Land Bonus]]&lt;&gt;0,20,0))*0.285 + 87.5 + 0/4.25,0)</f>
        <v>213</v>
      </c>
      <c r="AX57" s="157"/>
      <c r="AY57" s="191" cm="1">
        <f t="array" aca="1" ref="AY57" ca="1">IF(TblConstr[[#This Row],[Hour]:[Hour]]&gt;12,OFFSET(TblConstr[[#This Row],[Hom]],-12,0),0)+OFFSET(TblConstr[[#This Row],[Tot Hom]],-1,0)-TblConstr[[#This Row],[Dest Hom]]</f>
        <v>0</v>
      </c>
      <c r="AZ57" s="192" cm="1">
        <f t="array" aca="1" ref="AZ57" ca="1">IF(TblConstr[[#This Row],[Hour]:[Hour]]&gt;12,OFFSET(TblConstr[[#This Row],[Alc]],-12,0),0)+OFFSET(TblConstr[[#This Row],[Tot Alc]],-1,0)-TblConstr[[#This Row],[Dest Alc]]</f>
        <v>262</v>
      </c>
      <c r="BA57" s="192" cm="1">
        <f t="array" aca="1" ref="BA57" ca="1">IF(TblConstr[[#This Row],[Hour]:[Hour]]&gt;12,OFFSET(TblConstr[[#This Row],[Far]],-12,0),0)+OFFSET(TblConstr[[#This Row],[Tot Farm]],-1,0)-TblConstr[[#This Row],[Dest Farm]]</f>
        <v>19</v>
      </c>
      <c r="BB57" s="192" cm="1">
        <f t="array" aca="1" ref="BB57" ca="1">IF(TblConstr[[#This Row],[Hour]:[Hour]]&gt;12,OFFSET(TblConstr[[#This Row],[Smi]],-12,0),0)+OFFSET(TblConstr[[#This Row],[Tot Smi]],-1,0)-TblConstr[[#This Row],[Dest Smi]]</f>
        <v>55</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25</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67</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25</v>
      </c>
      <c r="BM57" s="395" cm="1">
        <f t="array" aca="1" ref="BM57" ca="1">IF(TblConstr[[#This Row],[Hour]:[Hour]]&gt;12,OFFSET(TblConstr[[#This Row],[Tem]],-12,0),0)+OFFSET(TblConstr[[#This Row],[Tot Tem]],-1,0)-TblConstr[[#This Row],[Dest Tem]]</f>
        <v>47</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10</v>
      </c>
      <c r="BR57" s="145"/>
      <c r="BS57" s="157"/>
      <c r="BT57" s="97">
        <f ca="1">TblConstr[[#This Row],[Land]]</f>
        <v>692</v>
      </c>
      <c r="BU57" s="162">
        <f ca="1">TblImps[[#This Row],[Time]]</f>
        <v>45431.958333333205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430</v>
      </c>
      <c r="DA57" s="97">
        <f t="shared" ca="1" si="13"/>
        <v>25</v>
      </c>
      <c r="DB57" s="45">
        <f t="shared" ca="1" si="14"/>
        <v>0</v>
      </c>
      <c r="DC57" s="97">
        <f t="shared" ca="1" si="15"/>
        <v>67</v>
      </c>
      <c r="DD57" s="97">
        <f t="shared" ca="1" si="16"/>
        <v>72</v>
      </c>
      <c r="DE57" s="45">
        <f t="shared" ca="1" si="17"/>
        <v>0</v>
      </c>
      <c r="DF57" s="97">
        <f t="shared" ca="1" si="18"/>
        <v>24</v>
      </c>
      <c r="DG57" s="97" cm="1">
        <f t="array" aca="1" ref="DG57" ca="1">INDEX(TblConstr[[Total Plain]:[Total Water]],ROW()-ROW(TblConstr[#Headers]),MATCH("Total "&amp;home_land,TblConstr[[#Headers],[Total Plain]:[Total Water]],0))+TblConstr[[#This Row],[Homes]]</f>
        <v>40</v>
      </c>
      <c r="DH57" s="45">
        <f t="shared" ca="1" si="10"/>
        <v>40</v>
      </c>
      <c r="DI57" s="45">
        <f t="shared" ca="1" si="0"/>
        <v>0</v>
      </c>
      <c r="DJ57" s="45">
        <f t="shared" ca="1" si="1"/>
        <v>0</v>
      </c>
    </row>
    <row r="58" spans="1:114" x14ac:dyDescent="0.2">
      <c r="A58" s="178">
        <f>TblRezone[[#This Row],[Hour]]</f>
        <v>55</v>
      </c>
      <c r="B58" s="179">
        <f ca="1">SUM(TblConstr[[#This Row],[Plain]:[Water]])</f>
        <v>0</v>
      </c>
      <c r="C58" s="180">
        <f ca="1">SUM(TblConstr[[#This Row],[Tot Hom]:[Tot Doc]])</f>
        <v>520</v>
      </c>
      <c r="D58" s="180">
        <f t="shared" si="11"/>
        <v>180</v>
      </c>
      <c r="E58" s="181"/>
      <c r="F58" s="62">
        <f ca="1">TblConstr[[#This Row],[Barren]]+TblConstr[[#This Row],[Buildings]]+TblConstr[[#This Row],[Incoming]]</f>
        <v>700</v>
      </c>
      <c r="G58" s="190">
        <f ca="1">OFFSET(TblConstr[[#This Row],[Plain]],-1,0)+TblConstr[[#This Row],[Ch_Plain]]</f>
        <v>0</v>
      </c>
      <c r="H58" s="185">
        <f ca="1">OFFSET(TblConstr[[#This Row],[Forest]],-1,0)+TblConstr[[#This Row],[Ch_Forest]]</f>
        <v>0</v>
      </c>
      <c r="I58" s="385">
        <f ca="1">OFFSET(TblConstr[[#This Row],[Mountain]],-1,0)+TblConstr[[#This Row],[Ch_Mountain]]</f>
        <v>0</v>
      </c>
      <c r="J58" s="389">
        <f ca="1">OFFSET(TblConstr[[#This Row],[Hill]],-1,0)+TblConstr[[#This Row],[Ch_Hill]]</f>
        <v>0</v>
      </c>
      <c r="K58" s="393">
        <f ca="1">OFFSET(TblConstr[[#This Row],[Swamp]],-1,0)+TblConstr[[#This Row],[Ch_Swamp]]</f>
        <v>0</v>
      </c>
      <c r="L58" s="188">
        <f ca="1">OFFSET(TblConstr[[#This Row],[Cavern]],-1,0)+TblConstr[[#This Row],[Ch_Cavern]]</f>
        <v>0</v>
      </c>
      <c r="M58" s="189">
        <f ca="1">OFFSET(TblConstr[[#This Row],[Water]],-1,0)+TblConstr[[#This Row],[Ch_Water]]</f>
        <v>0</v>
      </c>
      <c r="N58" s="383">
        <f>TblRezone[[#This Row],[Hour]]</f>
        <v>55</v>
      </c>
      <c r="O58" s="182"/>
      <c r="P58" s="182"/>
      <c r="Q58" s="182"/>
      <c r="R58" s="182"/>
      <c r="S58" s="182"/>
      <c r="T58" s="182"/>
      <c r="U58" s="182"/>
      <c r="V58" s="182"/>
      <c r="W58" s="182"/>
      <c r="X58" s="182"/>
      <c r="Y58" s="182"/>
      <c r="Z58" s="182">
        <v>4</v>
      </c>
      <c r="AA58" s="182"/>
      <c r="AB58" s="182">
        <v>4</v>
      </c>
      <c r="AC58" s="182"/>
      <c r="AD58" s="182"/>
      <c r="AE58" s="182"/>
      <c r="AF58" s="182"/>
      <c r="AG58" s="182"/>
      <c r="AH58" s="53">
        <f ca="1">TblImps[[#This Row],[Time]]</f>
        <v>45431.999999999869</v>
      </c>
      <c r="AI58" s="183">
        <f ca="1">MIN(25%,(TblConstr[[#This Row],[Tot Fac]]+TblConstr[[#This Row],[Dest Fac]])/(TblConstr[[#This Row],[Land]]-TblExplore[[#This Row],[Land Bonus]]*20))</f>
        <v>9.571428571428571E-2</v>
      </c>
      <c r="AJ58" s="183">
        <f ca="1">MIN(25%,(TblConstr[[#This Row],[Tot Fac]]+TblConstr[[#This Row],[Dest Fac]])/TblConstr[[#This Row],[Land]])</f>
        <v>9.571428571428571E-2</v>
      </c>
      <c r="AK58" s="97">
        <f ca="1">TblProd[[#This Row],[Platinum]]</f>
        <v>510224</v>
      </c>
      <c r="AL58" s="97">
        <f ca="1">TblProd[[#This Row],[Lumber]]</f>
        <v>4118</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8" s="97">
        <f ca="1">ROUNDDOWN( MAX(1 - MIN(facs_constr_factor*TblConstr[[#This Row],[Facs -DB]],facs_constr_max) + tech_1_11*TblTech[[#This Row],[11-1]] + tech_6_3_2*TblTech[[#This Row],[6-3]] + tech_5_2_3*TblTech[[#This Row],[5-2]], 1-global_constr_cap) * TblConstr[[#This Row],[RCPA Lumber]],0)</f>
        <v>112</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8" s="97">
        <f ca="1">ROUNDDOWN( MAX(1 - MIN(facs_constr_factor*TblConstr[[#This Row],[Facs DB]],facs_constr_max) + tech_1_11*TblTech[[#This Row],[1-11]] + tech_6_3_2*TblTech[[#This Row],[6-3]] + tech_5_2_3*TblTech[[#This Row],[5-2]], 1-global_constr_cap) * ROUND((TblConstr[[#This Row],[Land]]-250)*0.285 + 87.5 + 0/4.25,0),0)</f>
        <v>112</v>
      </c>
      <c r="AQ58" s="45">
        <f ca="1">TblConstr[[#This Row],[build -db]]*TblConstr[[#This Row],[CPA Platinum -DB]] + TblConstr[[#This Row],[build db]]*TblConstr[[#This Row],[CPA Platinum DB]]</f>
        <v>4760</v>
      </c>
      <c r="AR58" s="45">
        <f ca="1">TblConstr[[#This Row],[build -db]]*TblConstr[[#This Row],[CPA Lumber -DB]]+TblConstr[[#This Row],[build db]]*TblConstr[[#This Row],[CPA Lumber DB]]</f>
        <v>896</v>
      </c>
      <c r="AS58" s="97">
        <f ca="1">MIN(SUM(OFFSET(TblConstr[[#This Row],[Plain]:[Water]],-1,0))+SUM(TblConstr[[#This Row],[Dest Hom]:[Dest Doc]])+IF(TblConstr[[#This Row],[Hour]]&gt;12,SUM(OFFSET(TblExplore[[#This Row],[Plains Explore]:[Water Explore]],-12,0)),0),SUM(TblConstr[[#This Row],[Hom]:[Doc]]))</f>
        <v>8</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1413</v>
      </c>
      <c r="AW58" s="97">
        <f ca="1">ROUND((TblConstr[[#This Row],[Land]]-250 - IF(TblExplore[[#This Row],[Land Bonus]]&lt;&gt;0,20,0))*0.285 + 87.5 + 0/4.25,0)</f>
        <v>216</v>
      </c>
      <c r="AX58" s="157"/>
      <c r="AY58" s="191" cm="1">
        <f t="array" aca="1" ref="AY58" ca="1">IF(TblConstr[[#This Row],[Hour]:[Hour]]&gt;12,OFFSET(TblConstr[[#This Row],[Hom]],-12,0),0)+OFFSET(TblConstr[[#This Row],[Tot Hom]],-1,0)-TblConstr[[#This Row],[Dest Hom]]</f>
        <v>0</v>
      </c>
      <c r="AZ58" s="192" cm="1">
        <f t="array" aca="1" ref="AZ58" ca="1">IF(TblConstr[[#This Row],[Hour]:[Hour]]&gt;12,OFFSET(TblConstr[[#This Row],[Alc]],-12,0),0)+OFFSET(TblConstr[[#This Row],[Tot Alc]],-1,0)-TblConstr[[#This Row],[Dest Alc]]</f>
        <v>263</v>
      </c>
      <c r="BA58" s="192" cm="1">
        <f t="array" aca="1" ref="BA58" ca="1">IF(TblConstr[[#This Row],[Hour]:[Hour]]&gt;12,OFFSET(TblConstr[[#This Row],[Far]],-12,0),0)+OFFSET(TblConstr[[#This Row],[Tot Farm]],-1,0)-TblConstr[[#This Row],[Dest Farm]]</f>
        <v>19</v>
      </c>
      <c r="BB58" s="192" cm="1">
        <f t="array" aca="1" ref="BB58" ca="1">IF(TblConstr[[#This Row],[Hour]:[Hour]]&gt;12,OFFSET(TblConstr[[#This Row],[Smi]],-12,0),0)+OFFSET(TblConstr[[#This Row],[Tot Smi]],-1,0)-TblConstr[[#This Row],[Dest Smi]]</f>
        <v>64</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25</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67</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25</v>
      </c>
      <c r="BM58" s="395" cm="1">
        <f t="array" aca="1" ref="BM58" ca="1">IF(TblConstr[[#This Row],[Hour]:[Hour]]&gt;12,OFFSET(TblConstr[[#This Row],[Tem]],-12,0),0)+OFFSET(TblConstr[[#This Row],[Tot Tem]],-1,0)-TblConstr[[#This Row],[Dest Tem]]</f>
        <v>47</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10</v>
      </c>
      <c r="BR58" s="145"/>
      <c r="BS58" s="157"/>
      <c r="BT58" s="97">
        <f ca="1">TblConstr[[#This Row],[Land]]</f>
        <v>700</v>
      </c>
      <c r="BU58" s="162">
        <f ca="1">TblImps[[#This Row],[Time]]</f>
        <v>45431.999999999869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430</v>
      </c>
      <c r="DA58" s="97">
        <f t="shared" ca="1" si="13"/>
        <v>25</v>
      </c>
      <c r="DB58" s="45">
        <f t="shared" ca="1" si="14"/>
        <v>0</v>
      </c>
      <c r="DC58" s="97">
        <f t="shared" ca="1" si="15"/>
        <v>67</v>
      </c>
      <c r="DD58" s="97">
        <f t="shared" ca="1" si="16"/>
        <v>76</v>
      </c>
      <c r="DE58" s="45">
        <f t="shared" ca="1" si="17"/>
        <v>0</v>
      </c>
      <c r="DF58" s="97">
        <f t="shared" ca="1" si="18"/>
        <v>24</v>
      </c>
      <c r="DG58" s="97" cm="1">
        <f t="array" aca="1" ref="DG58" ca="1">INDEX(TblConstr[[Total Plain]:[Total Water]],ROW()-ROW(TblConstr[#Headers]),MATCH("Total "&amp;home_land,TblConstr[[#Headers],[Total Plain]:[Total Water]],0))+TblConstr[[#This Row],[Homes]]</f>
        <v>40</v>
      </c>
      <c r="DH58" s="45">
        <f t="shared" ca="1" si="10"/>
        <v>40</v>
      </c>
      <c r="DI58" s="45">
        <f t="shared" ca="1" si="0"/>
        <v>0</v>
      </c>
      <c r="DJ58" s="45">
        <f t="shared" ca="1" si="1"/>
        <v>0</v>
      </c>
    </row>
    <row r="59" spans="1:114" x14ac:dyDescent="0.2">
      <c r="A59" s="178">
        <f>TblRezone[[#This Row],[Hour]]</f>
        <v>56</v>
      </c>
      <c r="B59" s="179">
        <f ca="1">SUM(TblConstr[[#This Row],[Plain]:[Water]])</f>
        <v>0</v>
      </c>
      <c r="C59" s="180">
        <f ca="1">SUM(TblConstr[[#This Row],[Tot Hom]:[Tot Doc]])</f>
        <v>529</v>
      </c>
      <c r="D59" s="180">
        <f t="shared" si="11"/>
        <v>171</v>
      </c>
      <c r="E59" s="181"/>
      <c r="F59" s="62">
        <f ca="1">TblConstr[[#This Row],[Barren]]+TblConstr[[#This Row],[Buildings]]+TblConstr[[#This Row],[Incoming]]</f>
        <v>700</v>
      </c>
      <c r="G59" s="190">
        <f ca="1">OFFSET(TblConstr[[#This Row],[Plain]],-1,0)+TblConstr[[#This Row],[Ch_Plain]]</f>
        <v>0</v>
      </c>
      <c r="H59" s="185">
        <f ca="1">OFFSET(TblConstr[[#This Row],[Forest]],-1,0)+TblConstr[[#This Row],[Ch_Forest]]</f>
        <v>0</v>
      </c>
      <c r="I59" s="385">
        <f ca="1">OFFSET(TblConstr[[#This Row],[Mountain]],-1,0)+TblConstr[[#This Row],[Ch_Mountain]]</f>
        <v>0</v>
      </c>
      <c r="J59" s="389">
        <f ca="1">OFFSET(TblConstr[[#This Row],[Hill]],-1,0)+TblConstr[[#This Row],[Ch_Hill]]</f>
        <v>0</v>
      </c>
      <c r="K59" s="393">
        <f ca="1">OFFSET(TblConstr[[#This Row],[Swamp]],-1,0)+TblConstr[[#This Row],[Ch_Swamp]]</f>
        <v>0</v>
      </c>
      <c r="L59" s="188">
        <f ca="1">OFFSET(TblConstr[[#This Row],[Cavern]],-1,0)+TblConstr[[#This Row],[Ch_Cavern]]</f>
        <v>0</v>
      </c>
      <c r="M59" s="189">
        <f ca="1">OFFSET(TblConstr[[#This Row],[Water]],-1,0)+TblConstr[[#This Row],[Ch_Water]]</f>
        <v>0</v>
      </c>
      <c r="N59" s="383">
        <f>TblRezone[[#This Row],[Hour]]</f>
        <v>56</v>
      </c>
      <c r="O59" s="182"/>
      <c r="P59" s="182"/>
      <c r="Q59" s="182"/>
      <c r="R59" s="182"/>
      <c r="S59" s="182"/>
      <c r="T59" s="182"/>
      <c r="U59" s="182"/>
      <c r="V59" s="182"/>
      <c r="W59" s="182"/>
      <c r="X59" s="182"/>
      <c r="Y59" s="182">
        <v>1</v>
      </c>
      <c r="Z59" s="182"/>
      <c r="AA59" s="182"/>
      <c r="AB59" s="182"/>
      <c r="AC59" s="182"/>
      <c r="AD59" s="182"/>
      <c r="AE59" s="182"/>
      <c r="AF59" s="182"/>
      <c r="AG59" s="182"/>
      <c r="AH59" s="53">
        <f ca="1">TblImps[[#This Row],[Time]]</f>
        <v>45432.041666666533</v>
      </c>
      <c r="AI59" s="183">
        <f ca="1">MIN(25%,(TblConstr[[#This Row],[Tot Fac]]+TblConstr[[#This Row],[Dest Fac]])/(TblConstr[[#This Row],[Land]]-TblExplore[[#This Row],[Land Bonus]]*20))</f>
        <v>9.571428571428571E-2</v>
      </c>
      <c r="AJ59" s="183">
        <f ca="1">MIN(25%,(TblConstr[[#This Row],[Tot Fac]]+TblConstr[[#This Row],[Dest Fac]])/TblConstr[[#This Row],[Land]])</f>
        <v>9.571428571428571E-2</v>
      </c>
      <c r="AK59" s="97">
        <f ca="1">TblProd[[#This Row],[Platinum]]</f>
        <v>556484</v>
      </c>
      <c r="AL59" s="97">
        <f ca="1">TblProd[[#This Row],[Lumber]]</f>
        <v>5090</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9" s="97">
        <f ca="1">ROUNDDOWN( MAX(1 - MIN(facs_constr_factor*TblConstr[[#This Row],[Facs -DB]],facs_constr_max) + tech_1_11*TblTech[[#This Row],[11-1]] + tech_6_3_2*TblTech[[#This Row],[6-3]] + tech_5_2_3*TblTech[[#This Row],[5-2]], 1-global_constr_cap) * TblConstr[[#This Row],[RCPA Lumber]],0)</f>
        <v>112</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9" s="97">
        <f ca="1">ROUNDDOWN( MAX(1 - MIN(facs_constr_factor*TblConstr[[#This Row],[Facs DB]],facs_constr_max) + tech_1_11*TblTech[[#This Row],[1-11]] + tech_6_3_2*TblTech[[#This Row],[6-3]] + tech_5_2_3*TblTech[[#This Row],[5-2]], 1-global_constr_cap) * ROUND((TblConstr[[#This Row],[Land]]-250)*0.285 + 87.5 + 0/4.25,0),0)</f>
        <v>112</v>
      </c>
      <c r="AQ59" s="45">
        <f ca="1">TblConstr[[#This Row],[build -db]]*TblConstr[[#This Row],[CPA Platinum -DB]] + TblConstr[[#This Row],[build db]]*TblConstr[[#This Row],[CPA Platinum DB]]</f>
        <v>595</v>
      </c>
      <c r="AR59" s="45">
        <f ca="1">TblConstr[[#This Row],[build -db]]*TblConstr[[#This Row],[CPA Lumber -DB]]+TblConstr[[#This Row],[build db]]*TblConstr[[#This Row],[CPA Lumber DB]]</f>
        <v>112</v>
      </c>
      <c r="AS59" s="97">
        <f ca="1">MIN(SUM(OFFSET(TblConstr[[#This Row],[Plain]:[Water]],-1,0))+SUM(TblConstr[[#This Row],[Dest Hom]:[Dest Doc]])+IF(TblConstr[[#This Row],[Hour]]&gt;12,SUM(OFFSET(TblExplore[[#This Row],[Plains Explore]:[Water Explore]],-12,0)),0),SUM(TblConstr[[#This Row],[Hom]:[Doc]]))</f>
        <v>1</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1413</v>
      </c>
      <c r="AW59" s="97">
        <f ca="1">ROUND((TblConstr[[#This Row],[Land]]-250 - IF(TblExplore[[#This Row],[Land Bonus]]&lt;&gt;0,20,0))*0.285 + 87.5 + 0/4.25,0)</f>
        <v>216</v>
      </c>
      <c r="AX59" s="157"/>
      <c r="AY59" s="191" cm="1">
        <f t="array" aca="1" ref="AY59" ca="1">IF(TblConstr[[#This Row],[Hour]:[Hour]]&gt;12,OFFSET(TblConstr[[#This Row],[Hom]],-12,0),0)+OFFSET(TblConstr[[#This Row],[Tot Hom]],-1,0)-TblConstr[[#This Row],[Dest Hom]]</f>
        <v>0</v>
      </c>
      <c r="AZ59" s="192" cm="1">
        <f t="array" aca="1" ref="AZ59" ca="1">IF(TblConstr[[#This Row],[Hour]:[Hour]]&gt;12,OFFSET(TblConstr[[#This Row],[Alc]],-12,0),0)+OFFSET(TblConstr[[#This Row],[Tot Alc]],-1,0)-TblConstr[[#This Row],[Dest Alc]]</f>
        <v>264</v>
      </c>
      <c r="BA59" s="192" cm="1">
        <f t="array" aca="1" ref="BA59" ca="1">IF(TblConstr[[#This Row],[Hour]:[Hour]]&gt;12,OFFSET(TblConstr[[#This Row],[Far]],-12,0),0)+OFFSET(TblConstr[[#This Row],[Tot Farm]],-1,0)-TblConstr[[#This Row],[Dest Farm]]</f>
        <v>19</v>
      </c>
      <c r="BB59" s="192" cm="1">
        <f t="array" aca="1" ref="BB59" ca="1">IF(TblConstr[[#This Row],[Hour]:[Hour]]&gt;12,OFFSET(TblConstr[[#This Row],[Smi]],-12,0),0)+OFFSET(TblConstr[[#This Row],[Tot Smi]],-1,0)-TblConstr[[#This Row],[Dest Smi]]</f>
        <v>73</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25</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66</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25</v>
      </c>
      <c r="BM59" s="395" cm="1">
        <f t="array" aca="1" ref="BM59" ca="1">IF(TblConstr[[#This Row],[Hour]:[Hour]]&gt;12,OFFSET(TblConstr[[#This Row],[Tem]],-12,0),0)+OFFSET(TblConstr[[#This Row],[Tot Tem]],-1,0)-TblConstr[[#This Row],[Dest Tem]]</f>
        <v>47</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10</v>
      </c>
      <c r="BR59" s="145"/>
      <c r="BS59" s="157"/>
      <c r="BT59" s="97">
        <f ca="1">TblConstr[[#This Row],[Land]]</f>
        <v>700</v>
      </c>
      <c r="BU59" s="162">
        <f ca="1">TblImps[[#This Row],[Time]]</f>
        <v>45432.041666666533</v>
      </c>
      <c r="BV59" s="145"/>
      <c r="BW59" s="182"/>
      <c r="BX59" s="182"/>
      <c r="BY59" s="182"/>
      <c r="BZ59" s="182"/>
      <c r="CA59" s="182"/>
      <c r="CB59" s="182"/>
      <c r="CC59" s="182"/>
      <c r="CD59" s="182"/>
      <c r="CE59" s="182"/>
      <c r="CF59" s="182">
        <v>1</v>
      </c>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430</v>
      </c>
      <c r="DA59" s="97">
        <f t="shared" ca="1" si="13"/>
        <v>25</v>
      </c>
      <c r="DB59" s="45">
        <f t="shared" ca="1" si="14"/>
        <v>0</v>
      </c>
      <c r="DC59" s="97">
        <f t="shared" ca="1" si="15"/>
        <v>67</v>
      </c>
      <c r="DD59" s="97">
        <f t="shared" ca="1" si="16"/>
        <v>76</v>
      </c>
      <c r="DE59" s="45">
        <f t="shared" ca="1" si="17"/>
        <v>0</v>
      </c>
      <c r="DF59" s="97">
        <f t="shared" ca="1" si="18"/>
        <v>24</v>
      </c>
      <c r="DG59" s="97" cm="1">
        <f t="array" aca="1" ref="DG59" ca="1">INDEX(TblConstr[[Total Plain]:[Total Water]],ROW()-ROW(TblConstr[#Headers]),MATCH("Total "&amp;home_land,TblConstr[[#Headers],[Total Plain]:[Total Water]],0))+TblConstr[[#This Row],[Homes]]</f>
        <v>40</v>
      </c>
      <c r="DH59" s="45">
        <f t="shared" ca="1" si="10"/>
        <v>40</v>
      </c>
      <c r="DI59" s="45">
        <f t="shared" ca="1" si="0"/>
        <v>0</v>
      </c>
      <c r="DJ59" s="45">
        <f t="shared" ca="1" si="1"/>
        <v>0</v>
      </c>
    </row>
    <row r="60" spans="1:114" x14ac:dyDescent="0.2">
      <c r="A60" s="178">
        <f>TblRezone[[#This Row],[Hour]]</f>
        <v>57</v>
      </c>
      <c r="B60" s="179">
        <f ca="1">SUM(TblConstr[[#This Row],[Plain]:[Water]])</f>
        <v>0</v>
      </c>
      <c r="C60" s="180">
        <f ca="1">SUM(TblConstr[[#This Row],[Tot Hom]:[Tot Doc]])</f>
        <v>538</v>
      </c>
      <c r="D60" s="180">
        <f t="shared" si="11"/>
        <v>162</v>
      </c>
      <c r="E60" s="181"/>
      <c r="F60" s="62">
        <f ca="1">TblConstr[[#This Row],[Barren]]+TblConstr[[#This Row],[Buildings]]+TblConstr[[#This Row],[Incoming]]</f>
        <v>700</v>
      </c>
      <c r="G60" s="190">
        <f ca="1">OFFSET(TblConstr[[#This Row],[Plain]],-1,0)+TblConstr[[#This Row],[Ch_Plain]]</f>
        <v>0</v>
      </c>
      <c r="H60" s="185">
        <f ca="1">OFFSET(TblConstr[[#This Row],[Forest]],-1,0)+TblConstr[[#This Row],[Ch_Forest]]</f>
        <v>0</v>
      </c>
      <c r="I60" s="385">
        <f ca="1">OFFSET(TblConstr[[#This Row],[Mountain]],-1,0)+TblConstr[[#This Row],[Ch_Mountain]]</f>
        <v>0</v>
      </c>
      <c r="J60" s="389">
        <f ca="1">OFFSET(TblConstr[[#This Row],[Hill]],-1,0)+TblConstr[[#This Row],[Ch_Hill]]</f>
        <v>0</v>
      </c>
      <c r="K60" s="393">
        <f ca="1">OFFSET(TblConstr[[#This Row],[Swamp]],-1,0)+TblConstr[[#This Row],[Ch_Swamp]]</f>
        <v>0</v>
      </c>
      <c r="L60" s="188">
        <f ca="1">OFFSET(TblConstr[[#This Row],[Cavern]],-1,0)+TblConstr[[#This Row],[Ch_Cavern]]</f>
        <v>0</v>
      </c>
      <c r="M60" s="189">
        <f ca="1">OFFSET(TblConstr[[#This Row],[Water]],-1,0)+TblConstr[[#This Row],[Ch_Water]]</f>
        <v>0</v>
      </c>
      <c r="N60" s="383">
        <f>TblRezone[[#This Row],[Hour]]</f>
        <v>57</v>
      </c>
      <c r="O60" s="182"/>
      <c r="P60" s="182"/>
      <c r="Q60" s="182"/>
      <c r="R60" s="182"/>
      <c r="S60" s="182"/>
      <c r="T60" s="182"/>
      <c r="U60" s="182"/>
      <c r="V60" s="182"/>
      <c r="W60" s="182"/>
      <c r="X60" s="182"/>
      <c r="Y60" s="182">
        <v>1</v>
      </c>
      <c r="Z60" s="182"/>
      <c r="AA60" s="182"/>
      <c r="AB60" s="182"/>
      <c r="AC60" s="182"/>
      <c r="AD60" s="182"/>
      <c r="AE60" s="182"/>
      <c r="AF60" s="182"/>
      <c r="AG60" s="182"/>
      <c r="AH60" s="53">
        <f ca="1">TblImps[[#This Row],[Time]]</f>
        <v>45432.083333333198</v>
      </c>
      <c r="AI60" s="183">
        <f ca="1">MIN(25%,(TblConstr[[#This Row],[Tot Fac]]+TblConstr[[#This Row],[Dest Fac]])/(TblConstr[[#This Row],[Land]]-TblExplore[[#This Row],[Land Bonus]]*20))</f>
        <v>9.4285714285714292E-2</v>
      </c>
      <c r="AJ60" s="183">
        <f ca="1">MIN(25%,(TblConstr[[#This Row],[Tot Fac]]+TblConstr[[#This Row],[Dest Fac]])/TblConstr[[#This Row],[Land]])</f>
        <v>9.4285714285714292E-2</v>
      </c>
      <c r="AK60" s="97">
        <f ca="1">TblProd[[#This Row],[Platinum]]</f>
        <v>602753</v>
      </c>
      <c r="AL60" s="97">
        <f ca="1">TblProd[[#This Row],[Lumber]]</f>
        <v>6050</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605</v>
      </c>
      <c r="AN60" s="97">
        <f ca="1">ROUNDDOWN( MAX(1 - MIN(facs_constr_factor*TblConstr[[#This Row],[Facs -DB]],facs_constr_max) + tech_1_11*TblTech[[#This Row],[11-1]] + tech_6_3_2*TblTech[[#This Row],[6-3]] + tech_5_2_3*TblTech[[#This Row],[5-2]], 1-global_constr_cap) * TblConstr[[#This Row],[RCPA Lumber]],0)</f>
        <v>114</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605</v>
      </c>
      <c r="AP60" s="97">
        <f ca="1">ROUNDDOWN( MAX(1 - MIN(facs_constr_factor*TblConstr[[#This Row],[Facs DB]],facs_constr_max) + tech_1_11*TblTech[[#This Row],[1-11]] + tech_6_3_2*TblTech[[#This Row],[6-3]] + tech_5_2_3*TblTech[[#This Row],[5-2]], 1-global_constr_cap) * ROUND((TblConstr[[#This Row],[Land]]-250)*0.285 + 87.5 + 0/4.25,0),0)</f>
        <v>114</v>
      </c>
      <c r="AQ60" s="45">
        <f ca="1">TblConstr[[#This Row],[build -db]]*TblConstr[[#This Row],[CPA Platinum -DB]] + TblConstr[[#This Row],[build db]]*TblConstr[[#This Row],[CPA Platinum DB]]</f>
        <v>605</v>
      </c>
      <c r="AR60" s="45">
        <f ca="1">TblConstr[[#This Row],[build -db]]*TblConstr[[#This Row],[CPA Lumber -DB]]+TblConstr[[#This Row],[build db]]*TblConstr[[#This Row],[CPA Lumber DB]]</f>
        <v>114</v>
      </c>
      <c r="AS60" s="97">
        <f ca="1">MIN(SUM(OFFSET(TblConstr[[#This Row],[Plain]:[Water]],-1,0))+SUM(TblConstr[[#This Row],[Dest Hom]:[Dest Doc]])+IF(TblConstr[[#This Row],[Hour]]&gt;12,SUM(OFFSET(TblExplore[[#This Row],[Plains Explore]:[Water Explore]],-12,0)),0),SUM(TblConstr[[#This Row],[Hom]:[Doc]]))</f>
        <v>1</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1413</v>
      </c>
      <c r="AW60" s="97">
        <f ca="1">ROUND((TblConstr[[#This Row],[Land]]-250 - IF(TblExplore[[#This Row],[Land Bonus]]&lt;&gt;0,20,0))*0.285 + 87.5 + 0/4.25,0)</f>
        <v>216</v>
      </c>
      <c r="AX60" s="157"/>
      <c r="AY60" s="191" cm="1">
        <f t="array" aca="1" ref="AY60" ca="1">IF(TblConstr[[#This Row],[Hour]:[Hour]]&gt;12,OFFSET(TblConstr[[#This Row],[Hom]],-12,0),0)+OFFSET(TblConstr[[#This Row],[Tot Hom]],-1,0)-TblConstr[[#This Row],[Dest Hom]]</f>
        <v>0</v>
      </c>
      <c r="AZ60" s="192" cm="1">
        <f t="array" aca="1" ref="AZ60" ca="1">IF(TblConstr[[#This Row],[Hour]:[Hour]]&gt;12,OFFSET(TblConstr[[#This Row],[Alc]],-12,0),0)+OFFSET(TblConstr[[#This Row],[Tot Alc]],-1,0)-TblConstr[[#This Row],[Dest Alc]]</f>
        <v>265</v>
      </c>
      <c r="BA60" s="192" cm="1">
        <f t="array" aca="1" ref="BA60" ca="1">IF(TblConstr[[#This Row],[Hour]:[Hour]]&gt;12,OFFSET(TblConstr[[#This Row],[Far]],-12,0),0)+OFFSET(TblConstr[[#This Row],[Tot Farm]],-1,0)-TblConstr[[#This Row],[Dest Farm]]</f>
        <v>19</v>
      </c>
      <c r="BB60" s="192" cm="1">
        <f t="array" aca="1" ref="BB60" ca="1">IF(TblConstr[[#This Row],[Hour]:[Hour]]&gt;12,OFFSET(TblConstr[[#This Row],[Smi]],-12,0),0)+OFFSET(TblConstr[[#This Row],[Tot Smi]],-1,0)-TblConstr[[#This Row],[Dest Smi]]</f>
        <v>82</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25</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65</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25</v>
      </c>
      <c r="BM60" s="395" cm="1">
        <f t="array" aca="1" ref="BM60" ca="1">IF(TblConstr[[#This Row],[Hour]:[Hour]]&gt;12,OFFSET(TblConstr[[#This Row],[Tem]],-12,0),0)+OFFSET(TblConstr[[#This Row],[Tot Tem]],-1,0)-TblConstr[[#This Row],[Dest Tem]]</f>
        <v>47</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10</v>
      </c>
      <c r="BR60" s="145"/>
      <c r="BS60" s="157"/>
      <c r="BT60" s="97">
        <f ca="1">TblConstr[[#This Row],[Land]]</f>
        <v>700</v>
      </c>
      <c r="BU60" s="162">
        <f ca="1">TblImps[[#This Row],[Time]]</f>
        <v>45432.083333333198</v>
      </c>
      <c r="BV60" s="145"/>
      <c r="BW60" s="182"/>
      <c r="BX60" s="182"/>
      <c r="BY60" s="182"/>
      <c r="BZ60" s="182"/>
      <c r="CA60" s="182"/>
      <c r="CB60" s="182"/>
      <c r="CC60" s="182"/>
      <c r="CD60" s="182"/>
      <c r="CE60" s="182"/>
      <c r="CF60" s="182">
        <v>1</v>
      </c>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430</v>
      </c>
      <c r="DA60" s="97">
        <f t="shared" ca="1" si="13"/>
        <v>25</v>
      </c>
      <c r="DB60" s="45">
        <f t="shared" ca="1" si="14"/>
        <v>0</v>
      </c>
      <c r="DC60" s="97">
        <f t="shared" ca="1" si="15"/>
        <v>67</v>
      </c>
      <c r="DD60" s="97">
        <f t="shared" ca="1" si="16"/>
        <v>76</v>
      </c>
      <c r="DE60" s="45">
        <f t="shared" ca="1" si="17"/>
        <v>0</v>
      </c>
      <c r="DF60" s="97">
        <f t="shared" ca="1" si="18"/>
        <v>24</v>
      </c>
      <c r="DG60" s="97" cm="1">
        <f t="array" aca="1" ref="DG60" ca="1">INDEX(TblConstr[[Total Plain]:[Total Water]],ROW()-ROW(TblConstr[#Headers]),MATCH("Total "&amp;home_land,TblConstr[[#Headers],[Total Plain]:[Total Water]],0))+TblConstr[[#This Row],[Homes]]</f>
        <v>40</v>
      </c>
      <c r="DH60" s="45">
        <f t="shared" ca="1" si="10"/>
        <v>40</v>
      </c>
      <c r="DI60" s="45">
        <f t="shared" ca="1" si="0"/>
        <v>0</v>
      </c>
      <c r="DJ60" s="45">
        <f t="shared" ca="1" si="1"/>
        <v>0</v>
      </c>
    </row>
    <row r="61" spans="1:114" x14ac:dyDescent="0.2">
      <c r="A61" s="178">
        <f>TblRezone[[#This Row],[Hour]]</f>
        <v>58</v>
      </c>
      <c r="B61" s="179">
        <f ca="1">SUM(TblConstr[[#This Row],[Plain]:[Water]])</f>
        <v>0</v>
      </c>
      <c r="C61" s="180">
        <f ca="1">SUM(TblConstr[[#This Row],[Tot Hom]:[Tot Doc]])</f>
        <v>548</v>
      </c>
      <c r="D61" s="180">
        <f t="shared" si="11"/>
        <v>152</v>
      </c>
      <c r="E61" s="181"/>
      <c r="F61" s="62">
        <f ca="1">TblConstr[[#This Row],[Barren]]+TblConstr[[#This Row],[Buildings]]+TblConstr[[#This Row],[Incoming]]</f>
        <v>700</v>
      </c>
      <c r="G61" s="190">
        <f ca="1">OFFSET(TblConstr[[#This Row],[Plain]],-1,0)+TblConstr[[#This Row],[Ch_Plain]]</f>
        <v>0</v>
      </c>
      <c r="H61" s="185">
        <f ca="1">OFFSET(TblConstr[[#This Row],[Forest]],-1,0)+TblConstr[[#This Row],[Ch_Forest]]</f>
        <v>0</v>
      </c>
      <c r="I61" s="385">
        <f ca="1">OFFSET(TblConstr[[#This Row],[Mountain]],-1,0)+TblConstr[[#This Row],[Ch_Mountain]]</f>
        <v>0</v>
      </c>
      <c r="J61" s="389">
        <f ca="1">OFFSET(TblConstr[[#This Row],[Hill]],-1,0)+TblConstr[[#This Row],[Ch_Hill]]</f>
        <v>0</v>
      </c>
      <c r="K61" s="393">
        <f ca="1">OFFSET(TblConstr[[#This Row],[Swamp]],-1,0)+TblConstr[[#This Row],[Ch_Swamp]]</f>
        <v>0</v>
      </c>
      <c r="L61" s="188">
        <f ca="1">OFFSET(TblConstr[[#This Row],[Cavern]],-1,0)+TblConstr[[#This Row],[Ch_Cavern]]</f>
        <v>0</v>
      </c>
      <c r="M61" s="189">
        <f ca="1">OFFSET(TblConstr[[#This Row],[Water]],-1,0)+TblConstr[[#This Row],[Ch_Water]]</f>
        <v>0</v>
      </c>
      <c r="N61" s="383">
        <f>TblRezone[[#This Row],[Hour]]</f>
        <v>58</v>
      </c>
      <c r="O61" s="182"/>
      <c r="P61" s="182"/>
      <c r="Q61" s="182"/>
      <c r="R61" s="182"/>
      <c r="S61" s="182"/>
      <c r="T61" s="182"/>
      <c r="U61" s="182"/>
      <c r="V61" s="182"/>
      <c r="W61" s="182"/>
      <c r="X61" s="182"/>
      <c r="Y61" s="182">
        <v>1</v>
      </c>
      <c r="Z61" s="182"/>
      <c r="AA61" s="182"/>
      <c r="AB61" s="182"/>
      <c r="AC61" s="182"/>
      <c r="AD61" s="182"/>
      <c r="AE61" s="182"/>
      <c r="AF61" s="182"/>
      <c r="AG61" s="182"/>
      <c r="AH61" s="53">
        <f ca="1">TblImps[[#This Row],[Time]]</f>
        <v>45432.124999999862</v>
      </c>
      <c r="AI61" s="183">
        <f ca="1">MIN(25%,(TblConstr[[#This Row],[Tot Fac]]+TblConstr[[#This Row],[Dest Fac]])/(TblConstr[[#This Row],[Land]]-TblExplore[[#This Row],[Land Bonus]]*20))</f>
        <v>9.285714285714286E-2</v>
      </c>
      <c r="AJ61" s="183">
        <f ca="1">MIN(25%,(TblConstr[[#This Row],[Tot Fac]]+TblConstr[[#This Row],[Dest Fac]])/TblConstr[[#This Row],[Land]])</f>
        <v>9.285714285714286E-2</v>
      </c>
      <c r="AK61" s="97">
        <f ca="1">TblProd[[#This Row],[Platinum]]</f>
        <v>648776</v>
      </c>
      <c r="AL61" s="97">
        <f ca="1">TblProd[[#This Row],[Lumber]]</f>
        <v>7000</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615</v>
      </c>
      <c r="AN61" s="97">
        <f ca="1">ROUNDDOWN( MAX(1 - MIN(facs_constr_factor*TblConstr[[#This Row],[Facs -DB]],facs_constr_max) + tech_1_11*TblTech[[#This Row],[11-1]] + tech_6_3_2*TblTech[[#This Row],[6-3]] + tech_5_2_3*TblTech[[#This Row],[5-2]], 1-global_constr_cap) * TblConstr[[#This Row],[RCPA Lumber]],0)</f>
        <v>115</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615</v>
      </c>
      <c r="AP61" s="97">
        <f ca="1">ROUNDDOWN( MAX(1 - MIN(facs_constr_factor*TblConstr[[#This Row],[Facs DB]],facs_constr_max) + tech_1_11*TblTech[[#This Row],[1-11]] + tech_6_3_2*TblTech[[#This Row],[6-3]] + tech_5_2_3*TblTech[[#This Row],[5-2]], 1-global_constr_cap) * ROUND((TblConstr[[#This Row],[Land]]-250)*0.285 + 87.5 + 0/4.25,0),0)</f>
        <v>115</v>
      </c>
      <c r="AQ61" s="45">
        <f ca="1">TblConstr[[#This Row],[build -db]]*TblConstr[[#This Row],[CPA Platinum -DB]] + TblConstr[[#This Row],[build db]]*TblConstr[[#This Row],[CPA Platinum DB]]</f>
        <v>615</v>
      </c>
      <c r="AR61" s="45">
        <f ca="1">TblConstr[[#This Row],[build -db]]*TblConstr[[#This Row],[CPA Lumber -DB]]+TblConstr[[#This Row],[build db]]*TblConstr[[#This Row],[CPA Lumber DB]]</f>
        <v>115</v>
      </c>
      <c r="AS61" s="97">
        <f ca="1">MIN(SUM(OFFSET(TblConstr[[#This Row],[Plain]:[Water]],-1,0))+SUM(TblConstr[[#This Row],[Dest Hom]:[Dest Doc]])+IF(TblConstr[[#This Row],[Hour]]&gt;12,SUM(OFFSET(TblExplore[[#This Row],[Plains Explore]:[Water Explore]],-12,0)),0),SUM(TblConstr[[#This Row],[Hom]:[Doc]]))</f>
        <v>1</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1413</v>
      </c>
      <c r="AW61" s="97">
        <f ca="1">ROUND((TblConstr[[#This Row],[Land]]-250 - IF(TblExplore[[#This Row],[Land Bonus]]&lt;&gt;0,20,0))*0.285 + 87.5 + 0/4.25,0)</f>
        <v>216</v>
      </c>
      <c r="AX61" s="157"/>
      <c r="AY61" s="191" cm="1">
        <f t="array" aca="1" ref="AY61" ca="1">IF(TblConstr[[#This Row],[Hour]:[Hour]]&gt;12,OFFSET(TblConstr[[#This Row],[Hom]],-12,0),0)+OFFSET(TblConstr[[#This Row],[Tot Hom]],-1,0)-TblConstr[[#This Row],[Dest Hom]]</f>
        <v>0</v>
      </c>
      <c r="AZ61" s="192" cm="1">
        <f t="array" aca="1" ref="AZ61" ca="1">IF(TblConstr[[#This Row],[Hour]:[Hour]]&gt;12,OFFSET(TblConstr[[#This Row],[Alc]],-12,0),0)+OFFSET(TblConstr[[#This Row],[Tot Alc]],-1,0)-TblConstr[[#This Row],[Dest Alc]]</f>
        <v>266</v>
      </c>
      <c r="BA61" s="192" cm="1">
        <f t="array" aca="1" ref="BA61" ca="1">IF(TblConstr[[#This Row],[Hour]:[Hour]]&gt;12,OFFSET(TblConstr[[#This Row],[Far]],-12,0),0)+OFFSET(TblConstr[[#This Row],[Tot Farm]],-1,0)-TblConstr[[#This Row],[Dest Farm]]</f>
        <v>19</v>
      </c>
      <c r="BB61" s="192" cm="1">
        <f t="array" aca="1" ref="BB61" ca="1">IF(TblConstr[[#This Row],[Hour]:[Hour]]&gt;12,OFFSET(TblConstr[[#This Row],[Smi]],-12,0),0)+OFFSET(TblConstr[[#This Row],[Tot Smi]],-1,0)-TblConstr[[#This Row],[Dest Smi]]</f>
        <v>92</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25</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64</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25</v>
      </c>
      <c r="BM61" s="395" cm="1">
        <f t="array" aca="1" ref="BM61" ca="1">IF(TblConstr[[#This Row],[Hour]:[Hour]]&gt;12,OFFSET(TblConstr[[#This Row],[Tem]],-12,0),0)+OFFSET(TblConstr[[#This Row],[Tot Tem]],-1,0)-TblConstr[[#This Row],[Dest Tem]]</f>
        <v>47</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10</v>
      </c>
      <c r="BR61" s="145"/>
      <c r="BS61" s="157"/>
      <c r="BT61" s="97">
        <f ca="1">TblConstr[[#This Row],[Land]]</f>
        <v>700</v>
      </c>
      <c r="BU61" s="162">
        <f ca="1">TblImps[[#This Row],[Time]]</f>
        <v>45432.124999999862</v>
      </c>
      <c r="BV61" s="145"/>
      <c r="BW61" s="182"/>
      <c r="BX61" s="182"/>
      <c r="BY61" s="182"/>
      <c r="BZ61" s="182"/>
      <c r="CA61" s="182"/>
      <c r="CB61" s="182"/>
      <c r="CC61" s="182"/>
      <c r="CD61" s="182"/>
      <c r="CE61" s="182"/>
      <c r="CF61" s="182">
        <v>1</v>
      </c>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430</v>
      </c>
      <c r="DA61" s="97">
        <f t="shared" ca="1" si="13"/>
        <v>25</v>
      </c>
      <c r="DB61" s="45">
        <f t="shared" ca="1" si="14"/>
        <v>0</v>
      </c>
      <c r="DC61" s="97">
        <f t="shared" ca="1" si="15"/>
        <v>67</v>
      </c>
      <c r="DD61" s="97">
        <f t="shared" ca="1" si="16"/>
        <v>76</v>
      </c>
      <c r="DE61" s="45">
        <f t="shared" ca="1" si="17"/>
        <v>0</v>
      </c>
      <c r="DF61" s="97">
        <f t="shared" ca="1" si="18"/>
        <v>24</v>
      </c>
      <c r="DG61" s="97" cm="1">
        <f t="array" aca="1" ref="DG61" ca="1">INDEX(TblConstr[[Total Plain]:[Total Water]],ROW()-ROW(TblConstr[#Headers]),MATCH("Total "&amp;home_land,TblConstr[[#Headers],[Total Plain]:[Total Water]],0))+TblConstr[[#This Row],[Homes]]</f>
        <v>40</v>
      </c>
      <c r="DH61" s="45">
        <f t="shared" ca="1" si="10"/>
        <v>40</v>
      </c>
      <c r="DI61" s="45">
        <f t="shared" ca="1" si="0"/>
        <v>0</v>
      </c>
      <c r="DJ61" s="45">
        <f t="shared" ca="1" si="1"/>
        <v>0</v>
      </c>
    </row>
    <row r="62" spans="1:114" x14ac:dyDescent="0.2">
      <c r="A62" s="178">
        <f>TblRezone[[#This Row],[Hour]]</f>
        <v>59</v>
      </c>
      <c r="B62" s="179">
        <f ca="1">SUM(TblConstr[[#This Row],[Plain]:[Water]])</f>
        <v>0</v>
      </c>
      <c r="C62" s="180">
        <f ca="1">SUM(TblConstr[[#This Row],[Tot Hom]:[Tot Doc]])</f>
        <v>559</v>
      </c>
      <c r="D62" s="180">
        <f t="shared" si="11"/>
        <v>141</v>
      </c>
      <c r="E62" s="181"/>
      <c r="F62" s="62">
        <f ca="1">TblConstr[[#This Row],[Barren]]+TblConstr[[#This Row],[Buildings]]+TblConstr[[#This Row],[Incoming]]</f>
        <v>700</v>
      </c>
      <c r="G62" s="190">
        <f ca="1">OFFSET(TblConstr[[#This Row],[Plain]],-1,0)+TblConstr[[#This Row],[Ch_Plain]]</f>
        <v>0</v>
      </c>
      <c r="H62" s="185">
        <f ca="1">OFFSET(TblConstr[[#This Row],[Forest]],-1,0)+TblConstr[[#This Row],[Ch_Forest]]</f>
        <v>0</v>
      </c>
      <c r="I62" s="385">
        <f ca="1">OFFSET(TblConstr[[#This Row],[Mountain]],-1,0)+TblConstr[[#This Row],[Ch_Mountain]]</f>
        <v>0</v>
      </c>
      <c r="J62" s="389">
        <f ca="1">OFFSET(TblConstr[[#This Row],[Hill]],-1,0)+TblConstr[[#This Row],[Ch_Hill]]</f>
        <v>0</v>
      </c>
      <c r="K62" s="393">
        <f ca="1">OFFSET(TblConstr[[#This Row],[Swamp]],-1,0)+TblConstr[[#This Row],[Ch_Swamp]]</f>
        <v>0</v>
      </c>
      <c r="L62" s="188">
        <f ca="1">OFFSET(TblConstr[[#This Row],[Cavern]],-1,0)+TblConstr[[#This Row],[Ch_Cavern]]</f>
        <v>0</v>
      </c>
      <c r="M62" s="189">
        <f ca="1">OFFSET(TblConstr[[#This Row],[Water]],-1,0)+TblConstr[[#This Row],[Ch_Water]]</f>
        <v>0</v>
      </c>
      <c r="N62" s="383">
        <f>TblRezone[[#This Row],[Hour]]</f>
        <v>59</v>
      </c>
      <c r="O62" s="182"/>
      <c r="P62" s="182"/>
      <c r="Q62" s="182"/>
      <c r="R62" s="182"/>
      <c r="S62" s="182"/>
      <c r="T62" s="182"/>
      <c r="U62" s="182"/>
      <c r="V62" s="182"/>
      <c r="W62" s="182"/>
      <c r="X62" s="182"/>
      <c r="Y62" s="182">
        <v>1</v>
      </c>
      <c r="Z62" s="182"/>
      <c r="AA62" s="182"/>
      <c r="AB62" s="182"/>
      <c r="AC62" s="182"/>
      <c r="AD62" s="182"/>
      <c r="AE62" s="182"/>
      <c r="AF62" s="182"/>
      <c r="AG62" s="182"/>
      <c r="AH62" s="53">
        <f ca="1">TblImps[[#This Row],[Time]]</f>
        <v>45432.166666666526</v>
      </c>
      <c r="AI62" s="183">
        <f ca="1">MIN(25%,(TblConstr[[#This Row],[Tot Fac]]+TblConstr[[#This Row],[Dest Fac]])/(TblConstr[[#This Row],[Land]]-TblExplore[[#This Row],[Land Bonus]]*20))</f>
        <v>9.1428571428571428E-2</v>
      </c>
      <c r="AJ62" s="183">
        <f ca="1">MIN(25%,(TblConstr[[#This Row],[Tot Fac]]+TblConstr[[#This Row],[Dest Fac]])/TblConstr[[#This Row],[Land]])</f>
        <v>9.1428571428571428E-2</v>
      </c>
      <c r="AK62" s="97">
        <f ca="1">TblProd[[#This Row],[Platinum]]</f>
        <v>694619</v>
      </c>
      <c r="AL62" s="97">
        <f ca="1">TblProd[[#This Row],[Lumber]]</f>
        <v>7938</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625</v>
      </c>
      <c r="AN62" s="97">
        <f ca="1">ROUNDDOWN( MAX(1 - MIN(facs_constr_factor*TblConstr[[#This Row],[Facs -DB]],facs_constr_max) + tech_1_11*TblTech[[#This Row],[11-1]] + tech_6_3_2*TblTech[[#This Row],[6-3]] + tech_5_2_3*TblTech[[#This Row],[5-2]], 1-global_constr_cap) * TblConstr[[#This Row],[RCPA Lumber]],0)</f>
        <v>117</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625</v>
      </c>
      <c r="AP62" s="97">
        <f ca="1">ROUNDDOWN( MAX(1 - MIN(facs_constr_factor*TblConstr[[#This Row],[Facs DB]],facs_constr_max) + tech_1_11*TblTech[[#This Row],[1-11]] + tech_6_3_2*TblTech[[#This Row],[6-3]] + tech_5_2_3*TblTech[[#This Row],[5-2]], 1-global_constr_cap) * ROUND((TblConstr[[#This Row],[Land]]-250)*0.285 + 87.5 + 0/4.25,0),0)</f>
        <v>117</v>
      </c>
      <c r="AQ62" s="45">
        <f ca="1">TblConstr[[#This Row],[build -db]]*TblConstr[[#This Row],[CPA Platinum -DB]] + TblConstr[[#This Row],[build db]]*TblConstr[[#This Row],[CPA Platinum DB]]</f>
        <v>625</v>
      </c>
      <c r="AR62" s="45">
        <f ca="1">TblConstr[[#This Row],[build -db]]*TblConstr[[#This Row],[CPA Lumber -DB]]+TblConstr[[#This Row],[build db]]*TblConstr[[#This Row],[CPA Lumber DB]]</f>
        <v>117</v>
      </c>
      <c r="AS62" s="97">
        <f ca="1">MIN(SUM(OFFSET(TblConstr[[#This Row],[Plain]:[Water]],-1,0))+SUM(TblConstr[[#This Row],[Dest Hom]:[Dest Doc]])+IF(TblConstr[[#This Row],[Hour]]&gt;12,SUM(OFFSET(TblExplore[[#This Row],[Plains Explore]:[Water Explore]],-12,0)),0),SUM(TblConstr[[#This Row],[Hom]:[Doc]]))</f>
        <v>1</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1413</v>
      </c>
      <c r="AW62" s="97">
        <f ca="1">ROUND((TblConstr[[#This Row],[Land]]-250 - IF(TblExplore[[#This Row],[Land Bonus]]&lt;&gt;0,20,0))*0.285 + 87.5 + 0/4.25,0)</f>
        <v>216</v>
      </c>
      <c r="AX62" s="157"/>
      <c r="AY62" s="191" cm="1">
        <f t="array" aca="1" ref="AY62" ca="1">IF(TblConstr[[#This Row],[Hour]:[Hour]]&gt;12,OFFSET(TblConstr[[#This Row],[Hom]],-12,0),0)+OFFSET(TblConstr[[#This Row],[Tot Hom]],-1,0)-TblConstr[[#This Row],[Dest Hom]]</f>
        <v>0</v>
      </c>
      <c r="AZ62" s="192" cm="1">
        <f t="array" aca="1" ref="AZ62" ca="1">IF(TblConstr[[#This Row],[Hour]:[Hour]]&gt;12,OFFSET(TblConstr[[#This Row],[Alc]],-12,0),0)+OFFSET(TblConstr[[#This Row],[Tot Alc]],-1,0)-TblConstr[[#This Row],[Dest Alc]]</f>
        <v>268</v>
      </c>
      <c r="BA62" s="192" cm="1">
        <f t="array" aca="1" ref="BA62" ca="1">IF(TblConstr[[#This Row],[Hour]:[Hour]]&gt;12,OFFSET(TblConstr[[#This Row],[Far]],-12,0),0)+OFFSET(TblConstr[[#This Row],[Tot Farm]],-1,0)-TblConstr[[#This Row],[Dest Farm]]</f>
        <v>19</v>
      </c>
      <c r="BB62" s="192" cm="1">
        <f t="array" aca="1" ref="BB62" ca="1">IF(TblConstr[[#This Row],[Hour]:[Hour]]&gt;12,OFFSET(TblConstr[[#This Row],[Smi]],-12,0),0)+OFFSET(TblConstr[[#This Row],[Tot Smi]],-1,0)-TblConstr[[#This Row],[Dest Smi]]</f>
        <v>102</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25</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63</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25</v>
      </c>
      <c r="BM62" s="395" cm="1">
        <f t="array" aca="1" ref="BM62" ca="1">IF(TblConstr[[#This Row],[Hour]:[Hour]]&gt;12,OFFSET(TblConstr[[#This Row],[Tem]],-12,0),0)+OFFSET(TblConstr[[#This Row],[Tot Tem]],-1,0)-TblConstr[[#This Row],[Dest Tem]]</f>
        <v>47</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10</v>
      </c>
      <c r="BR62" s="145"/>
      <c r="BS62" s="157"/>
      <c r="BT62" s="97">
        <f ca="1">TblConstr[[#This Row],[Land]]</f>
        <v>700</v>
      </c>
      <c r="BU62" s="162">
        <f ca="1">TblImps[[#This Row],[Time]]</f>
        <v>45432.166666666526</v>
      </c>
      <c r="BV62" s="145"/>
      <c r="BW62" s="182"/>
      <c r="BX62" s="182"/>
      <c r="BY62" s="182"/>
      <c r="BZ62" s="182"/>
      <c r="CA62" s="182"/>
      <c r="CB62" s="182"/>
      <c r="CC62" s="182"/>
      <c r="CD62" s="182"/>
      <c r="CE62" s="182"/>
      <c r="CF62" s="182">
        <v>1</v>
      </c>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430</v>
      </c>
      <c r="DA62" s="97">
        <f t="shared" ca="1" si="13"/>
        <v>25</v>
      </c>
      <c r="DB62" s="45">
        <f t="shared" ca="1" si="14"/>
        <v>0</v>
      </c>
      <c r="DC62" s="97">
        <f t="shared" ca="1" si="15"/>
        <v>67</v>
      </c>
      <c r="DD62" s="97">
        <f t="shared" ca="1" si="16"/>
        <v>76</v>
      </c>
      <c r="DE62" s="45">
        <f t="shared" ca="1" si="17"/>
        <v>0</v>
      </c>
      <c r="DF62" s="97">
        <f t="shared" ca="1" si="18"/>
        <v>24</v>
      </c>
      <c r="DG62" s="97" cm="1">
        <f t="array" aca="1" ref="DG62" ca="1">INDEX(TblConstr[[Total Plain]:[Total Water]],ROW()-ROW(TblConstr[#Headers]),MATCH("Total "&amp;home_land,TblConstr[[#Headers],[Total Plain]:[Total Water]],0))+TblConstr[[#This Row],[Homes]]</f>
        <v>40</v>
      </c>
      <c r="DH62" s="45">
        <f t="shared" ca="1" si="10"/>
        <v>40</v>
      </c>
      <c r="DI62" s="45">
        <f t="shared" ca="1" si="0"/>
        <v>0</v>
      </c>
      <c r="DJ62" s="45">
        <f t="shared" ca="1" si="1"/>
        <v>0</v>
      </c>
    </row>
    <row r="63" spans="1:114" x14ac:dyDescent="0.2">
      <c r="A63" s="178">
        <f>TblRezone[[#This Row],[Hour]]</f>
        <v>60</v>
      </c>
      <c r="B63" s="179">
        <f ca="1">SUM(TblConstr[[#This Row],[Plain]:[Water]])</f>
        <v>0</v>
      </c>
      <c r="C63" s="180">
        <f ca="1">SUM(TblConstr[[#This Row],[Tot Hom]:[Tot Doc]])</f>
        <v>591</v>
      </c>
      <c r="D63" s="180">
        <f t="shared" si="11"/>
        <v>109</v>
      </c>
      <c r="E63" s="181"/>
      <c r="F63" s="62">
        <f ca="1">TblConstr[[#This Row],[Barren]]+TblConstr[[#This Row],[Buildings]]+TblConstr[[#This Row],[Incoming]]</f>
        <v>700</v>
      </c>
      <c r="G63" s="190">
        <f ca="1">OFFSET(TblConstr[[#This Row],[Plain]],-1,0)+TblConstr[[#This Row],[Ch_Plain]]</f>
        <v>0</v>
      </c>
      <c r="H63" s="185">
        <f ca="1">OFFSET(TblConstr[[#This Row],[Forest]],-1,0)+TblConstr[[#This Row],[Ch_Forest]]</f>
        <v>0</v>
      </c>
      <c r="I63" s="385">
        <f ca="1">OFFSET(TblConstr[[#This Row],[Mountain]],-1,0)+TblConstr[[#This Row],[Ch_Mountain]]</f>
        <v>0</v>
      </c>
      <c r="J63" s="389">
        <f ca="1">OFFSET(TblConstr[[#This Row],[Hill]],-1,0)+TblConstr[[#This Row],[Ch_Hill]]</f>
        <v>0</v>
      </c>
      <c r="K63" s="393">
        <f ca="1">OFFSET(TblConstr[[#This Row],[Swamp]],-1,0)+TblConstr[[#This Row],[Ch_Swamp]]</f>
        <v>0</v>
      </c>
      <c r="L63" s="188">
        <f ca="1">OFFSET(TblConstr[[#This Row],[Cavern]],-1,0)+TblConstr[[#This Row],[Ch_Cavern]]</f>
        <v>0</v>
      </c>
      <c r="M63" s="189">
        <f ca="1">OFFSET(TblConstr[[#This Row],[Water]],-1,0)+TblConstr[[#This Row],[Ch_Water]]</f>
        <v>0</v>
      </c>
      <c r="N63" s="383">
        <f>TblRezone[[#This Row],[Hour]]</f>
        <v>60</v>
      </c>
      <c r="O63" s="182"/>
      <c r="P63" s="182"/>
      <c r="Q63" s="182"/>
      <c r="R63" s="182"/>
      <c r="S63" s="182"/>
      <c r="T63" s="182"/>
      <c r="U63" s="182"/>
      <c r="V63" s="182"/>
      <c r="W63" s="182"/>
      <c r="X63" s="182"/>
      <c r="Y63" s="182">
        <v>1</v>
      </c>
      <c r="Z63" s="182"/>
      <c r="AA63" s="182"/>
      <c r="AB63" s="182"/>
      <c r="AC63" s="182"/>
      <c r="AD63" s="182"/>
      <c r="AE63" s="182"/>
      <c r="AF63" s="182"/>
      <c r="AG63" s="182"/>
      <c r="AH63" s="53">
        <f ca="1">TblImps[[#This Row],[Time]]</f>
        <v>45432.20833333319</v>
      </c>
      <c r="AI63" s="183">
        <f ca="1">MIN(25%,(TblConstr[[#This Row],[Tot Fac]]+TblConstr[[#This Row],[Dest Fac]])/(TblConstr[[#This Row],[Land]]-TblExplore[[#This Row],[Land Bonus]]*20))</f>
        <v>0.09</v>
      </c>
      <c r="AJ63" s="183">
        <f ca="1">MIN(25%,(TblConstr[[#This Row],[Tot Fac]]+TblConstr[[#This Row],[Dest Fac]])/TblConstr[[#This Row],[Land]])</f>
        <v>0.09</v>
      </c>
      <c r="AK63" s="97">
        <f ca="1">TblProd[[#This Row],[Platinum]]</f>
        <v>740222</v>
      </c>
      <c r="AL63" s="97">
        <f ca="1">TblProd[[#This Row],[Lumber]]</f>
        <v>8866</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635</v>
      </c>
      <c r="AN63" s="97">
        <f ca="1">ROUNDDOWN( MAX(1 - MIN(facs_constr_factor*TblConstr[[#This Row],[Facs -DB]],facs_constr_max) + tech_1_11*TblTech[[#This Row],[11-1]] + tech_6_3_2*TblTech[[#This Row],[6-3]] + tech_5_2_3*TblTech[[#This Row],[5-2]], 1-global_constr_cap) * TblConstr[[#This Row],[RCPA Lumber]],0)</f>
        <v>118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635</v>
      </c>
      <c r="AP63" s="97">
        <f ca="1">ROUNDDOWN( MAX(1 - MIN(facs_constr_factor*TblConstr[[#This Row],[Facs DB]],facs_constr_max) + tech_1_11*TblTech[[#This Row],[1-11]] + tech_6_3_2*TblTech[[#This Row],[6-3]] + tech_5_2_3*TblTech[[#This Row],[5-2]], 1-global_constr_cap) * ROUND((TblConstr[[#This Row],[Land]]-250)*0.285 + 87.5 + 0/4.25,0),0)</f>
        <v>118</v>
      </c>
      <c r="AQ63" s="45">
        <f ca="1">TblConstr[[#This Row],[build -db]]*TblConstr[[#This Row],[CPA Platinum -DB]] + TblConstr[[#This Row],[build db]]*TblConstr[[#This Row],[CPA Platinum DB]]</f>
        <v>635</v>
      </c>
      <c r="AR63" s="45">
        <f ca="1">TblConstr[[#This Row],[build -db]]*TblConstr[[#This Row],[CPA Lumber -DB]]+TblConstr[[#This Row],[build db]]*TblConstr[[#This Row],[CPA Lumber DB]]</f>
        <v>118</v>
      </c>
      <c r="AS63" s="97">
        <f ca="1">MIN(SUM(OFFSET(TblConstr[[#This Row],[Plain]:[Water]],-1,0))+SUM(TblConstr[[#This Row],[Dest Hom]:[Dest Doc]])+IF(TblConstr[[#This Row],[Hour]]&gt;12,SUM(OFFSET(TblExplore[[#This Row],[Plains Explore]:[Water Explore]],-12,0)),0),SUM(TblConstr[[#This Row],[Hom]:[Doc]]))</f>
        <v>1</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1413</v>
      </c>
      <c r="AW63" s="97">
        <f ca="1">ROUND((TblConstr[[#This Row],[Land]]-250 - IF(TblExplore[[#This Row],[Land Bonus]]&lt;&gt;0,20,0))*0.285 + 87.5 + 0/4.25,0)</f>
        <v>216</v>
      </c>
      <c r="AX63" s="157"/>
      <c r="AY63" s="191" cm="1">
        <f t="array" aca="1" ref="AY63" ca="1">IF(TblConstr[[#This Row],[Hour]:[Hour]]&gt;12,OFFSET(TblConstr[[#This Row],[Hom]],-12,0),0)+OFFSET(TblConstr[[#This Row],[Tot Hom]],-1,0)-TblConstr[[#This Row],[Dest Hom]]</f>
        <v>20</v>
      </c>
      <c r="AZ63" s="192" cm="1">
        <f t="array" aca="1" ref="AZ63" ca="1">IF(TblConstr[[#This Row],[Hour]:[Hour]]&gt;12,OFFSET(TblConstr[[#This Row],[Alc]],-12,0),0)+OFFSET(TblConstr[[#This Row],[Tot Alc]],-1,0)-TblConstr[[#This Row],[Dest Alc]]</f>
        <v>269</v>
      </c>
      <c r="BA63" s="192" cm="1">
        <f t="array" aca="1" ref="BA63" ca="1">IF(TblConstr[[#This Row],[Hour]:[Hour]]&gt;12,OFFSET(TblConstr[[#This Row],[Far]],-12,0),0)+OFFSET(TblConstr[[#This Row],[Tot Farm]],-1,0)-TblConstr[[#This Row],[Dest Farm]]</f>
        <v>19</v>
      </c>
      <c r="BB63" s="192" cm="1">
        <f t="array" aca="1" ref="BB63" ca="1">IF(TblConstr[[#This Row],[Hour]:[Hour]]&gt;12,OFFSET(TblConstr[[#This Row],[Smi]],-12,0),0)+OFFSET(TblConstr[[#This Row],[Tot Smi]],-1,0)-TblConstr[[#This Row],[Dest Smi]]</f>
        <v>114</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25</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62</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25</v>
      </c>
      <c r="BM63" s="395" cm="1">
        <f t="array" aca="1" ref="BM63" ca="1">IF(TblConstr[[#This Row],[Hour]:[Hour]]&gt;12,OFFSET(TblConstr[[#This Row],[Tem]],-12,0),0)+OFFSET(TblConstr[[#This Row],[Tot Tem]],-1,0)-TblConstr[[#This Row],[Dest Tem]]</f>
        <v>47</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10</v>
      </c>
      <c r="BR63" s="145"/>
      <c r="BS63" s="157"/>
      <c r="BT63" s="97">
        <f ca="1">TblConstr[[#This Row],[Land]]</f>
        <v>700</v>
      </c>
      <c r="BU63" s="162">
        <f ca="1">TblImps[[#This Row],[Time]]</f>
        <v>45432.20833333319</v>
      </c>
      <c r="BV63" s="145"/>
      <c r="BW63" s="182"/>
      <c r="BX63" s="182"/>
      <c r="BY63" s="182"/>
      <c r="BZ63" s="182"/>
      <c r="CA63" s="182"/>
      <c r="CB63" s="182"/>
      <c r="CC63" s="182"/>
      <c r="CD63" s="182"/>
      <c r="CE63" s="182"/>
      <c r="CF63" s="182">
        <v>1</v>
      </c>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430</v>
      </c>
      <c r="DA63" s="97">
        <f t="shared" ca="1" si="13"/>
        <v>25</v>
      </c>
      <c r="DB63" s="45">
        <f t="shared" ca="1" si="14"/>
        <v>0</v>
      </c>
      <c r="DC63" s="97">
        <f t="shared" ca="1" si="15"/>
        <v>67</v>
      </c>
      <c r="DD63" s="97">
        <f t="shared" ca="1" si="16"/>
        <v>76</v>
      </c>
      <c r="DE63" s="45">
        <f t="shared" ca="1" si="17"/>
        <v>0</v>
      </c>
      <c r="DF63" s="97">
        <f t="shared" ca="1" si="18"/>
        <v>24</v>
      </c>
      <c r="DG63" s="97" cm="1">
        <f t="array" aca="1" ref="DG63" ca="1">INDEX(TblConstr[[Total Plain]:[Total Water]],ROW()-ROW(TblConstr[#Headers]),MATCH("Total "&amp;home_land,TblConstr[[#Headers],[Total Plain]:[Total Water]],0))+TblConstr[[#This Row],[Homes]]</f>
        <v>40</v>
      </c>
      <c r="DH63" s="45">
        <f t="shared" ca="1" si="10"/>
        <v>40</v>
      </c>
      <c r="DI63" s="45">
        <f t="shared" ca="1" si="0"/>
        <v>0</v>
      </c>
      <c r="DJ63" s="45">
        <f t="shared" ca="1" si="1"/>
        <v>0</v>
      </c>
    </row>
    <row r="64" spans="1:114" x14ac:dyDescent="0.2">
      <c r="A64" s="178">
        <f>TblRezone[[#This Row],[Hour]]</f>
        <v>61</v>
      </c>
      <c r="B64" s="179">
        <f ca="1">SUM(TblConstr[[#This Row],[Plain]:[Water]])</f>
        <v>0</v>
      </c>
      <c r="C64" s="180">
        <f ca="1">SUM(TblConstr[[#This Row],[Tot Hom]:[Tot Doc]])</f>
        <v>574</v>
      </c>
      <c r="D64" s="180">
        <f t="shared" si="11"/>
        <v>126</v>
      </c>
      <c r="E64" s="181"/>
      <c r="F64" s="62">
        <f ca="1">TblConstr[[#This Row],[Barren]]+TblConstr[[#This Row],[Buildings]]+TblConstr[[#This Row],[Incoming]]</f>
        <v>700</v>
      </c>
      <c r="G64" s="190">
        <f ca="1">OFFSET(TblConstr[[#This Row],[Plain]],-1,0)+TblConstr[[#This Row],[Ch_Plain]]</f>
        <v>0</v>
      </c>
      <c r="H64" s="185">
        <f ca="1">OFFSET(TblConstr[[#This Row],[Forest]],-1,0)+TblConstr[[#This Row],[Ch_Forest]]</f>
        <v>0</v>
      </c>
      <c r="I64" s="385">
        <f ca="1">OFFSET(TblConstr[[#This Row],[Mountain]],-1,0)+TblConstr[[#This Row],[Ch_Mountain]]</f>
        <v>0</v>
      </c>
      <c r="J64" s="389">
        <f ca="1">OFFSET(TblConstr[[#This Row],[Hill]],-1,0)+TblConstr[[#This Row],[Ch_Hill]]</f>
        <v>0</v>
      </c>
      <c r="K64" s="393">
        <f ca="1">OFFSET(TblConstr[[#This Row],[Swamp]],-1,0)+TblConstr[[#This Row],[Ch_Swamp]]</f>
        <v>0</v>
      </c>
      <c r="L64" s="188">
        <f ca="1">OFFSET(TblConstr[[#This Row],[Cavern]],-1,0)+TblConstr[[#This Row],[Ch_Cavern]]</f>
        <v>0</v>
      </c>
      <c r="M64" s="189">
        <f ca="1">OFFSET(TblConstr[[#This Row],[Water]],-1,0)+TblConstr[[#This Row],[Ch_Water]]</f>
        <v>0</v>
      </c>
      <c r="N64" s="383">
        <f>TblRezone[[#This Row],[Hour]]</f>
        <v>61</v>
      </c>
      <c r="O64" s="182"/>
      <c r="P64" s="182"/>
      <c r="Q64" s="182"/>
      <c r="R64" s="182"/>
      <c r="S64" s="182"/>
      <c r="T64" s="182"/>
      <c r="U64" s="182"/>
      <c r="V64" s="182"/>
      <c r="W64" s="182"/>
      <c r="X64" s="182"/>
      <c r="Y64" s="182">
        <v>50</v>
      </c>
      <c r="Z64" s="182"/>
      <c r="AA64" s="182"/>
      <c r="AB64" s="182"/>
      <c r="AC64" s="182"/>
      <c r="AD64" s="182"/>
      <c r="AE64" s="182"/>
      <c r="AF64" s="182"/>
      <c r="AG64" s="182"/>
      <c r="AH64" s="53">
        <f ca="1">TblImps[[#This Row],[Time]]</f>
        <v>45432.249999999854</v>
      </c>
      <c r="AI64" s="183">
        <f ca="1">MIN(25%,(TblConstr[[#This Row],[Tot Fac]]+TblConstr[[#This Row],[Dest Fac]])/(TblConstr[[#This Row],[Land]]-TblExplore[[#This Row],[Land Bonus]]*20))</f>
        <v>8.8571428571428565E-2</v>
      </c>
      <c r="AJ64" s="183">
        <f ca="1">MIN(25%,(TblConstr[[#This Row],[Tot Fac]]+TblConstr[[#This Row],[Dest Fac]])/TblConstr[[#This Row],[Land]])</f>
        <v>8.8571428571428565E-2</v>
      </c>
      <c r="AK64" s="97">
        <f ca="1">TblProd[[#This Row],[Platinum]]</f>
        <v>12986</v>
      </c>
      <c r="AL64" s="97">
        <f ca="1">TblProd[[#This Row],[Lumber]]</f>
        <v>3902</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645</v>
      </c>
      <c r="AN64" s="97">
        <f ca="1">ROUNDDOWN( MAX(1 - MIN(facs_constr_factor*TblConstr[[#This Row],[Facs -DB]],facs_constr_max) + tech_1_11*TblTech[[#This Row],[11-1]] + tech_6_3_2*TblTech[[#This Row],[6-3]] + tech_5_2_3*TblTech[[#This Row],[5-2]], 1-global_constr_cap) * TblConstr[[#This Row],[RCPA Lumber]],0)</f>
        <v>120</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645</v>
      </c>
      <c r="AP64" s="97">
        <f ca="1">ROUNDDOWN( MAX(1 - MIN(facs_constr_factor*TblConstr[[#This Row],[Facs DB]],facs_constr_max) + tech_1_11*TblTech[[#This Row],[1-11]] + tech_6_3_2*TblTech[[#This Row],[6-3]] + tech_5_2_3*TblTech[[#This Row],[5-2]], 1-global_constr_cap) * ROUND((TblConstr[[#This Row],[Land]]-250)*0.285 + 87.5 + 0/4.25,0),0)</f>
        <v>120</v>
      </c>
      <c r="AQ64" s="45">
        <f ca="1">TblConstr[[#This Row],[build -db]]*TblConstr[[#This Row],[CPA Platinum -DB]] + TblConstr[[#This Row],[build db]]*TblConstr[[#This Row],[CPA Platinum DB]]</f>
        <v>32250</v>
      </c>
      <c r="AR64" s="45">
        <f ca="1">TblConstr[[#This Row],[build -db]]*TblConstr[[#This Row],[CPA Lumber -DB]]+TblConstr[[#This Row],[build db]]*TblConstr[[#This Row],[CPA Lumber DB]]</f>
        <v>6000</v>
      </c>
      <c r="AS64" s="97">
        <f ca="1">MIN(SUM(OFFSET(TblConstr[[#This Row],[Plain]:[Water]],-1,0))+SUM(TblConstr[[#This Row],[Dest Hom]:[Dest Doc]])+IF(TblConstr[[#This Row],[Hour]]&gt;12,SUM(OFFSET(TblExplore[[#This Row],[Plains Explore]:[Water Explore]],-12,0)),0),SUM(TblConstr[[#This Row],[Hom]:[Doc]]))</f>
        <v>50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1413</v>
      </c>
      <c r="AW64" s="97">
        <f ca="1">ROUND((TblConstr[[#This Row],[Land]]-250 - IF(TblExplore[[#This Row],[Land Bonus]]&lt;&gt;0,20,0))*0.285 + 87.5 + 0/4.25,0)</f>
        <v>216</v>
      </c>
      <c r="AX64" s="157"/>
      <c r="AY64" s="191" cm="1">
        <f t="array" aca="1" ref="AY64" ca="1">IF(TblConstr[[#This Row],[Hour]:[Hour]]&gt;12,OFFSET(TblConstr[[#This Row],[Hom]],-12,0),0)+OFFSET(TblConstr[[#This Row],[Tot Hom]],-1,0)-TblConstr[[#This Row],[Dest Hom]]</f>
        <v>40</v>
      </c>
      <c r="AZ64" s="192" cm="1">
        <f t="array" aca="1" ref="AZ64" ca="1">IF(TblConstr[[#This Row],[Hour]:[Hour]]&gt;12,OFFSET(TblConstr[[#This Row],[Alc]],-12,0),0)+OFFSET(TblConstr[[#This Row],[Tot Alc]],-1,0)-TblConstr[[#This Row],[Dest Alc]]</f>
        <v>270</v>
      </c>
      <c r="BA64" s="192" cm="1">
        <f t="array" aca="1" ref="BA64" ca="1">IF(TblConstr[[#This Row],[Hour]:[Hour]]&gt;12,OFFSET(TblConstr[[#This Row],[Far]],-12,0),0)+OFFSET(TblConstr[[#This Row],[Tot Farm]],-1,0)-TblConstr[[#This Row],[Dest Farm]]</f>
        <v>19</v>
      </c>
      <c r="BB64" s="192" cm="1">
        <f t="array" aca="1" ref="BB64" ca="1">IF(TblConstr[[#This Row],[Hour]:[Hour]]&gt;12,OFFSET(TblConstr[[#This Row],[Smi]],-12,0),0)+OFFSET(TblConstr[[#This Row],[Tot Smi]],-1,0)-TblConstr[[#This Row],[Dest Smi]]</f>
        <v>126</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25</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12</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25</v>
      </c>
      <c r="BM64" s="395" cm="1">
        <f t="array" aca="1" ref="BM64" ca="1">IF(TblConstr[[#This Row],[Hour]:[Hour]]&gt;12,OFFSET(TblConstr[[#This Row],[Tem]],-12,0),0)+OFFSET(TblConstr[[#This Row],[Tot Tem]],-1,0)-TblConstr[[#This Row],[Dest Tem]]</f>
        <v>47</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10</v>
      </c>
      <c r="BR64" s="145"/>
      <c r="BS64" s="157"/>
      <c r="BT64" s="97">
        <f ca="1">TblConstr[[#This Row],[Land]]</f>
        <v>700</v>
      </c>
      <c r="BU64" s="162">
        <f ca="1">TblImps[[#This Row],[Time]]</f>
        <v>45432.249999999854</v>
      </c>
      <c r="BV64" s="145"/>
      <c r="BW64" s="182"/>
      <c r="BX64" s="182"/>
      <c r="BY64" s="182"/>
      <c r="BZ64" s="182"/>
      <c r="CA64" s="182"/>
      <c r="CB64" s="182"/>
      <c r="CC64" s="182"/>
      <c r="CD64" s="182"/>
      <c r="CE64" s="182"/>
      <c r="CF64" s="182">
        <v>50</v>
      </c>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430</v>
      </c>
      <c r="DA64" s="97">
        <f t="shared" ca="1" si="13"/>
        <v>25</v>
      </c>
      <c r="DB64" s="45">
        <f t="shared" ca="1" si="14"/>
        <v>0</v>
      </c>
      <c r="DC64" s="97">
        <f t="shared" ca="1" si="15"/>
        <v>67</v>
      </c>
      <c r="DD64" s="97">
        <f t="shared" ca="1" si="16"/>
        <v>76</v>
      </c>
      <c r="DE64" s="45">
        <f t="shared" ca="1" si="17"/>
        <v>0</v>
      </c>
      <c r="DF64" s="97">
        <f t="shared" ca="1" si="18"/>
        <v>24</v>
      </c>
      <c r="DG64" s="97" cm="1">
        <f t="array" aca="1" ref="DG64" ca="1">INDEX(TblConstr[[Total Plain]:[Total Water]],ROW()-ROW(TblConstr[#Headers]),MATCH("Total "&amp;home_land,TblConstr[[#Headers],[Total Plain]:[Total Water]],0))+TblConstr[[#This Row],[Homes]]</f>
        <v>40</v>
      </c>
      <c r="DH64" s="45">
        <f t="shared" ca="1" si="10"/>
        <v>40</v>
      </c>
      <c r="DI64" s="45">
        <f t="shared" ca="1" si="0"/>
        <v>0</v>
      </c>
      <c r="DJ64" s="45">
        <f t="shared" ca="1" si="1"/>
        <v>0</v>
      </c>
    </row>
    <row r="65" spans="1:114" x14ac:dyDescent="0.2">
      <c r="A65" s="178">
        <f>TblRezone[[#This Row],[Hour]]</f>
        <v>62</v>
      </c>
      <c r="B65" s="179">
        <f ca="1">SUM(TblConstr[[#This Row],[Plain]:[Water]])</f>
        <v>0</v>
      </c>
      <c r="C65" s="180">
        <f ca="1">SUM(TblConstr[[#This Row],[Tot Hom]:[Tot Doc]])</f>
        <v>582</v>
      </c>
      <c r="D65" s="180">
        <f t="shared" si="11"/>
        <v>118</v>
      </c>
      <c r="E65" s="181"/>
      <c r="F65" s="62">
        <f ca="1">TblConstr[[#This Row],[Barren]]+TblConstr[[#This Row],[Buildings]]+TblConstr[[#This Row],[Incoming]]</f>
        <v>700</v>
      </c>
      <c r="G65" s="190">
        <f ca="1">OFFSET(TblConstr[[#This Row],[Plain]],-1,0)+TblConstr[[#This Row],[Ch_Plain]]</f>
        <v>0</v>
      </c>
      <c r="H65" s="185">
        <f ca="1">OFFSET(TblConstr[[#This Row],[Forest]],-1,0)+TblConstr[[#This Row],[Ch_Forest]]</f>
        <v>0</v>
      </c>
      <c r="I65" s="385">
        <f ca="1">OFFSET(TblConstr[[#This Row],[Mountain]],-1,0)+TblConstr[[#This Row],[Ch_Mountain]]</f>
        <v>0</v>
      </c>
      <c r="J65" s="389">
        <f ca="1">OFFSET(TblConstr[[#This Row],[Hill]],-1,0)+TblConstr[[#This Row],[Ch_Hill]]</f>
        <v>0</v>
      </c>
      <c r="K65" s="393">
        <f ca="1">OFFSET(TblConstr[[#This Row],[Swamp]],-1,0)+TblConstr[[#This Row],[Ch_Swamp]]</f>
        <v>0</v>
      </c>
      <c r="L65" s="188">
        <f ca="1">OFFSET(TblConstr[[#This Row],[Cavern]],-1,0)+TblConstr[[#This Row],[Ch_Cavern]]</f>
        <v>0</v>
      </c>
      <c r="M65" s="189">
        <f ca="1">OFFSET(TblConstr[[#This Row],[Water]],-1,0)+TblConstr[[#This Row],[Ch_Water]]</f>
        <v>0</v>
      </c>
      <c r="N65" s="383">
        <f>TblRezone[[#This Row],[Hour]]</f>
        <v>62</v>
      </c>
      <c r="O65" s="182"/>
      <c r="P65" s="182"/>
      <c r="Q65" s="182"/>
      <c r="R65" s="182"/>
      <c r="S65" s="182"/>
      <c r="T65" s="182"/>
      <c r="U65" s="182"/>
      <c r="V65" s="182"/>
      <c r="W65" s="182"/>
      <c r="X65" s="182"/>
      <c r="Y65" s="182"/>
      <c r="Z65" s="182">
        <v>5</v>
      </c>
      <c r="AA65" s="182"/>
      <c r="AB65" s="182"/>
      <c r="AC65" s="182"/>
      <c r="AD65" s="182"/>
      <c r="AE65" s="182"/>
      <c r="AF65" s="182"/>
      <c r="AG65" s="182"/>
      <c r="AH65" s="53">
        <f ca="1">TblImps[[#This Row],[Time]]</f>
        <v>45432.291666666519</v>
      </c>
      <c r="AI65" s="183">
        <f ca="1">MIN(25%,(TblConstr[[#This Row],[Tot Fac]]+TblConstr[[#This Row],[Dest Fac]])/(TblConstr[[#This Row],[Land]]-TblExplore[[#This Row],[Land Bonus]]*20))</f>
        <v>1.7142857142857144E-2</v>
      </c>
      <c r="AJ65" s="183">
        <f ca="1">MIN(25%,(TblConstr[[#This Row],[Tot Fac]]+TblConstr[[#This Row],[Dest Fac]])/TblConstr[[#This Row],[Land]])</f>
        <v>1.7142857142857144E-2</v>
      </c>
      <c r="AK65" s="97">
        <f ca="1">TblProd[[#This Row],[Platinum]]</f>
        <v>55184</v>
      </c>
      <c r="AL65" s="97">
        <f ca="1">TblProd[[#This Row],[Lumber]]</f>
        <v>4003</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1150</v>
      </c>
      <c r="AN65" s="97">
        <f ca="1">ROUNDDOWN( MAX(1 - MIN(facs_constr_factor*TblConstr[[#This Row],[Facs -DB]],facs_constr_max) + tech_1_11*TblTech[[#This Row],[11-1]] + tech_6_3_2*TblTech[[#This Row],[6-3]] + tech_5_2_3*TblTech[[#This Row],[5-2]], 1-global_constr_cap) * TblConstr[[#This Row],[RCPA Lumber]],0)</f>
        <v>197</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1150</v>
      </c>
      <c r="AP65" s="97">
        <f ca="1">ROUNDDOWN( MAX(1 - MIN(facs_constr_factor*TblConstr[[#This Row],[Facs DB]],facs_constr_max) + tech_1_11*TblTech[[#This Row],[1-11]] + tech_6_3_2*TblTech[[#This Row],[6-3]] + tech_5_2_3*TblTech[[#This Row],[5-2]], 1-global_constr_cap) * ROUND((TblConstr[[#This Row],[Land]]-250)*0.285 + 87.5 + 0/4.25,0),0)</f>
        <v>197</v>
      </c>
      <c r="AQ65" s="45">
        <f ca="1">TblConstr[[#This Row],[build -db]]*TblConstr[[#This Row],[CPA Platinum -DB]] + TblConstr[[#This Row],[build db]]*TblConstr[[#This Row],[CPA Platinum DB]]</f>
        <v>5750</v>
      </c>
      <c r="AR65" s="45">
        <f ca="1">TblConstr[[#This Row],[build -db]]*TblConstr[[#This Row],[CPA Lumber -DB]]+TblConstr[[#This Row],[build db]]*TblConstr[[#This Row],[CPA Lumber DB]]</f>
        <v>985</v>
      </c>
      <c r="AS65" s="97">
        <f ca="1">MIN(SUM(OFFSET(TblConstr[[#This Row],[Plain]:[Water]],-1,0))+SUM(TblConstr[[#This Row],[Dest Hom]:[Dest Doc]])+IF(TblConstr[[#This Row],[Hour]]&gt;12,SUM(OFFSET(TblExplore[[#This Row],[Plains Explore]:[Water Explore]],-12,0)),0),SUM(TblConstr[[#This Row],[Hom]:[Doc]]))</f>
        <v>5</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1413</v>
      </c>
      <c r="AW65" s="97">
        <f ca="1">ROUND((TblConstr[[#This Row],[Land]]-250 - IF(TblExplore[[#This Row],[Land Bonus]]&lt;&gt;0,20,0))*0.285 + 87.5 + 0/4.25,0)</f>
        <v>216</v>
      </c>
      <c r="AX65" s="157"/>
      <c r="AY65" s="191" cm="1">
        <f t="array" aca="1" ref="AY65" ca="1">IF(TblConstr[[#This Row],[Hour]:[Hour]]&gt;12,OFFSET(TblConstr[[#This Row],[Hom]],-12,0),0)+OFFSET(TblConstr[[#This Row],[Tot Hom]],-1,0)-TblConstr[[#This Row],[Dest Hom]]</f>
        <v>40</v>
      </c>
      <c r="AZ65" s="192" cm="1">
        <f t="array" aca="1" ref="AZ65" ca="1">IF(TblConstr[[#This Row],[Hour]:[Hour]]&gt;12,OFFSET(TblConstr[[#This Row],[Alc]],-12,0),0)+OFFSET(TblConstr[[#This Row],[Tot Alc]],-1,0)-TblConstr[[#This Row],[Dest Alc]]</f>
        <v>275</v>
      </c>
      <c r="BA65" s="192" cm="1">
        <f t="array" aca="1" ref="BA65" ca="1">IF(TblConstr[[#This Row],[Hour]:[Hour]]&gt;12,OFFSET(TblConstr[[#This Row],[Far]],-12,0),0)+OFFSET(TblConstr[[#This Row],[Tot Farm]],-1,0)-TblConstr[[#This Row],[Dest Farm]]</f>
        <v>21</v>
      </c>
      <c r="BB65" s="192" cm="1">
        <f t="array" aca="1" ref="BB65" ca="1">IF(TblConstr[[#This Row],[Hour]:[Hour]]&gt;12,OFFSET(TblConstr[[#This Row],[Smi]],-12,0),0)+OFFSET(TblConstr[[#This Row],[Tot Smi]],-1,0)-TblConstr[[#This Row],[Dest Smi]]</f>
        <v>126</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25</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7</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25</v>
      </c>
      <c r="BM65" s="395" cm="1">
        <f t="array" aca="1" ref="BM65" ca="1">IF(TblConstr[[#This Row],[Hour]:[Hour]]&gt;12,OFFSET(TblConstr[[#This Row],[Tem]],-12,0),0)+OFFSET(TblConstr[[#This Row],[Tot Tem]],-1,0)-TblConstr[[#This Row],[Dest Tem]]</f>
        <v>47</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16</v>
      </c>
      <c r="BR65" s="145"/>
      <c r="BS65" s="157"/>
      <c r="BT65" s="97">
        <f ca="1">TblConstr[[#This Row],[Land]]</f>
        <v>700</v>
      </c>
      <c r="BU65" s="162">
        <f ca="1">TblImps[[#This Row],[Time]]</f>
        <v>45432.291666666519</v>
      </c>
      <c r="BV65" s="145"/>
      <c r="BW65" s="182"/>
      <c r="BX65" s="182"/>
      <c r="BY65" s="182"/>
      <c r="BZ65" s="182"/>
      <c r="CA65" s="182"/>
      <c r="CB65" s="182"/>
      <c r="CC65" s="182"/>
      <c r="CD65" s="182"/>
      <c r="CE65" s="182"/>
      <c r="CF65" s="182">
        <v>5</v>
      </c>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430</v>
      </c>
      <c r="DA65" s="97">
        <f t="shared" ca="1" si="13"/>
        <v>25</v>
      </c>
      <c r="DB65" s="45">
        <f t="shared" ca="1" si="14"/>
        <v>0</v>
      </c>
      <c r="DC65" s="97">
        <f t="shared" ca="1" si="15"/>
        <v>62</v>
      </c>
      <c r="DD65" s="97">
        <f t="shared" ca="1" si="16"/>
        <v>76</v>
      </c>
      <c r="DE65" s="45">
        <f t="shared" ca="1" si="17"/>
        <v>0</v>
      </c>
      <c r="DF65" s="97">
        <f t="shared" ca="1" si="18"/>
        <v>24</v>
      </c>
      <c r="DG65" s="97" cm="1">
        <f t="array" aca="1" ref="DG65" ca="1">INDEX(TblConstr[[Total Plain]:[Total Water]],ROW()-ROW(TblConstr[#Headers]),MATCH("Total "&amp;home_land,TblConstr[[#Headers],[Total Plain]:[Total Water]],0))+TblConstr[[#This Row],[Homes]]</f>
        <v>40</v>
      </c>
      <c r="DH65" s="45">
        <f t="shared" ca="1" si="10"/>
        <v>40</v>
      </c>
      <c r="DI65" s="45">
        <f t="shared" ca="1" si="0"/>
        <v>2</v>
      </c>
      <c r="DJ65" s="45">
        <f t="shared" ca="1" si="1"/>
        <v>6</v>
      </c>
    </row>
    <row r="66" spans="1:114" x14ac:dyDescent="0.2">
      <c r="A66" s="178">
        <f>TblRezone[[#This Row],[Hour]]</f>
        <v>63</v>
      </c>
      <c r="B66" s="179">
        <f ca="1">SUM(TblConstr[[#This Row],[Plain]:[Water]])</f>
        <v>0</v>
      </c>
      <c r="C66" s="180">
        <f ca="1">SUM(TblConstr[[#This Row],[Tot Hom]:[Tot Doc]])</f>
        <v>591</v>
      </c>
      <c r="D66" s="180">
        <f t="shared" si="11"/>
        <v>109</v>
      </c>
      <c r="E66" s="181"/>
      <c r="F66" s="62">
        <f ca="1">TblConstr[[#This Row],[Barren]]+TblConstr[[#This Row],[Buildings]]+TblConstr[[#This Row],[Incoming]]</f>
        <v>700</v>
      </c>
      <c r="G66" s="190">
        <f ca="1">OFFSET(TblConstr[[#This Row],[Plain]],-1,0)+TblConstr[[#This Row],[Ch_Plain]]</f>
        <v>0</v>
      </c>
      <c r="H66" s="185">
        <f ca="1">OFFSET(TblConstr[[#This Row],[Forest]],-1,0)+TblConstr[[#This Row],[Ch_Forest]]</f>
        <v>0</v>
      </c>
      <c r="I66" s="385">
        <f ca="1">OFFSET(TblConstr[[#This Row],[Mountain]],-1,0)+TblConstr[[#This Row],[Ch_Mountain]]</f>
        <v>0</v>
      </c>
      <c r="J66" s="389">
        <f ca="1">OFFSET(TblConstr[[#This Row],[Hill]],-1,0)+TblConstr[[#This Row],[Ch_Hill]]</f>
        <v>0</v>
      </c>
      <c r="K66" s="393">
        <f ca="1">OFFSET(TblConstr[[#This Row],[Swamp]],-1,0)+TblConstr[[#This Row],[Ch_Swamp]]</f>
        <v>0</v>
      </c>
      <c r="L66" s="188">
        <f ca="1">OFFSET(TblConstr[[#This Row],[Cavern]],-1,0)+TblConstr[[#This Row],[Ch_Cavern]]</f>
        <v>0</v>
      </c>
      <c r="M66" s="189">
        <f ca="1">OFFSET(TblConstr[[#This Row],[Water]],-1,0)+TblConstr[[#This Row],[Ch_Water]]</f>
        <v>0</v>
      </c>
      <c r="N66" s="383">
        <f>TblRezone[[#This Row],[Hour]]</f>
        <v>63</v>
      </c>
      <c r="O66" s="182"/>
      <c r="P66" s="182"/>
      <c r="Q66" s="182"/>
      <c r="R66" s="182"/>
      <c r="S66" s="182"/>
      <c r="T66" s="182"/>
      <c r="U66" s="182"/>
      <c r="V66" s="182"/>
      <c r="W66" s="182"/>
      <c r="X66" s="182"/>
      <c r="Y66" s="182"/>
      <c r="Z66" s="182">
        <v>5</v>
      </c>
      <c r="AA66" s="182"/>
      <c r="AB66" s="182"/>
      <c r="AC66" s="182"/>
      <c r="AD66" s="182"/>
      <c r="AE66" s="182"/>
      <c r="AF66" s="182"/>
      <c r="AG66" s="182"/>
      <c r="AH66" s="53">
        <f ca="1">TblImps[[#This Row],[Time]]</f>
        <v>45432.333333333183</v>
      </c>
      <c r="AI66" s="183">
        <f ca="1">MIN(25%,(TblConstr[[#This Row],[Tot Fac]]+TblConstr[[#This Row],[Dest Fac]])/(TblConstr[[#This Row],[Land]]-TblExplore[[#This Row],[Land Bonus]]*20))</f>
        <v>0.01</v>
      </c>
      <c r="AJ66" s="183">
        <f ca="1">MIN(25%,(TblConstr[[#This Row],[Tot Fac]]+TblConstr[[#This Row],[Dest Fac]])/TblConstr[[#This Row],[Land]])</f>
        <v>0.01</v>
      </c>
      <c r="AK66" s="97">
        <f ca="1">TblProd[[#This Row],[Platinum]]</f>
        <v>96824</v>
      </c>
      <c r="AL66" s="97">
        <f ca="1">TblProd[[#This Row],[Lumber]]</f>
        <v>4063</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1201</v>
      </c>
      <c r="AN66" s="97">
        <f ca="1">ROUNDDOWN( MAX(1 - MIN(facs_constr_factor*TblConstr[[#This Row],[Facs -DB]],facs_constr_max) + tech_1_11*TblTech[[#This Row],[11-1]] + tech_6_3_2*TblTech[[#This Row],[6-3]] + tech_5_2_3*TblTech[[#This Row],[5-2]], 1-global_constr_cap) * TblConstr[[#This Row],[RCPA Lumber]],0)</f>
        <v>205</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1201</v>
      </c>
      <c r="AP66" s="97">
        <f ca="1">ROUNDDOWN( MAX(1 - MIN(facs_constr_factor*TblConstr[[#This Row],[Facs DB]],facs_constr_max) + tech_1_11*TblTech[[#This Row],[1-11]] + tech_6_3_2*TblTech[[#This Row],[6-3]] + tech_5_2_3*TblTech[[#This Row],[5-2]], 1-global_constr_cap) * ROUND((TblConstr[[#This Row],[Land]]-250)*0.285 + 87.5 + 0/4.25,0),0)</f>
        <v>205</v>
      </c>
      <c r="AQ66" s="45">
        <f ca="1">TblConstr[[#This Row],[build -db]]*TblConstr[[#This Row],[CPA Platinum -DB]] + TblConstr[[#This Row],[build db]]*TblConstr[[#This Row],[CPA Platinum DB]]</f>
        <v>6005</v>
      </c>
      <c r="AR66" s="45">
        <f ca="1">TblConstr[[#This Row],[build -db]]*TblConstr[[#This Row],[CPA Lumber -DB]]+TblConstr[[#This Row],[build db]]*TblConstr[[#This Row],[CPA Lumber DB]]</f>
        <v>1025</v>
      </c>
      <c r="AS66" s="97">
        <f ca="1">MIN(SUM(OFFSET(TblConstr[[#This Row],[Plain]:[Water]],-1,0))+SUM(TblConstr[[#This Row],[Dest Hom]:[Dest Doc]])+IF(TblConstr[[#This Row],[Hour]]&gt;12,SUM(OFFSET(TblExplore[[#This Row],[Plains Explore]:[Water Explore]],-12,0)),0),SUM(TblConstr[[#This Row],[Hom]:[Doc]]))</f>
        <v>5</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1413</v>
      </c>
      <c r="AW66" s="97">
        <f ca="1">ROUND((TblConstr[[#This Row],[Land]]-250 - IF(TblExplore[[#This Row],[Land Bonus]]&lt;&gt;0,20,0))*0.285 + 87.5 + 0/4.25,0)</f>
        <v>216</v>
      </c>
      <c r="AX66" s="157"/>
      <c r="AY66" s="191" cm="1">
        <f t="array" aca="1" ref="AY66" ca="1">IF(TblConstr[[#This Row],[Hour]:[Hour]]&gt;12,OFFSET(TblConstr[[#This Row],[Hom]],-12,0),0)+OFFSET(TblConstr[[#This Row],[Tot Hom]],-1,0)-TblConstr[[#This Row],[Dest Hom]]</f>
        <v>40</v>
      </c>
      <c r="AZ66" s="192" cm="1">
        <f t="array" aca="1" ref="AZ66" ca="1">IF(TblConstr[[#This Row],[Hour]:[Hour]]&gt;12,OFFSET(TblConstr[[#This Row],[Alc]],-12,0),0)+OFFSET(TblConstr[[#This Row],[Tot Alc]],-1,0)-TblConstr[[#This Row],[Dest Alc]]</f>
        <v>275</v>
      </c>
      <c r="BA66" s="192" cm="1">
        <f t="array" aca="1" ref="BA66" ca="1">IF(TblConstr[[#This Row],[Hour]:[Hour]]&gt;12,OFFSET(TblConstr[[#This Row],[Far]],-12,0),0)+OFFSET(TblConstr[[#This Row],[Tot Farm]],-1,0)-TblConstr[[#This Row],[Dest Farm]]</f>
        <v>27</v>
      </c>
      <c r="BB66" s="192" cm="1">
        <f t="array" aca="1" ref="BB66" ca="1">IF(TblConstr[[#This Row],[Hour]:[Hour]]&gt;12,OFFSET(TblConstr[[#This Row],[Smi]],-12,0),0)+OFFSET(TblConstr[[#This Row],[Tot Smi]],-1,0)-TblConstr[[#This Row],[Dest Smi]]</f>
        <v>126</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25</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2</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25</v>
      </c>
      <c r="BM66" s="395" cm="1">
        <f t="array" aca="1" ref="BM66" ca="1">IF(TblConstr[[#This Row],[Hour]:[Hour]]&gt;12,OFFSET(TblConstr[[#This Row],[Tem]],-12,0),0)+OFFSET(TblConstr[[#This Row],[Tot Tem]],-1,0)-TblConstr[[#This Row],[Dest Tem]]</f>
        <v>47</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24</v>
      </c>
      <c r="BR66" s="145"/>
      <c r="BS66" s="157"/>
      <c r="BT66" s="97">
        <f ca="1">TblConstr[[#This Row],[Land]]</f>
        <v>700</v>
      </c>
      <c r="BU66" s="162">
        <f ca="1">TblImps[[#This Row],[Time]]</f>
        <v>45432.333333333183</v>
      </c>
      <c r="BV66" s="145"/>
      <c r="BW66" s="182"/>
      <c r="BX66" s="182"/>
      <c r="BY66" s="182"/>
      <c r="BZ66" s="182"/>
      <c r="CA66" s="182"/>
      <c r="CB66" s="182"/>
      <c r="CC66" s="182"/>
      <c r="CD66" s="182"/>
      <c r="CE66" s="182"/>
      <c r="CF66" s="182">
        <v>5</v>
      </c>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430</v>
      </c>
      <c r="DA66" s="97">
        <f t="shared" ca="1" si="13"/>
        <v>25</v>
      </c>
      <c r="DB66" s="45">
        <f t="shared" ca="1" si="14"/>
        <v>0</v>
      </c>
      <c r="DC66" s="97">
        <f t="shared" ca="1" si="15"/>
        <v>57</v>
      </c>
      <c r="DD66" s="97">
        <f t="shared" ca="1" si="16"/>
        <v>76</v>
      </c>
      <c r="DE66" s="45">
        <f t="shared" ca="1" si="17"/>
        <v>0</v>
      </c>
      <c r="DF66" s="97">
        <f t="shared" ca="1" si="18"/>
        <v>24</v>
      </c>
      <c r="DG66" s="97" cm="1">
        <f t="array" aca="1" ref="DG66" ca="1">INDEX(TblConstr[[Total Plain]:[Total Water]],ROW()-ROW(TblConstr[#Headers]),MATCH("Total "&amp;home_land,TblConstr[[#Headers],[Total Plain]:[Total Water]],0))+TblConstr[[#This Row],[Homes]]</f>
        <v>40</v>
      </c>
      <c r="DH66" s="45">
        <f t="shared" ca="1" si="10"/>
        <v>40</v>
      </c>
      <c r="DI66" s="45">
        <f t="shared" ca="1" si="0"/>
        <v>6</v>
      </c>
      <c r="DJ66" s="45">
        <f t="shared" ca="1" si="1"/>
        <v>8</v>
      </c>
    </row>
    <row r="67" spans="1:114" x14ac:dyDescent="0.2">
      <c r="A67" s="178">
        <f>TblRezone[[#This Row],[Hour]]</f>
        <v>64</v>
      </c>
      <c r="B67" s="179">
        <f ca="1">SUM(TblConstr[[#This Row],[Plain]:[Water]])</f>
        <v>0</v>
      </c>
      <c r="C67" s="180">
        <f ca="1">SUM(TblConstr[[#This Row],[Tot Hom]:[Tot Doc]])</f>
        <v>602</v>
      </c>
      <c r="D67" s="180">
        <f t="shared" si="11"/>
        <v>98</v>
      </c>
      <c r="E67" s="181"/>
      <c r="F67" s="62">
        <f ca="1">TblConstr[[#This Row],[Barren]]+TblConstr[[#This Row],[Buildings]]+TblConstr[[#This Row],[Incoming]]</f>
        <v>700</v>
      </c>
      <c r="G67" s="190">
        <f ca="1">OFFSET(TblConstr[[#This Row],[Plain]],-1,0)+TblConstr[[#This Row],[Ch_Plain]]</f>
        <v>0</v>
      </c>
      <c r="H67" s="185">
        <f ca="1">OFFSET(TblConstr[[#This Row],[Forest]],-1,0)+TblConstr[[#This Row],[Ch_Forest]]</f>
        <v>0</v>
      </c>
      <c r="I67" s="385">
        <f ca="1">OFFSET(TblConstr[[#This Row],[Mountain]],-1,0)+TblConstr[[#This Row],[Ch_Mountain]]</f>
        <v>0</v>
      </c>
      <c r="J67" s="389">
        <f ca="1">OFFSET(TblConstr[[#This Row],[Hill]],-1,0)+TblConstr[[#This Row],[Ch_Hill]]</f>
        <v>0</v>
      </c>
      <c r="K67" s="393">
        <f ca="1">OFFSET(TblConstr[[#This Row],[Swamp]],-1,0)+TblConstr[[#This Row],[Ch_Swamp]]</f>
        <v>0</v>
      </c>
      <c r="L67" s="188">
        <f ca="1">OFFSET(TblConstr[[#This Row],[Cavern]],-1,0)+TblConstr[[#This Row],[Ch_Cavern]]</f>
        <v>0</v>
      </c>
      <c r="M67" s="189">
        <f ca="1">OFFSET(TblConstr[[#This Row],[Water]],-1,0)+TblConstr[[#This Row],[Ch_Water]]</f>
        <v>0</v>
      </c>
      <c r="N67" s="383">
        <f>TblRezone[[#This Row],[Hour]]</f>
        <v>64</v>
      </c>
      <c r="O67" s="182"/>
      <c r="P67" s="182"/>
      <c r="Q67" s="182"/>
      <c r="R67" s="182"/>
      <c r="S67" s="182"/>
      <c r="T67" s="182"/>
      <c r="U67" s="182"/>
      <c r="V67" s="182"/>
      <c r="W67" s="182"/>
      <c r="X67" s="182"/>
      <c r="Y67" s="182"/>
      <c r="Z67" s="182">
        <v>2</v>
      </c>
      <c r="AA67" s="182"/>
      <c r="AB67" s="182"/>
      <c r="AC67" s="182"/>
      <c r="AD67" s="182"/>
      <c r="AE67" s="182"/>
      <c r="AF67" s="182"/>
      <c r="AG67" s="182"/>
      <c r="AH67" s="53">
        <f ca="1">TblImps[[#This Row],[Time]]</f>
        <v>45432.374999999847</v>
      </c>
      <c r="AI67" s="183">
        <f ca="1">MIN(25%,(TblConstr[[#This Row],[Tot Fac]]+TblConstr[[#This Row],[Dest Fac]])/(TblConstr[[#This Row],[Land]]-TblExplore[[#This Row],[Land Bonus]]*20))</f>
        <v>2.8571428571428571E-3</v>
      </c>
      <c r="AJ67" s="183">
        <f ca="1">MIN(25%,(TblConstr[[#This Row],[Tot Fac]]+TblConstr[[#This Row],[Dest Fac]])/TblConstr[[#This Row],[Land]])</f>
        <v>2.8571428571428571E-3</v>
      </c>
      <c r="AK67" s="97">
        <f ca="1">TblProd[[#This Row],[Platinum]]</f>
        <v>7459</v>
      </c>
      <c r="AL67" s="97">
        <f ca="1">TblProd[[#This Row],[Lumber]]</f>
        <v>4723</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1251</v>
      </c>
      <c r="AN67" s="97">
        <f ca="1">ROUNDDOWN( MAX(1 - MIN(facs_constr_factor*TblConstr[[#This Row],[Facs -DB]],facs_constr_max) + tech_1_11*TblTech[[#This Row],[11-1]] + tech_6_3_2*TblTech[[#This Row],[6-3]] + tech_5_2_3*TblTech[[#This Row],[5-2]], 1-global_constr_cap) * TblConstr[[#This Row],[RCPA Lumber]],0)</f>
        <v>212</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1251</v>
      </c>
      <c r="AP67" s="97">
        <f ca="1">ROUNDDOWN( MAX(1 - MIN(facs_constr_factor*TblConstr[[#This Row],[Facs DB]],facs_constr_max) + tech_1_11*TblTech[[#This Row],[1-11]] + tech_6_3_2*TblTech[[#This Row],[6-3]] + tech_5_2_3*TblTech[[#This Row],[5-2]], 1-global_constr_cap) * ROUND((TblConstr[[#This Row],[Land]]-250)*0.285 + 87.5 + 0/4.25,0),0)</f>
        <v>212</v>
      </c>
      <c r="AQ67" s="45">
        <f ca="1">TblConstr[[#This Row],[build -db]]*TblConstr[[#This Row],[CPA Platinum -DB]] + TblConstr[[#This Row],[build db]]*TblConstr[[#This Row],[CPA Platinum DB]]</f>
        <v>2502</v>
      </c>
      <c r="AR67" s="45">
        <f ca="1">TblConstr[[#This Row],[build -db]]*TblConstr[[#This Row],[CPA Lumber -DB]]+TblConstr[[#This Row],[build db]]*TblConstr[[#This Row],[CPA Lumber DB]]</f>
        <v>424</v>
      </c>
      <c r="AS67" s="97">
        <f ca="1">MIN(SUM(OFFSET(TblConstr[[#This Row],[Plain]:[Water]],-1,0))+SUM(TblConstr[[#This Row],[Dest Hom]:[Dest Doc]])+IF(TblConstr[[#This Row],[Hour]]&gt;12,SUM(OFFSET(TblExplore[[#This Row],[Plains Explore]:[Water Explore]],-12,0)),0),SUM(TblConstr[[#This Row],[Hom]:[Doc]]))</f>
        <v>2</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1413</v>
      </c>
      <c r="AW67" s="97">
        <f ca="1">ROUND((TblConstr[[#This Row],[Land]]-250 - IF(TblExplore[[#This Row],[Land Bonus]]&lt;&gt;0,20,0))*0.285 + 87.5 + 0/4.25,0)</f>
        <v>216</v>
      </c>
      <c r="AX67" s="157"/>
      <c r="AY67" s="191" cm="1">
        <f t="array" aca="1" ref="AY67" ca="1">IF(TblConstr[[#This Row],[Hour]:[Hour]]&gt;12,OFFSET(TblConstr[[#This Row],[Hom]],-12,0),0)+OFFSET(TblConstr[[#This Row],[Tot Hom]],-1,0)-TblConstr[[#This Row],[Dest Hom]]</f>
        <v>40</v>
      </c>
      <c r="AZ67" s="192" cm="1">
        <f t="array" aca="1" ref="AZ67" ca="1">IF(TblConstr[[#This Row],[Hour]:[Hour]]&gt;12,OFFSET(TblConstr[[#This Row],[Alc]],-12,0),0)+OFFSET(TblConstr[[#This Row],[Tot Alc]],-1,0)-TblConstr[[#This Row],[Dest Alc]]</f>
        <v>275</v>
      </c>
      <c r="BA67" s="192" cm="1">
        <f t="array" aca="1" ref="BA67" ca="1">IF(TblConstr[[#This Row],[Hour]:[Hour]]&gt;12,OFFSET(TblConstr[[#This Row],[Far]],-12,0),0)+OFFSET(TblConstr[[#This Row],[Tot Farm]],-1,0)-TblConstr[[#This Row],[Dest Farm]]</f>
        <v>29</v>
      </c>
      <c r="BB67" s="192" cm="1">
        <f t="array" aca="1" ref="BB67" ca="1">IF(TblConstr[[#This Row],[Hour]:[Hour]]&gt;12,OFFSET(TblConstr[[#This Row],[Smi]],-12,0),0)+OFFSET(TblConstr[[#This Row],[Tot Smi]],-1,0)-TblConstr[[#This Row],[Dest Smi]]</f>
        <v>126</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25</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11</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25</v>
      </c>
      <c r="BM67" s="395" cm="1">
        <f t="array" aca="1" ref="BM67" ca="1">IF(TblConstr[[#This Row],[Hour]:[Hour]]&gt;12,OFFSET(TblConstr[[#This Row],[Tem]],-12,0),0)+OFFSET(TblConstr[[#This Row],[Tot Tem]],-1,0)-TblConstr[[#This Row],[Dest Tem]]</f>
        <v>47</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24</v>
      </c>
      <c r="BR67" s="145"/>
      <c r="BS67" s="157"/>
      <c r="BT67" s="97">
        <f ca="1">TblConstr[[#This Row],[Land]]</f>
        <v>700</v>
      </c>
      <c r="BU67" s="162">
        <f ca="1">TblImps[[#This Row],[Time]]</f>
        <v>45432.374999999847</v>
      </c>
      <c r="BV67" s="145"/>
      <c r="BW67" s="182"/>
      <c r="BX67" s="182"/>
      <c r="BY67" s="182"/>
      <c r="BZ67" s="182"/>
      <c r="CA67" s="182"/>
      <c r="CB67" s="182"/>
      <c r="CC67" s="182"/>
      <c r="CD67" s="182"/>
      <c r="CE67" s="182"/>
      <c r="CF67" s="182">
        <v>2</v>
      </c>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430</v>
      </c>
      <c r="DA67" s="97">
        <f t="shared" ca="1" si="13"/>
        <v>25</v>
      </c>
      <c r="DB67" s="45">
        <f t="shared" ca="1" si="14"/>
        <v>0</v>
      </c>
      <c r="DC67" s="97">
        <f t="shared" ca="1" si="15"/>
        <v>55</v>
      </c>
      <c r="DD67" s="97">
        <f t="shared" ca="1" si="16"/>
        <v>76</v>
      </c>
      <c r="DE67" s="45">
        <f t="shared" ca="1" si="17"/>
        <v>0</v>
      </c>
      <c r="DF67" s="97">
        <f t="shared" ca="1" si="18"/>
        <v>24</v>
      </c>
      <c r="DG67" s="97" cm="1">
        <f t="array" aca="1" ref="DG67" ca="1">INDEX(TblConstr[[Total Plain]:[Total Water]],ROW()-ROW(TblConstr[#Headers]),MATCH("Total "&amp;home_land,TblConstr[[#Headers],[Total Plain]:[Total Water]],0))+TblConstr[[#This Row],[Homes]]</f>
        <v>40</v>
      </c>
      <c r="DH67" s="45">
        <f t="shared" ca="1" si="10"/>
        <v>40</v>
      </c>
      <c r="DI67" s="45">
        <f t="shared" ca="1" si="0"/>
        <v>2</v>
      </c>
      <c r="DJ67" s="45">
        <f t="shared" ca="1" si="1"/>
        <v>0</v>
      </c>
    </row>
    <row r="68" spans="1:114" x14ac:dyDescent="0.2">
      <c r="A68" s="178">
        <f>TblRezone[[#This Row],[Hour]]</f>
        <v>65</v>
      </c>
      <c r="B68" s="179">
        <f ca="1">SUM(TblConstr[[#This Row],[Plain]:[Water]])</f>
        <v>0</v>
      </c>
      <c r="C68" s="180">
        <f ca="1">SUM(TblConstr[[#This Row],[Tot Hom]:[Tot Doc]])</f>
        <v>613</v>
      </c>
      <c r="D68" s="180">
        <f t="shared" si="11"/>
        <v>87</v>
      </c>
      <c r="E68" s="181"/>
      <c r="F68" s="62">
        <f ca="1">TblConstr[[#This Row],[Barren]]+TblConstr[[#This Row],[Buildings]]+TblConstr[[#This Row],[Incoming]]</f>
        <v>700</v>
      </c>
      <c r="G68" s="190">
        <f ca="1">OFFSET(TblConstr[[#This Row],[Plain]],-1,0)+TblConstr[[#This Row],[Ch_Plain]]</f>
        <v>0</v>
      </c>
      <c r="H68" s="185">
        <f ca="1">OFFSET(TblConstr[[#This Row],[Forest]],-1,0)+TblConstr[[#This Row],[Ch_Forest]]</f>
        <v>0</v>
      </c>
      <c r="I68" s="385">
        <f ca="1">OFFSET(TblConstr[[#This Row],[Mountain]],-1,0)+TblConstr[[#This Row],[Ch_Mountain]]</f>
        <v>0</v>
      </c>
      <c r="J68" s="389">
        <f ca="1">OFFSET(TblConstr[[#This Row],[Hill]],-1,0)+TblConstr[[#This Row],[Ch_Hill]]</f>
        <v>0</v>
      </c>
      <c r="K68" s="393">
        <f ca="1">OFFSET(TblConstr[[#This Row],[Swamp]],-1,0)+TblConstr[[#This Row],[Ch_Swamp]]</f>
        <v>0</v>
      </c>
      <c r="L68" s="188">
        <f ca="1">OFFSET(TblConstr[[#This Row],[Cavern]],-1,0)+TblConstr[[#This Row],[Ch_Cavern]]</f>
        <v>0</v>
      </c>
      <c r="M68" s="189">
        <f ca="1">OFFSET(TblConstr[[#This Row],[Water]],-1,0)+TblConstr[[#This Row],[Ch_Water]]</f>
        <v>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45432.416666666511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36150</v>
      </c>
      <c r="AL68" s="97">
        <f ca="1">TblProd[[#This Row],[Lumber]]</f>
        <v>5801</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8" s="97">
        <f ca="1">ROUNDDOWN( MAX(1 - MIN(facs_constr_factor*TblConstr[[#This Row],[Facs -DB]],facs_constr_max) + tech_1_11*TblTech[[#This Row],[11-1]] + tech_6_3_2*TblTech[[#This Row],[6-3]] + tech_5_2_3*TblTech[[#This Row],[5-2]], 1-global_constr_cap) * TblConstr[[#This Row],[RCPA Lumber]],0)</f>
        <v>216</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8" s="97">
        <f ca="1">ROUNDDOWN( MAX(1 - MIN(facs_constr_factor*TblConstr[[#This Row],[Facs DB]],facs_constr_max) + tech_1_11*TblTech[[#This Row],[1-11]] + tech_6_3_2*TblTech[[#This Row],[6-3]] + tech_5_2_3*TblTech[[#This Row],[5-2]], 1-global_constr_cap) * ROUND((TblConstr[[#This Row],[Land]]-250)*0.285 + 87.5 + 0/4.25,0),0)</f>
        <v>216</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1413</v>
      </c>
      <c r="AW68" s="97">
        <f ca="1">ROUND((TblConstr[[#This Row],[Land]]-250 - IF(TblExplore[[#This Row],[Land Bonus]]&lt;&gt;0,20,0))*0.285 + 87.5 + 0/4.25,0)</f>
        <v>216</v>
      </c>
      <c r="AX68" s="157"/>
      <c r="AY68" s="191" cm="1">
        <f t="array" aca="1" ref="AY68" ca="1">IF(TblConstr[[#This Row],[Hour]:[Hour]]&gt;12,OFFSET(TblConstr[[#This Row],[Hom]],-12,0),0)+OFFSET(TblConstr[[#This Row],[Tot Hom]],-1,0)-TblConstr[[#This Row],[Dest Hom]]</f>
        <v>40</v>
      </c>
      <c r="AZ68" s="192" cm="1">
        <f t="array" aca="1" ref="AZ68" ca="1">IF(TblConstr[[#This Row],[Hour]:[Hour]]&gt;12,OFFSET(TblConstr[[#This Row],[Alc]],-12,0),0)+OFFSET(TblConstr[[#This Row],[Tot Alc]],-1,0)-TblConstr[[#This Row],[Dest Alc]]</f>
        <v>275</v>
      </c>
      <c r="BA68" s="192" cm="1">
        <f t="array" aca="1" ref="BA68" ca="1">IF(TblConstr[[#This Row],[Hour]:[Hour]]&gt;12,OFFSET(TblConstr[[#This Row],[Far]],-12,0),0)+OFFSET(TblConstr[[#This Row],[Tot Farm]],-1,0)-TblConstr[[#This Row],[Dest Farm]]</f>
        <v>29</v>
      </c>
      <c r="BB68" s="192" cm="1">
        <f t="array" aca="1" ref="BB68" ca="1">IF(TblConstr[[#This Row],[Hour]:[Hour]]&gt;12,OFFSET(TblConstr[[#This Row],[Smi]],-12,0),0)+OFFSET(TblConstr[[#This Row],[Tot Smi]],-1,0)-TblConstr[[#This Row],[Dest Smi]]</f>
        <v>126</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25</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22</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25</v>
      </c>
      <c r="BM68" s="395" cm="1">
        <f t="array" aca="1" ref="BM68" ca="1">IF(TblConstr[[#This Row],[Hour]:[Hour]]&gt;12,OFFSET(TblConstr[[#This Row],[Tem]],-12,0),0)+OFFSET(TblConstr[[#This Row],[Tot Tem]],-1,0)-TblConstr[[#This Row],[Dest Tem]]</f>
        <v>47</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24</v>
      </c>
      <c r="BR68" s="145"/>
      <c r="BS68" s="157"/>
      <c r="BT68" s="97">
        <f ca="1">TblConstr[[#This Row],[Land]]</f>
        <v>700</v>
      </c>
      <c r="BU68" s="162">
        <f ca="1">TblImps[[#This Row],[Time]]</f>
        <v>45432.416666666511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430</v>
      </c>
      <c r="DA68" s="97">
        <f t="shared" ca="1" si="13"/>
        <v>25</v>
      </c>
      <c r="DB68" s="45">
        <f t="shared" ca="1" si="14"/>
        <v>0</v>
      </c>
      <c r="DC68" s="97">
        <f t="shared" ca="1" si="15"/>
        <v>55</v>
      </c>
      <c r="DD68" s="97">
        <f t="shared" ca="1" si="16"/>
        <v>76</v>
      </c>
      <c r="DE68" s="45">
        <f t="shared" ca="1" si="17"/>
        <v>0</v>
      </c>
      <c r="DF68" s="97">
        <f t="shared" ca="1" si="18"/>
        <v>24</v>
      </c>
      <c r="DG68" s="97" cm="1">
        <f t="array" aca="1" ref="DG68" ca="1">INDEX(TblConstr[[Total Plain]:[Total Water]],ROW()-ROW(TblConstr[#Headers]),MATCH("Total "&amp;home_land,TblConstr[[#Headers],[Total Plain]:[Total Water]],0))+TblConstr[[#This Row],[Homes]]</f>
        <v>40</v>
      </c>
      <c r="DH68" s="45">
        <f t="shared" ca="1" si="10"/>
        <v>40</v>
      </c>
      <c r="DI68" s="45">
        <f t="shared" ca="1" si="0"/>
        <v>0</v>
      </c>
      <c r="DJ68" s="45">
        <f t="shared" ca="1" si="1"/>
        <v>0</v>
      </c>
    </row>
    <row r="69" spans="1:114" x14ac:dyDescent="0.2">
      <c r="A69" s="178">
        <f>TblRezone[[#This Row],[Hour]]</f>
        <v>66</v>
      </c>
      <c r="B69" s="179">
        <f ca="1">SUM(TblConstr[[#This Row],[Plain]:[Water]])</f>
        <v>0</v>
      </c>
      <c r="C69" s="180">
        <f ca="1">SUM(TblConstr[[#This Row],[Tot Hom]:[Tot Doc]])</f>
        <v>625</v>
      </c>
      <c r="D69" s="180">
        <f t="shared" si="11"/>
        <v>75</v>
      </c>
      <c r="E69" s="181"/>
      <c r="F69" s="62">
        <f ca="1">TblConstr[[#This Row],[Barren]]+TblConstr[[#This Row],[Buildings]]+TblConstr[[#This Row],[Incoming]]</f>
        <v>700</v>
      </c>
      <c r="G69" s="190">
        <f ca="1">OFFSET(TblConstr[[#This Row],[Plain]],-1,0)+TblConstr[[#This Row],[Ch_Plain]]</f>
        <v>0</v>
      </c>
      <c r="H69" s="185">
        <f ca="1">OFFSET(TblConstr[[#This Row],[Forest]],-1,0)+TblConstr[[#This Row],[Ch_Forest]]</f>
        <v>0</v>
      </c>
      <c r="I69" s="385">
        <f ca="1">OFFSET(TblConstr[[#This Row],[Mountain]],-1,0)+TblConstr[[#This Row],[Ch_Mountain]]</f>
        <v>0</v>
      </c>
      <c r="J69" s="389">
        <f ca="1">OFFSET(TblConstr[[#This Row],[Hill]],-1,0)+TblConstr[[#This Row],[Ch_Hill]]</f>
        <v>0</v>
      </c>
      <c r="K69" s="393">
        <f ca="1">OFFSET(TblConstr[[#This Row],[Swamp]],-1,0)+TblConstr[[#This Row],[Ch_Swamp]]</f>
        <v>0</v>
      </c>
      <c r="L69" s="188">
        <f ca="1">OFFSET(TblConstr[[#This Row],[Cavern]],-1,0)+TblConstr[[#This Row],[Ch_Cavern]]</f>
        <v>0</v>
      </c>
      <c r="M69" s="189">
        <f ca="1">OFFSET(TblConstr[[#This Row],[Water]],-1,0)+TblConstr[[#This Row],[Ch_Water]]</f>
        <v>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45432.458333333176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64993</v>
      </c>
      <c r="AL69" s="97">
        <f ca="1">TblProd[[#This Row],[Lumber]]</f>
        <v>6868</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9" s="97">
        <f ca="1">ROUNDDOWN( MAX(1 - MIN(facs_constr_factor*TblConstr[[#This Row],[Facs -DB]],facs_constr_max) + tech_1_11*TblTech[[#This Row],[11-1]] + tech_6_3_2*TblTech[[#This Row],[6-3]] + tech_5_2_3*TblTech[[#This Row],[5-2]], 1-global_constr_cap) * TblConstr[[#This Row],[RCPA Lumber]],0)</f>
        <v>216</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9" s="97">
        <f ca="1">ROUNDDOWN( MAX(1 - MIN(facs_constr_factor*TblConstr[[#This Row],[Facs DB]],facs_constr_max) + tech_1_11*TblTech[[#This Row],[1-11]] + tech_6_3_2*TblTech[[#This Row],[6-3]] + tech_5_2_3*TblTech[[#This Row],[5-2]], 1-global_constr_cap) * ROUND((TblConstr[[#This Row],[Land]]-250)*0.285 + 87.5 + 0/4.25,0),0)</f>
        <v>216</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1413</v>
      </c>
      <c r="AW69" s="97">
        <f ca="1">ROUND((TblConstr[[#This Row],[Land]]-250 - IF(TblExplore[[#This Row],[Land Bonus]]&lt;&gt;0,20,0))*0.285 + 87.5 + 0/4.25,0)</f>
        <v>216</v>
      </c>
      <c r="AX69" s="157"/>
      <c r="AY69" s="191" cm="1">
        <f t="array" aca="1" ref="AY69" ca="1">IF(TblConstr[[#This Row],[Hour]:[Hour]]&gt;12,OFFSET(TblConstr[[#This Row],[Hom]],-12,0),0)+OFFSET(TblConstr[[#This Row],[Tot Hom]],-1,0)-TblConstr[[#This Row],[Dest Hom]]</f>
        <v>40</v>
      </c>
      <c r="AZ69" s="192" cm="1">
        <f t="array" aca="1" ref="AZ69" ca="1">IF(TblConstr[[#This Row],[Hour]:[Hour]]&gt;12,OFFSET(TblConstr[[#This Row],[Alc]],-12,0),0)+OFFSET(TblConstr[[#This Row],[Tot Alc]],-1,0)-TblConstr[[#This Row],[Dest Alc]]</f>
        <v>275</v>
      </c>
      <c r="BA69" s="192" cm="1">
        <f t="array" aca="1" ref="BA69" ca="1">IF(TblConstr[[#This Row],[Hour]:[Hour]]&gt;12,OFFSET(TblConstr[[#This Row],[Far]],-12,0),0)+OFFSET(TblConstr[[#This Row],[Tot Farm]],-1,0)-TblConstr[[#This Row],[Dest Farm]]</f>
        <v>29</v>
      </c>
      <c r="BB69" s="192" cm="1">
        <f t="array" aca="1" ref="BB69" ca="1">IF(TblConstr[[#This Row],[Hour]:[Hour]]&gt;12,OFFSET(TblConstr[[#This Row],[Smi]],-12,0),0)+OFFSET(TblConstr[[#This Row],[Tot Smi]],-1,0)-TblConstr[[#This Row],[Dest Smi]]</f>
        <v>126</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25</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34</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25</v>
      </c>
      <c r="BM69" s="395" cm="1">
        <f t="array" aca="1" ref="BM69" ca="1">IF(TblConstr[[#This Row],[Hour]:[Hour]]&gt;12,OFFSET(TblConstr[[#This Row],[Tem]],-12,0),0)+OFFSET(TblConstr[[#This Row],[Tot Tem]],-1,0)-TblConstr[[#This Row],[Dest Tem]]</f>
        <v>47</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24</v>
      </c>
      <c r="BR69" s="145"/>
      <c r="BS69" s="157"/>
      <c r="BT69" s="97">
        <f ca="1">TblConstr[[#This Row],[Land]]</f>
        <v>700</v>
      </c>
      <c r="BU69" s="162">
        <f ca="1">TblImps[[#This Row],[Time]]</f>
        <v>45432.458333333176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430</v>
      </c>
      <c r="DA69" s="97">
        <f t="shared" ca="1" si="13"/>
        <v>25</v>
      </c>
      <c r="DB69" s="45">
        <f t="shared" ca="1" si="14"/>
        <v>0</v>
      </c>
      <c r="DC69" s="97">
        <f t="shared" ca="1" si="15"/>
        <v>55</v>
      </c>
      <c r="DD69" s="97">
        <f t="shared" ca="1" si="16"/>
        <v>76</v>
      </c>
      <c r="DE69" s="45">
        <f t="shared" ca="1" si="17"/>
        <v>0</v>
      </c>
      <c r="DF69" s="97">
        <f t="shared" ca="1" si="18"/>
        <v>24</v>
      </c>
      <c r="DG69" s="97" cm="1">
        <f t="array" aca="1" ref="DG69" ca="1">INDEX(TblConstr[[Total Plain]:[Total Water]],ROW()-ROW(TblConstr[#Headers]),MATCH("Total "&amp;home_land,TblConstr[[#Headers],[Total Plain]:[Total Water]],0))+TblConstr[[#This Row],[Homes]]</f>
        <v>40</v>
      </c>
      <c r="DH69" s="45">
        <f t="shared" ca="1" si="10"/>
        <v>40</v>
      </c>
      <c r="DI69" s="45">
        <f t="shared" ca="1" si="0"/>
        <v>0</v>
      </c>
      <c r="DJ69" s="45">
        <f t="shared" ca="1" si="1"/>
        <v>0</v>
      </c>
    </row>
    <row r="70" spans="1:114" x14ac:dyDescent="0.2">
      <c r="A70" s="178">
        <f>TblRezone[[#This Row],[Hour]]</f>
        <v>67</v>
      </c>
      <c r="B70" s="179">
        <f ca="1">SUM(TblConstr[[#This Row],[Plain]:[Water]])</f>
        <v>0</v>
      </c>
      <c r="C70" s="180">
        <f ca="1">SUM(TblConstr[[#This Row],[Tot Hom]:[Tot Doc]])</f>
        <v>633</v>
      </c>
      <c r="D70" s="180">
        <f t="shared" si="11"/>
        <v>67</v>
      </c>
      <c r="E70" s="181"/>
      <c r="F70" s="62">
        <f ca="1">TblConstr[[#This Row],[Barren]]+TblConstr[[#This Row],[Buildings]]+TblConstr[[#This Row],[Incoming]]</f>
        <v>700</v>
      </c>
      <c r="G70" s="190">
        <f ca="1">OFFSET(TblConstr[[#This Row],[Plain]],-1,0)+TblConstr[[#This Row],[Ch_Plain]]</f>
        <v>0</v>
      </c>
      <c r="H70" s="185">
        <f ca="1">OFFSET(TblConstr[[#This Row],[Forest]],-1,0)+TblConstr[[#This Row],[Ch_Forest]]</f>
        <v>0</v>
      </c>
      <c r="I70" s="385">
        <f ca="1">OFFSET(TblConstr[[#This Row],[Mountain]],-1,0)+TblConstr[[#This Row],[Ch_Mountain]]</f>
        <v>0</v>
      </c>
      <c r="J70" s="389">
        <f ca="1">OFFSET(TblConstr[[#This Row],[Hill]],-1,0)+TblConstr[[#This Row],[Ch_Hill]]</f>
        <v>0</v>
      </c>
      <c r="K70" s="393">
        <f ca="1">OFFSET(TblConstr[[#This Row],[Swamp]],-1,0)+TblConstr[[#This Row],[Ch_Swamp]]</f>
        <v>0</v>
      </c>
      <c r="L70" s="188">
        <f ca="1">OFFSET(TblConstr[[#This Row],[Cavern]],-1,0)+TblConstr[[#This Row],[Ch_Cavern]]</f>
        <v>0</v>
      </c>
      <c r="M70" s="189">
        <f ca="1">OFFSET(TblConstr[[#This Row],[Water]],-1,0)+TblConstr[[#This Row],[Ch_Water]]</f>
        <v>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45432.49999999984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68189</v>
      </c>
      <c r="AL70" s="97">
        <f ca="1">TblProd[[#This Row],[Lumber]]</f>
        <v>7924</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0" s="97">
        <f ca="1">ROUNDDOWN( MAX(1 - MIN(facs_constr_factor*TblConstr[[#This Row],[Facs -DB]],facs_constr_max) + tech_1_11*TblTech[[#This Row],[11-1]] + tech_6_3_2*TblTech[[#This Row],[6-3]] + tech_5_2_3*TblTech[[#This Row],[5-2]], 1-global_constr_cap) * TblConstr[[#This Row],[RCPA Lumber]],0)</f>
        <v>216</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0" s="97">
        <f ca="1">ROUNDDOWN( MAX(1 - MIN(facs_constr_factor*TblConstr[[#This Row],[Facs DB]],facs_constr_max) + tech_1_11*TblTech[[#This Row],[1-11]] + tech_6_3_2*TblTech[[#This Row],[6-3]] + tech_5_2_3*TblTech[[#This Row],[5-2]], 1-global_constr_cap) * ROUND((TblConstr[[#This Row],[Land]]-250)*0.285 + 87.5 + 0/4.25,0),0)</f>
        <v>216</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1413</v>
      </c>
      <c r="AW70" s="97">
        <f ca="1">ROUND((TblConstr[[#This Row],[Land]]-250 - IF(TblExplore[[#This Row],[Land Bonus]]&lt;&gt;0,20,0))*0.285 + 87.5 + 0/4.25,0)</f>
        <v>216</v>
      </c>
      <c r="AX70" s="157"/>
      <c r="AY70" s="191" cm="1">
        <f t="array" aca="1" ref="AY70" ca="1">IF(TblConstr[[#This Row],[Hour]:[Hour]]&gt;12,OFFSET(TblConstr[[#This Row],[Hom]],-12,0),0)+OFFSET(TblConstr[[#This Row],[Tot Hom]],-1,0)-TblConstr[[#This Row],[Dest Hom]]</f>
        <v>40</v>
      </c>
      <c r="AZ70" s="192" cm="1">
        <f t="array" aca="1" ref="AZ70" ca="1">IF(TblConstr[[#This Row],[Hour]:[Hour]]&gt;12,OFFSET(TblConstr[[#This Row],[Alc]],-12,0),0)+OFFSET(TblConstr[[#This Row],[Tot Alc]],-1,0)-TblConstr[[#This Row],[Dest Alc]]</f>
        <v>275</v>
      </c>
      <c r="BA70" s="192" cm="1">
        <f t="array" aca="1" ref="BA70" ca="1">IF(TblConstr[[#This Row],[Hour]:[Hour]]&gt;12,OFFSET(TblConstr[[#This Row],[Far]],-12,0),0)+OFFSET(TblConstr[[#This Row],[Tot Farm]],-1,0)-TblConstr[[#This Row],[Dest Farm]]</f>
        <v>29</v>
      </c>
      <c r="BB70" s="192" cm="1">
        <f t="array" aca="1" ref="BB70" ca="1">IF(TblConstr[[#This Row],[Hour]:[Hour]]&gt;12,OFFSET(TblConstr[[#This Row],[Smi]],-12,0),0)+OFFSET(TblConstr[[#This Row],[Tot Smi]],-1,0)-TblConstr[[#This Row],[Dest Smi]]</f>
        <v>126</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25</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38</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29</v>
      </c>
      <c r="BM70" s="395" cm="1">
        <f t="array" aca="1" ref="BM70" ca="1">IF(TblConstr[[#This Row],[Hour]:[Hour]]&gt;12,OFFSET(TblConstr[[#This Row],[Tem]],-12,0),0)+OFFSET(TblConstr[[#This Row],[Tot Tem]],-1,0)-TblConstr[[#This Row],[Dest Tem]]</f>
        <v>47</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24</v>
      </c>
      <c r="BR70" s="145"/>
      <c r="BS70" s="157"/>
      <c r="BT70" s="97">
        <f ca="1">TblConstr[[#This Row],[Land]]</f>
        <v>700</v>
      </c>
      <c r="BU70" s="162">
        <f ca="1">TblImps[[#This Row],[Time]]</f>
        <v>45432.49999999984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430</v>
      </c>
      <c r="DA70" s="97">
        <f t="shared" ca="1" si="13"/>
        <v>25</v>
      </c>
      <c r="DB70" s="45">
        <f t="shared" ca="1" si="14"/>
        <v>0</v>
      </c>
      <c r="DC70" s="97">
        <f t="shared" ca="1" si="15"/>
        <v>55</v>
      </c>
      <c r="DD70" s="97">
        <f t="shared" ca="1" si="16"/>
        <v>76</v>
      </c>
      <c r="DE70" s="45">
        <f t="shared" ca="1" si="17"/>
        <v>0</v>
      </c>
      <c r="DF70" s="97">
        <f t="shared" ca="1" si="18"/>
        <v>24</v>
      </c>
      <c r="DG70" s="97" cm="1">
        <f t="array" aca="1" ref="DG70" ca="1">INDEX(TblConstr[[Total Plain]:[Total Water]],ROW()-ROW(TblConstr[#Headers]),MATCH("Total "&amp;home_land,TblConstr[[#Headers],[Total Plain]:[Total Water]],0))+TblConstr[[#This Row],[Homes]]</f>
        <v>40</v>
      </c>
      <c r="DH70" s="45">
        <f t="shared" ca="1" si="10"/>
        <v>40</v>
      </c>
      <c r="DI70" s="45">
        <f t="shared" ref="DI70:DI133" ca="1" si="19">MAX(BA70-BA69,0)</f>
        <v>0</v>
      </c>
      <c r="DJ70" s="45">
        <f t="shared" ref="DJ70:DJ133" ca="1" si="20">MAX(BQ70-BQ69,0)</f>
        <v>0</v>
      </c>
    </row>
    <row r="71" spans="1:114" x14ac:dyDescent="0.2">
      <c r="A71" s="178">
        <f>TblRezone[[#This Row],[Hour]]</f>
        <v>68</v>
      </c>
      <c r="B71" s="179">
        <f ca="1">SUM(TblConstr[[#This Row],[Plain]:[Water]])</f>
        <v>0</v>
      </c>
      <c r="C71" s="180">
        <f ca="1">SUM(TblConstr[[#This Row],[Tot Hom]:[Tot Doc]])</f>
        <v>634</v>
      </c>
      <c r="D71" s="180">
        <f t="shared" si="11"/>
        <v>66</v>
      </c>
      <c r="E71" s="181"/>
      <c r="F71" s="62">
        <f ca="1">TblConstr[[#This Row],[Barren]]+TblConstr[[#This Row],[Buildings]]+TblConstr[[#This Row],[Incoming]]</f>
        <v>700</v>
      </c>
      <c r="G71" s="190">
        <f ca="1">OFFSET(TblConstr[[#This Row],[Plain]],-1,0)+TblConstr[[#This Row],[Ch_Plain]]</f>
        <v>0</v>
      </c>
      <c r="H71" s="185">
        <f ca="1">OFFSET(TblConstr[[#This Row],[Forest]],-1,0)+TblConstr[[#This Row],[Ch_Forest]]</f>
        <v>0</v>
      </c>
      <c r="I71" s="385">
        <f ca="1">OFFSET(TblConstr[[#This Row],[Mountain]],-1,0)+TblConstr[[#This Row],[Ch_Mountain]]</f>
        <v>0</v>
      </c>
      <c r="J71" s="389">
        <f ca="1">OFFSET(TblConstr[[#This Row],[Hill]],-1,0)+TblConstr[[#This Row],[Ch_Hill]]</f>
        <v>0</v>
      </c>
      <c r="K71" s="393">
        <f ca="1">OFFSET(TblConstr[[#This Row],[Swamp]],-1,0)+TblConstr[[#This Row],[Ch_Swamp]]</f>
        <v>0</v>
      </c>
      <c r="L71" s="188">
        <f ca="1">OFFSET(TblConstr[[#This Row],[Cavern]],-1,0)+TblConstr[[#This Row],[Ch_Cavern]]</f>
        <v>0</v>
      </c>
      <c r="M71" s="189">
        <f ca="1">OFFSET(TblConstr[[#This Row],[Water]],-1,0)+TblConstr[[#This Row],[Ch_Water]]</f>
        <v>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45432.541666666504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74962</v>
      </c>
      <c r="AL71" s="97">
        <f ca="1">TblProd[[#This Row],[Lumber]]</f>
        <v>8970</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1" s="97">
        <f ca="1">ROUNDDOWN( MAX(1 - MIN(facs_constr_factor*TblConstr[[#This Row],[Facs -DB]],facs_constr_max) + tech_1_11*TblTech[[#This Row],[11-1]] + tech_6_3_2*TblTech[[#This Row],[6-3]] + tech_5_2_3*TblTech[[#This Row],[5-2]], 1-global_constr_cap) * TblConstr[[#This Row],[RCPA Lumber]],0)</f>
        <v>216</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1" s="97">
        <f ca="1">ROUNDDOWN( MAX(1 - MIN(facs_constr_factor*TblConstr[[#This Row],[Facs DB]],facs_constr_max) + tech_1_11*TblTech[[#This Row],[1-11]] + tech_6_3_2*TblTech[[#This Row],[6-3]] + tech_5_2_3*TblTech[[#This Row],[5-2]], 1-global_constr_cap) * ROUND((TblConstr[[#This Row],[Land]]-250)*0.285 + 87.5 + 0/4.25,0),0)</f>
        <v>216</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1413</v>
      </c>
      <c r="AW71" s="97">
        <f ca="1">ROUND((TblConstr[[#This Row],[Land]]-250 - IF(TblExplore[[#This Row],[Land Bonus]]&lt;&gt;0,20,0))*0.285 + 87.5 + 0/4.25,0)</f>
        <v>216</v>
      </c>
      <c r="AX71" s="157"/>
      <c r="AY71" s="191" cm="1">
        <f t="array" aca="1" ref="AY71" ca="1">IF(TblConstr[[#This Row],[Hour]:[Hour]]&gt;12,OFFSET(TblConstr[[#This Row],[Hom]],-12,0),0)+OFFSET(TblConstr[[#This Row],[Tot Hom]],-1,0)-TblConstr[[#This Row],[Dest Hom]]</f>
        <v>40</v>
      </c>
      <c r="AZ71" s="192" cm="1">
        <f t="array" aca="1" ref="AZ71" ca="1">IF(TblConstr[[#This Row],[Hour]:[Hour]]&gt;12,OFFSET(TblConstr[[#This Row],[Alc]],-12,0),0)+OFFSET(TblConstr[[#This Row],[Tot Alc]],-1,0)-TblConstr[[#This Row],[Dest Alc]]</f>
        <v>275</v>
      </c>
      <c r="BA71" s="192" cm="1">
        <f t="array" aca="1" ref="BA71" ca="1">IF(TblConstr[[#This Row],[Hour]:[Hour]]&gt;12,OFFSET(TblConstr[[#This Row],[Far]],-12,0),0)+OFFSET(TblConstr[[#This Row],[Tot Farm]],-1,0)-TblConstr[[#This Row],[Dest Farm]]</f>
        <v>29</v>
      </c>
      <c r="BB71" s="192" cm="1">
        <f t="array" aca="1" ref="BB71" ca="1">IF(TblConstr[[#This Row],[Hour]:[Hour]]&gt;12,OFFSET(TblConstr[[#This Row],[Smi]],-12,0),0)+OFFSET(TblConstr[[#This Row],[Tot Smi]],-1,0)-TblConstr[[#This Row],[Dest Smi]]</f>
        <v>126</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25</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1</v>
      </c>
      <c r="BJ71" s="391" cm="1">
        <f t="array" aca="1" ref="BJ71" ca="1">IF(TblConstr[[#This Row],[Hour]:[Hour]]&gt;12,OFFSET(TblConstr[[#This Row],[Bar]],-12,0),0)+OFFSET(TblConstr[[#This Row],[Tot Bar]],-1,0)-TblConstr[[#This Row],[Dest Bar]]</f>
        <v>38</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29</v>
      </c>
      <c r="BM71" s="395" cm="1">
        <f t="array" aca="1" ref="BM71" ca="1">IF(TblConstr[[#This Row],[Hour]:[Hour]]&gt;12,OFFSET(TblConstr[[#This Row],[Tem]],-12,0),0)+OFFSET(TblConstr[[#This Row],[Tot Tem]],-1,0)-TblConstr[[#This Row],[Dest Tem]]</f>
        <v>47</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24</v>
      </c>
      <c r="BR71" s="145"/>
      <c r="BS71" s="157"/>
      <c r="BT71" s="97">
        <f ca="1">TblConstr[[#This Row],[Land]]</f>
        <v>700</v>
      </c>
      <c r="BU71" s="162">
        <f ca="1">TblImps[[#This Row],[Time]]</f>
        <v>45432.541666666504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430</v>
      </c>
      <c r="DA71" s="97">
        <f t="shared" ca="1" si="13"/>
        <v>25</v>
      </c>
      <c r="DB71" s="45">
        <f t="shared" ca="1" si="14"/>
        <v>0</v>
      </c>
      <c r="DC71" s="97">
        <f t="shared" ca="1" si="15"/>
        <v>55</v>
      </c>
      <c r="DD71" s="97">
        <f t="shared" ca="1" si="16"/>
        <v>76</v>
      </c>
      <c r="DE71" s="45">
        <f t="shared" ca="1" si="17"/>
        <v>0</v>
      </c>
      <c r="DF71" s="97">
        <f t="shared" ca="1" si="18"/>
        <v>24</v>
      </c>
      <c r="DG71" s="97" cm="1">
        <f t="array" aca="1" ref="DG71" ca="1">INDEX(TblConstr[[Total Plain]:[Total Water]],ROW()-ROW(TblConstr[#Headers]),MATCH("Total "&amp;home_land,TblConstr[[#Headers],[Total Plain]:[Total Water]],0))+TblConstr[[#This Row],[Homes]]</f>
        <v>40</v>
      </c>
      <c r="DH71" s="45">
        <f t="shared" ca="1" si="10"/>
        <v>40</v>
      </c>
      <c r="DI71" s="45">
        <f t="shared" ca="1" si="19"/>
        <v>0</v>
      </c>
      <c r="DJ71" s="45">
        <f t="shared" ca="1" si="20"/>
        <v>0</v>
      </c>
    </row>
    <row r="72" spans="1:114" x14ac:dyDescent="0.2">
      <c r="A72" s="178">
        <f>TblRezone[[#This Row],[Hour]]</f>
        <v>69</v>
      </c>
      <c r="B72" s="179">
        <f ca="1">SUM(TblConstr[[#This Row],[Plain]:[Water]])</f>
        <v>0</v>
      </c>
      <c r="C72" s="180">
        <f ca="1">SUM(TblConstr[[#This Row],[Tot Hom]:[Tot Doc]])</f>
        <v>635</v>
      </c>
      <c r="D72" s="180">
        <f t="shared" si="11"/>
        <v>65</v>
      </c>
      <c r="E72" s="181"/>
      <c r="F72" s="62">
        <f ca="1">TblConstr[[#This Row],[Barren]]+TblConstr[[#This Row],[Buildings]]+TblConstr[[#This Row],[Incoming]]</f>
        <v>700</v>
      </c>
      <c r="G72" s="190">
        <f ca="1">OFFSET(TblConstr[[#This Row],[Plain]],-1,0)+TblConstr[[#This Row],[Ch_Plain]]</f>
        <v>0</v>
      </c>
      <c r="H72" s="185">
        <f ca="1">OFFSET(TblConstr[[#This Row],[Forest]],-1,0)+TblConstr[[#This Row],[Ch_Forest]]</f>
        <v>0</v>
      </c>
      <c r="I72" s="385">
        <f ca="1">OFFSET(TblConstr[[#This Row],[Mountain]],-1,0)+TblConstr[[#This Row],[Ch_Mountain]]</f>
        <v>0</v>
      </c>
      <c r="J72" s="389">
        <f ca="1">OFFSET(TblConstr[[#This Row],[Hill]],-1,0)+TblConstr[[#This Row],[Ch_Hill]]</f>
        <v>0</v>
      </c>
      <c r="K72" s="393">
        <f ca="1">OFFSET(TblConstr[[#This Row],[Swamp]],-1,0)+TblConstr[[#This Row],[Ch_Swamp]]</f>
        <v>0</v>
      </c>
      <c r="L72" s="188">
        <f ca="1">OFFSET(TblConstr[[#This Row],[Cavern]],-1,0)+TblConstr[[#This Row],[Ch_Cavern]]</f>
        <v>0</v>
      </c>
      <c r="M72" s="189">
        <f ca="1">OFFSET(TblConstr[[#This Row],[Water]],-1,0)+TblConstr[[#This Row],[Ch_Water]]</f>
        <v>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45432.583333333168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60402</v>
      </c>
      <c r="AL72" s="97">
        <f ca="1">TblProd[[#This Row],[Lumber]]</f>
        <v>10005</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2" s="97">
        <f ca="1">ROUNDDOWN( MAX(1 - MIN(facs_constr_factor*TblConstr[[#This Row],[Facs -DB]],facs_constr_max) + tech_1_11*TblTech[[#This Row],[11-1]] + tech_6_3_2*TblTech[[#This Row],[6-3]] + tech_5_2_3*TblTech[[#This Row],[5-2]], 1-global_constr_cap) * TblConstr[[#This Row],[RCPA Lumber]],0)</f>
        <v>216</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2" s="97">
        <f ca="1">ROUNDDOWN( MAX(1 - MIN(facs_constr_factor*TblConstr[[#This Row],[Facs DB]],facs_constr_max) + tech_1_11*TblTech[[#This Row],[1-11]] + tech_6_3_2*TblTech[[#This Row],[6-3]] + tech_5_2_3*TblTech[[#This Row],[5-2]], 1-global_constr_cap) * ROUND((TblConstr[[#This Row],[Land]]-250)*0.285 + 87.5 + 0/4.25,0),0)</f>
        <v>216</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1413</v>
      </c>
      <c r="AW72" s="97">
        <f ca="1">ROUND((TblConstr[[#This Row],[Land]]-250 - IF(TblExplore[[#This Row],[Land Bonus]]&lt;&gt;0,20,0))*0.285 + 87.5 + 0/4.25,0)</f>
        <v>216</v>
      </c>
      <c r="AX72" s="157"/>
      <c r="AY72" s="191" cm="1">
        <f t="array" aca="1" ref="AY72" ca="1">IF(TblConstr[[#This Row],[Hour]:[Hour]]&gt;12,OFFSET(TblConstr[[#This Row],[Hom]],-12,0),0)+OFFSET(TblConstr[[#This Row],[Tot Hom]],-1,0)-TblConstr[[#This Row],[Dest Hom]]</f>
        <v>40</v>
      </c>
      <c r="AZ72" s="192" cm="1">
        <f t="array" aca="1" ref="AZ72" ca="1">IF(TblConstr[[#This Row],[Hour]:[Hour]]&gt;12,OFFSET(TblConstr[[#This Row],[Alc]],-12,0),0)+OFFSET(TblConstr[[#This Row],[Tot Alc]],-1,0)-TblConstr[[#This Row],[Dest Alc]]</f>
        <v>275</v>
      </c>
      <c r="BA72" s="192" cm="1">
        <f t="array" aca="1" ref="BA72" ca="1">IF(TblConstr[[#This Row],[Hour]:[Hour]]&gt;12,OFFSET(TblConstr[[#This Row],[Far]],-12,0),0)+OFFSET(TblConstr[[#This Row],[Tot Farm]],-1,0)-TblConstr[[#This Row],[Dest Farm]]</f>
        <v>29</v>
      </c>
      <c r="BB72" s="192" cm="1">
        <f t="array" aca="1" ref="BB72" ca="1">IF(TblConstr[[#This Row],[Hour]:[Hour]]&gt;12,OFFSET(TblConstr[[#This Row],[Smi]],-12,0),0)+OFFSET(TblConstr[[#This Row],[Tot Smi]],-1,0)-TblConstr[[#This Row],[Dest Smi]]</f>
        <v>126</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25</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2</v>
      </c>
      <c r="BJ72" s="391" cm="1">
        <f t="array" aca="1" ref="BJ72" ca="1">IF(TblConstr[[#This Row],[Hour]:[Hour]]&gt;12,OFFSET(TblConstr[[#This Row],[Bar]],-12,0),0)+OFFSET(TblConstr[[#This Row],[Tot Bar]],-1,0)-TblConstr[[#This Row],[Dest Bar]]</f>
        <v>38</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29</v>
      </c>
      <c r="BM72" s="395" cm="1">
        <f t="array" aca="1" ref="BM72" ca="1">IF(TblConstr[[#This Row],[Hour]:[Hour]]&gt;12,OFFSET(TblConstr[[#This Row],[Tem]],-12,0),0)+OFFSET(TblConstr[[#This Row],[Tot Tem]],-1,0)-TblConstr[[#This Row],[Dest Tem]]</f>
        <v>47</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24</v>
      </c>
      <c r="BR72" s="145"/>
      <c r="BS72" s="157"/>
      <c r="BT72" s="97">
        <f ca="1">TblConstr[[#This Row],[Land]]</f>
        <v>700</v>
      </c>
      <c r="BU72" s="162">
        <f ca="1">TblImps[[#This Row],[Time]]</f>
        <v>45432.583333333168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430</v>
      </c>
      <c r="DA72" s="97">
        <f t="shared" ca="1" si="13"/>
        <v>25</v>
      </c>
      <c r="DB72" s="45">
        <f t="shared" ca="1" si="14"/>
        <v>0</v>
      </c>
      <c r="DC72" s="97">
        <f t="shared" ca="1" si="15"/>
        <v>55</v>
      </c>
      <c r="DD72" s="97">
        <f t="shared" ca="1" si="16"/>
        <v>76</v>
      </c>
      <c r="DE72" s="45">
        <f t="shared" ca="1" si="17"/>
        <v>0</v>
      </c>
      <c r="DF72" s="97">
        <f t="shared" ca="1" si="18"/>
        <v>24</v>
      </c>
      <c r="DG72" s="97" cm="1">
        <f t="array" aca="1" ref="DG72" ca="1">INDEX(TblConstr[[Total Plain]:[Total Water]],ROW()-ROW(TblConstr[#Headers]),MATCH("Total "&amp;home_land,TblConstr[[#Headers],[Total Plain]:[Total Water]],0))+TblConstr[[#This Row],[Homes]]</f>
        <v>40</v>
      </c>
      <c r="DH72" s="45">
        <f t="shared" ca="1" si="10"/>
        <v>40</v>
      </c>
      <c r="DI72" s="45">
        <f t="shared" ca="1" si="19"/>
        <v>0</v>
      </c>
      <c r="DJ72" s="45">
        <f t="shared" ca="1" si="20"/>
        <v>0</v>
      </c>
    </row>
    <row r="73" spans="1:114" x14ac:dyDescent="0.2">
      <c r="A73" s="178">
        <f>TblRezone[[#This Row],[Hour]]</f>
        <v>70</v>
      </c>
      <c r="B73" s="179">
        <f ca="1">SUM(TblConstr[[#This Row],[Plain]:[Water]])</f>
        <v>0</v>
      </c>
      <c r="C73" s="180">
        <f ca="1">SUM(TblConstr[[#This Row],[Tot Hom]:[Tot Doc]])</f>
        <v>636</v>
      </c>
      <c r="D73" s="180">
        <f t="shared" si="11"/>
        <v>64</v>
      </c>
      <c r="E73" s="181"/>
      <c r="F73" s="62">
        <f ca="1">TblConstr[[#This Row],[Barren]]+TblConstr[[#This Row],[Buildings]]+TblConstr[[#This Row],[Incoming]]</f>
        <v>700</v>
      </c>
      <c r="G73" s="190">
        <f ca="1">OFFSET(TblConstr[[#This Row],[Plain]],-1,0)+TblConstr[[#This Row],[Ch_Plain]]</f>
        <v>0</v>
      </c>
      <c r="H73" s="185">
        <f ca="1">OFFSET(TblConstr[[#This Row],[Forest]],-1,0)+TblConstr[[#This Row],[Ch_Forest]]</f>
        <v>0</v>
      </c>
      <c r="I73" s="385">
        <f ca="1">OFFSET(TblConstr[[#This Row],[Mountain]],-1,0)+TblConstr[[#This Row],[Ch_Mountain]]</f>
        <v>0</v>
      </c>
      <c r="J73" s="389">
        <f ca="1">OFFSET(TblConstr[[#This Row],[Hill]],-1,0)+TblConstr[[#This Row],[Ch_Hill]]</f>
        <v>0</v>
      </c>
      <c r="K73" s="393">
        <f ca="1">OFFSET(TblConstr[[#This Row],[Swamp]],-1,0)+TblConstr[[#This Row],[Ch_Swamp]]</f>
        <v>0</v>
      </c>
      <c r="L73" s="188">
        <f ca="1">OFFSET(TblConstr[[#This Row],[Cavern]],-1,0)+TblConstr[[#This Row],[Ch_Cavern]]</f>
        <v>0</v>
      </c>
      <c r="M73" s="189">
        <f ca="1">OFFSET(TblConstr[[#This Row],[Water]],-1,0)+TblConstr[[#This Row],[Ch_Water]]</f>
        <v>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45432.624999999833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46144</v>
      </c>
      <c r="AL73" s="97">
        <f ca="1">TblProd[[#This Row],[Lumber]]</f>
        <v>11030</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3" s="97">
        <f ca="1">ROUNDDOWN( MAX(1 - MIN(facs_constr_factor*TblConstr[[#This Row],[Facs -DB]],facs_constr_max) + tech_1_11*TblTech[[#This Row],[11-1]] + tech_6_3_2*TblTech[[#This Row],[6-3]] + tech_5_2_3*TblTech[[#This Row],[5-2]], 1-global_constr_cap) * TblConstr[[#This Row],[RCPA Lumber]],0)</f>
        <v>216</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3" s="97">
        <f ca="1">ROUNDDOWN( MAX(1 - MIN(facs_constr_factor*TblConstr[[#This Row],[Facs DB]],facs_constr_max) + tech_1_11*TblTech[[#This Row],[1-11]] + tech_6_3_2*TblTech[[#This Row],[6-3]] + tech_5_2_3*TblTech[[#This Row],[5-2]], 1-global_constr_cap) * ROUND((TblConstr[[#This Row],[Land]]-250)*0.285 + 87.5 + 0/4.25,0),0)</f>
        <v>216</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1413</v>
      </c>
      <c r="AW73" s="97">
        <f ca="1">ROUND((TblConstr[[#This Row],[Land]]-250 - IF(TblExplore[[#This Row],[Land Bonus]]&lt;&gt;0,20,0))*0.285 + 87.5 + 0/4.25,0)</f>
        <v>216</v>
      </c>
      <c r="AX73" s="157"/>
      <c r="AY73" s="191" cm="1">
        <f t="array" aca="1" ref="AY73" ca="1">IF(TblConstr[[#This Row],[Hour]:[Hour]]&gt;12,OFFSET(TblConstr[[#This Row],[Hom]],-12,0),0)+OFFSET(TblConstr[[#This Row],[Tot Hom]],-1,0)-TblConstr[[#This Row],[Dest Hom]]</f>
        <v>40</v>
      </c>
      <c r="AZ73" s="192" cm="1">
        <f t="array" aca="1" ref="AZ73" ca="1">IF(TblConstr[[#This Row],[Hour]:[Hour]]&gt;12,OFFSET(TblConstr[[#This Row],[Alc]],-12,0),0)+OFFSET(TblConstr[[#This Row],[Tot Alc]],-1,0)-TblConstr[[#This Row],[Dest Alc]]</f>
        <v>275</v>
      </c>
      <c r="BA73" s="192" cm="1">
        <f t="array" aca="1" ref="BA73" ca="1">IF(TblConstr[[#This Row],[Hour]:[Hour]]&gt;12,OFFSET(TblConstr[[#This Row],[Far]],-12,0),0)+OFFSET(TblConstr[[#This Row],[Tot Farm]],-1,0)-TblConstr[[#This Row],[Dest Farm]]</f>
        <v>29</v>
      </c>
      <c r="BB73" s="192" cm="1">
        <f t="array" aca="1" ref="BB73" ca="1">IF(TblConstr[[#This Row],[Hour]:[Hour]]&gt;12,OFFSET(TblConstr[[#This Row],[Smi]],-12,0),0)+OFFSET(TblConstr[[#This Row],[Tot Smi]],-1,0)-TblConstr[[#This Row],[Dest Smi]]</f>
        <v>126</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25</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3</v>
      </c>
      <c r="BJ73" s="391" cm="1">
        <f t="array" aca="1" ref="BJ73" ca="1">IF(TblConstr[[#This Row],[Hour]:[Hour]]&gt;12,OFFSET(TblConstr[[#This Row],[Bar]],-12,0),0)+OFFSET(TblConstr[[#This Row],[Tot Bar]],-1,0)-TblConstr[[#This Row],[Dest Bar]]</f>
        <v>38</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29</v>
      </c>
      <c r="BM73" s="395" cm="1">
        <f t="array" aca="1" ref="BM73" ca="1">IF(TblConstr[[#This Row],[Hour]:[Hour]]&gt;12,OFFSET(TblConstr[[#This Row],[Tem]],-12,0),0)+OFFSET(TblConstr[[#This Row],[Tot Tem]],-1,0)-TblConstr[[#This Row],[Dest Tem]]</f>
        <v>47</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24</v>
      </c>
      <c r="BR73" s="145"/>
      <c r="BS73" s="157"/>
      <c r="BT73" s="97">
        <f ca="1">TblConstr[[#This Row],[Land]]</f>
        <v>700</v>
      </c>
      <c r="BU73" s="162">
        <f ca="1">TblImps[[#This Row],[Time]]</f>
        <v>45432.624999999833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430</v>
      </c>
      <c r="DA73" s="97">
        <f t="shared" ca="1" si="13"/>
        <v>25</v>
      </c>
      <c r="DB73" s="45">
        <f t="shared" ca="1" si="14"/>
        <v>0</v>
      </c>
      <c r="DC73" s="97">
        <f t="shared" ca="1" si="15"/>
        <v>55</v>
      </c>
      <c r="DD73" s="97">
        <f t="shared" ca="1" si="16"/>
        <v>76</v>
      </c>
      <c r="DE73" s="45">
        <f t="shared" ca="1" si="17"/>
        <v>0</v>
      </c>
      <c r="DF73" s="97">
        <f t="shared" ca="1" si="18"/>
        <v>24</v>
      </c>
      <c r="DG73" s="97" cm="1">
        <f t="array" aca="1" ref="DG73" ca="1">INDEX(TblConstr[[Total Plain]:[Total Water]],ROW()-ROW(TblConstr[#Headers]),MATCH("Total "&amp;home_land,TblConstr[[#Headers],[Total Plain]:[Total Water]],0))+TblConstr[[#This Row],[Homes]]</f>
        <v>40</v>
      </c>
      <c r="DH73" s="45">
        <f t="shared" ca="1" si="10"/>
        <v>40</v>
      </c>
      <c r="DI73" s="45">
        <f t="shared" ca="1" si="19"/>
        <v>0</v>
      </c>
      <c r="DJ73" s="45">
        <f t="shared" ca="1" si="20"/>
        <v>0</v>
      </c>
    </row>
    <row r="74" spans="1:114" x14ac:dyDescent="0.2">
      <c r="A74" s="178">
        <f>TblRezone[[#This Row],[Hour]]</f>
        <v>71</v>
      </c>
      <c r="B74" s="179">
        <f ca="1">SUM(TblConstr[[#This Row],[Plain]:[Water]])</f>
        <v>0</v>
      </c>
      <c r="C74" s="180">
        <f ca="1">SUM(TblConstr[[#This Row],[Tot Hom]:[Tot Doc]])</f>
        <v>637</v>
      </c>
      <c r="D74" s="180">
        <f t="shared" si="11"/>
        <v>63</v>
      </c>
      <c r="E74" s="181"/>
      <c r="F74" s="62">
        <f ca="1">TblConstr[[#This Row],[Barren]]+TblConstr[[#This Row],[Buildings]]+TblConstr[[#This Row],[Incoming]]</f>
        <v>700</v>
      </c>
      <c r="G74" s="190">
        <f ca="1">OFFSET(TblConstr[[#This Row],[Plain]],-1,0)+TblConstr[[#This Row],[Ch_Plain]]</f>
        <v>0</v>
      </c>
      <c r="H74" s="185">
        <f ca="1">OFFSET(TblConstr[[#This Row],[Forest]],-1,0)+TblConstr[[#This Row],[Ch_Forest]]</f>
        <v>0</v>
      </c>
      <c r="I74" s="385">
        <f ca="1">OFFSET(TblConstr[[#This Row],[Mountain]],-1,0)+TblConstr[[#This Row],[Ch_Mountain]]</f>
        <v>0</v>
      </c>
      <c r="J74" s="389">
        <f ca="1">OFFSET(TblConstr[[#This Row],[Hill]],-1,0)+TblConstr[[#This Row],[Ch_Hill]]</f>
        <v>0</v>
      </c>
      <c r="K74" s="393">
        <f ca="1">OFFSET(TblConstr[[#This Row],[Swamp]],-1,0)+TblConstr[[#This Row],[Ch_Swamp]]</f>
        <v>0</v>
      </c>
      <c r="L74" s="188">
        <f ca="1">OFFSET(TblConstr[[#This Row],[Cavern]],-1,0)+TblConstr[[#This Row],[Ch_Cavern]]</f>
        <v>0</v>
      </c>
      <c r="M74" s="189">
        <f ca="1">OFFSET(TblConstr[[#This Row],[Water]],-1,0)+TblConstr[[#This Row],[Ch_Water]]</f>
        <v>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45432.666666666497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32191</v>
      </c>
      <c r="AL74" s="97">
        <f ca="1">TblProd[[#This Row],[Lumber]]</f>
        <v>12045</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4" s="97">
        <f ca="1">ROUNDDOWN( MAX(1 - MIN(facs_constr_factor*TblConstr[[#This Row],[Facs -DB]],facs_constr_max) + tech_1_11*TblTech[[#This Row],[11-1]] + tech_6_3_2*TblTech[[#This Row],[6-3]] + tech_5_2_3*TblTech[[#This Row],[5-2]], 1-global_constr_cap) * TblConstr[[#This Row],[RCPA Lumber]],0)</f>
        <v>216</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4" s="97">
        <f ca="1">ROUNDDOWN( MAX(1 - MIN(facs_constr_factor*TblConstr[[#This Row],[Facs DB]],facs_constr_max) + tech_1_11*TblTech[[#This Row],[1-11]] + tech_6_3_2*TblTech[[#This Row],[6-3]] + tech_5_2_3*TblTech[[#This Row],[5-2]], 1-global_constr_cap) * ROUND((TblConstr[[#This Row],[Land]]-250)*0.285 + 87.5 + 0/4.25,0),0)</f>
        <v>216</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1413</v>
      </c>
      <c r="AW74" s="97">
        <f ca="1">ROUND((TblConstr[[#This Row],[Land]]-250 - IF(TblExplore[[#This Row],[Land Bonus]]&lt;&gt;0,20,0))*0.285 + 87.5 + 0/4.25,0)</f>
        <v>216</v>
      </c>
      <c r="AX74" s="157"/>
      <c r="AY74" s="191" cm="1">
        <f t="array" aca="1" ref="AY74" ca="1">IF(TblConstr[[#This Row],[Hour]:[Hour]]&gt;12,OFFSET(TblConstr[[#This Row],[Hom]],-12,0),0)+OFFSET(TblConstr[[#This Row],[Tot Hom]],-1,0)-TblConstr[[#This Row],[Dest Hom]]</f>
        <v>40</v>
      </c>
      <c r="AZ74" s="192" cm="1">
        <f t="array" aca="1" ref="AZ74" ca="1">IF(TblConstr[[#This Row],[Hour]:[Hour]]&gt;12,OFFSET(TblConstr[[#This Row],[Alc]],-12,0),0)+OFFSET(TblConstr[[#This Row],[Tot Alc]],-1,0)-TblConstr[[#This Row],[Dest Alc]]</f>
        <v>275</v>
      </c>
      <c r="BA74" s="192" cm="1">
        <f t="array" aca="1" ref="BA74" ca="1">IF(TblConstr[[#This Row],[Hour]:[Hour]]&gt;12,OFFSET(TblConstr[[#This Row],[Far]],-12,0),0)+OFFSET(TblConstr[[#This Row],[Tot Farm]],-1,0)-TblConstr[[#This Row],[Dest Farm]]</f>
        <v>29</v>
      </c>
      <c r="BB74" s="192" cm="1">
        <f t="array" aca="1" ref="BB74" ca="1">IF(TblConstr[[#This Row],[Hour]:[Hour]]&gt;12,OFFSET(TblConstr[[#This Row],[Smi]],-12,0),0)+OFFSET(TblConstr[[#This Row],[Tot Smi]],-1,0)-TblConstr[[#This Row],[Dest Smi]]</f>
        <v>126</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25</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4</v>
      </c>
      <c r="BJ74" s="391" cm="1">
        <f t="array" aca="1" ref="BJ74" ca="1">IF(TblConstr[[#This Row],[Hour]:[Hour]]&gt;12,OFFSET(TblConstr[[#This Row],[Bar]],-12,0),0)+OFFSET(TblConstr[[#This Row],[Tot Bar]],-1,0)-TblConstr[[#This Row],[Dest Bar]]</f>
        <v>38</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29</v>
      </c>
      <c r="BM74" s="395" cm="1">
        <f t="array" aca="1" ref="BM74" ca="1">IF(TblConstr[[#This Row],[Hour]:[Hour]]&gt;12,OFFSET(TblConstr[[#This Row],[Tem]],-12,0),0)+OFFSET(TblConstr[[#This Row],[Tot Tem]],-1,0)-TblConstr[[#This Row],[Dest Tem]]</f>
        <v>47</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24</v>
      </c>
      <c r="BR74" s="145"/>
      <c r="BS74" s="157"/>
      <c r="BT74" s="97">
        <f ca="1">TblConstr[[#This Row],[Land]]</f>
        <v>700</v>
      </c>
      <c r="BU74" s="162">
        <f ca="1">TblImps[[#This Row],[Time]]</f>
        <v>45432.666666666497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430</v>
      </c>
      <c r="DA74" s="97">
        <f t="shared" ca="1" si="13"/>
        <v>25</v>
      </c>
      <c r="DB74" s="45">
        <f t="shared" ca="1" si="14"/>
        <v>0</v>
      </c>
      <c r="DC74" s="97">
        <f t="shared" ca="1" si="15"/>
        <v>55</v>
      </c>
      <c r="DD74" s="97">
        <f t="shared" ca="1" si="16"/>
        <v>76</v>
      </c>
      <c r="DE74" s="45">
        <f t="shared" ca="1" si="17"/>
        <v>0</v>
      </c>
      <c r="DF74" s="97">
        <f t="shared" ca="1" si="18"/>
        <v>24</v>
      </c>
      <c r="DG74" s="97" cm="1">
        <f t="array" aca="1" ref="DG74" ca="1">INDEX(TblConstr[[Total Plain]:[Total Water]],ROW()-ROW(TblConstr[#Headers]),MATCH("Total "&amp;home_land,TblConstr[[#Headers],[Total Plain]:[Total Water]],0))+TblConstr[[#This Row],[Homes]]</f>
        <v>40</v>
      </c>
      <c r="DH74" s="45">
        <f t="shared" ca="1" si="10"/>
        <v>40</v>
      </c>
      <c r="DI74" s="45">
        <f t="shared" ca="1" si="19"/>
        <v>0</v>
      </c>
      <c r="DJ74" s="45">
        <f t="shared" ca="1" si="20"/>
        <v>0</v>
      </c>
    </row>
    <row r="75" spans="1:114" x14ac:dyDescent="0.2">
      <c r="A75" s="178">
        <f>TblRezone[[#This Row],[Hour]]</f>
        <v>72</v>
      </c>
      <c r="B75" s="179">
        <f ca="1">SUM(TblConstr[[#This Row],[Plain]:[Water]])</f>
        <v>0</v>
      </c>
      <c r="C75" s="180">
        <f ca="1">SUM(TblConstr[[#This Row],[Tot Hom]:[Tot Doc]])</f>
        <v>638</v>
      </c>
      <c r="D75" s="180">
        <f t="shared" si="11"/>
        <v>62</v>
      </c>
      <c r="E75" s="181"/>
      <c r="F75" s="62">
        <f ca="1">TblConstr[[#This Row],[Barren]]+TblConstr[[#This Row],[Buildings]]+TblConstr[[#This Row],[Incoming]]</f>
        <v>700</v>
      </c>
      <c r="G75" s="190">
        <f ca="1">OFFSET(TblConstr[[#This Row],[Plain]],-1,0)+TblConstr[[#This Row],[Ch_Plain]]</f>
        <v>0</v>
      </c>
      <c r="H75" s="185">
        <f ca="1">OFFSET(TblConstr[[#This Row],[Forest]],-1,0)+TblConstr[[#This Row],[Ch_Forest]]</f>
        <v>0</v>
      </c>
      <c r="I75" s="385">
        <f ca="1">OFFSET(TblConstr[[#This Row],[Mountain]],-1,0)+TblConstr[[#This Row],[Ch_Mountain]]</f>
        <v>0</v>
      </c>
      <c r="J75" s="389">
        <f ca="1">OFFSET(TblConstr[[#This Row],[Hill]],-1,0)+TblConstr[[#This Row],[Ch_Hill]]</f>
        <v>0</v>
      </c>
      <c r="K75" s="393">
        <f ca="1">OFFSET(TblConstr[[#This Row],[Swamp]],-1,0)+TblConstr[[#This Row],[Ch_Swamp]]</f>
        <v>0</v>
      </c>
      <c r="L75" s="188">
        <f ca="1">OFFSET(TblConstr[[#This Row],[Cavern]],-1,0)+TblConstr[[#This Row],[Ch_Cavern]]</f>
        <v>0</v>
      </c>
      <c r="M75" s="189">
        <f ca="1">OFFSET(TblConstr[[#This Row],[Water]],-1,0)+TblConstr[[#This Row],[Ch_Water]]</f>
        <v>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45432.708333333161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18546</v>
      </c>
      <c r="AL75" s="97">
        <f ca="1">TblProd[[#This Row],[Lumber]]</f>
        <v>13050</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5" s="97">
        <f ca="1">ROUNDDOWN( MAX(1 - MIN(facs_constr_factor*TblConstr[[#This Row],[Facs -DB]],facs_constr_max) + tech_1_11*TblTech[[#This Row],[11-1]] + tech_6_3_2*TblTech[[#This Row],[6-3]] + tech_5_2_3*TblTech[[#This Row],[5-2]], 1-global_constr_cap) * TblConstr[[#This Row],[RCPA Lumber]],0)</f>
        <v>216</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5" s="97">
        <f ca="1">ROUNDDOWN( MAX(1 - MIN(facs_constr_factor*TblConstr[[#This Row],[Facs DB]],facs_constr_max) + tech_1_11*TblTech[[#This Row],[1-11]] + tech_6_3_2*TblTech[[#This Row],[6-3]] + tech_5_2_3*TblTech[[#This Row],[5-2]], 1-global_constr_cap) * ROUND((TblConstr[[#This Row],[Land]]-250)*0.285 + 87.5 + 0/4.25,0),0)</f>
        <v>216</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1413</v>
      </c>
      <c r="AW75" s="97">
        <f ca="1">ROUND((TblConstr[[#This Row],[Land]]-250 - IF(TblExplore[[#This Row],[Land Bonus]]&lt;&gt;0,20,0))*0.285 + 87.5 + 0/4.25,0)</f>
        <v>216</v>
      </c>
      <c r="AX75" s="157"/>
      <c r="AY75" s="191" cm="1">
        <f t="array" aca="1" ref="AY75" ca="1">IF(TblConstr[[#This Row],[Hour]:[Hour]]&gt;12,OFFSET(TblConstr[[#This Row],[Hom]],-12,0),0)+OFFSET(TblConstr[[#This Row],[Tot Hom]],-1,0)-TblConstr[[#This Row],[Dest Hom]]</f>
        <v>40</v>
      </c>
      <c r="AZ75" s="192" cm="1">
        <f t="array" aca="1" ref="AZ75" ca="1">IF(TblConstr[[#This Row],[Hour]:[Hour]]&gt;12,OFFSET(TblConstr[[#This Row],[Alc]],-12,0),0)+OFFSET(TblConstr[[#This Row],[Tot Alc]],-1,0)-TblConstr[[#This Row],[Dest Alc]]</f>
        <v>275</v>
      </c>
      <c r="BA75" s="192" cm="1">
        <f t="array" aca="1" ref="BA75" ca="1">IF(TblConstr[[#This Row],[Hour]:[Hour]]&gt;12,OFFSET(TblConstr[[#This Row],[Far]],-12,0),0)+OFFSET(TblConstr[[#This Row],[Tot Farm]],-1,0)-TblConstr[[#This Row],[Dest Farm]]</f>
        <v>29</v>
      </c>
      <c r="BB75" s="192" cm="1">
        <f t="array" aca="1" ref="BB75" ca="1">IF(TblConstr[[#This Row],[Hour]:[Hour]]&gt;12,OFFSET(TblConstr[[#This Row],[Smi]],-12,0),0)+OFFSET(TblConstr[[#This Row],[Tot Smi]],-1,0)-TblConstr[[#This Row],[Dest Smi]]</f>
        <v>126</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25</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5</v>
      </c>
      <c r="BJ75" s="391" cm="1">
        <f t="array" aca="1" ref="BJ75" ca="1">IF(TblConstr[[#This Row],[Hour]:[Hour]]&gt;12,OFFSET(TblConstr[[#This Row],[Bar]],-12,0),0)+OFFSET(TblConstr[[#This Row],[Tot Bar]],-1,0)-TblConstr[[#This Row],[Dest Bar]]</f>
        <v>38</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29</v>
      </c>
      <c r="BM75" s="395" cm="1">
        <f t="array" aca="1" ref="BM75" ca="1">IF(TblConstr[[#This Row],[Hour]:[Hour]]&gt;12,OFFSET(TblConstr[[#This Row],[Tem]],-12,0),0)+OFFSET(TblConstr[[#This Row],[Tot Tem]],-1,0)-TblConstr[[#This Row],[Dest Tem]]</f>
        <v>47</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24</v>
      </c>
      <c r="BR75" s="145"/>
      <c r="BS75" s="157"/>
      <c r="BT75" s="97">
        <f ca="1">TblConstr[[#This Row],[Land]]</f>
        <v>700</v>
      </c>
      <c r="BU75" s="162">
        <f ca="1">TblImps[[#This Row],[Time]]</f>
        <v>45432.708333333161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430</v>
      </c>
      <c r="DA75" s="97">
        <f t="shared" ca="1" si="13"/>
        <v>25</v>
      </c>
      <c r="DB75" s="45">
        <f t="shared" ca="1" si="14"/>
        <v>0</v>
      </c>
      <c r="DC75" s="97">
        <f t="shared" ca="1" si="15"/>
        <v>55</v>
      </c>
      <c r="DD75" s="97">
        <f t="shared" ca="1" si="16"/>
        <v>76</v>
      </c>
      <c r="DE75" s="45">
        <f t="shared" ca="1" si="17"/>
        <v>0</v>
      </c>
      <c r="DF75" s="97">
        <f t="shared" ca="1" si="18"/>
        <v>24</v>
      </c>
      <c r="DG75" s="97" cm="1">
        <f t="array" aca="1" ref="DG75" ca="1">INDEX(TblConstr[[Total Plain]:[Total Water]],ROW()-ROW(TblConstr[#Headers]),MATCH("Total "&amp;home_land,TblConstr[[#Headers],[Total Plain]:[Total Water]],0))+TblConstr[[#This Row],[Homes]]</f>
        <v>40</v>
      </c>
      <c r="DH75" s="45">
        <f t="shared" ca="1" si="10"/>
        <v>40</v>
      </c>
      <c r="DI75" s="45">
        <f t="shared" ca="1" si="19"/>
        <v>0</v>
      </c>
      <c r="DJ75" s="45">
        <f t="shared" ca="1" si="20"/>
        <v>0</v>
      </c>
    </row>
    <row r="76" spans="1:114" x14ac:dyDescent="0.2">
      <c r="A76" s="196">
        <f>TblRezone[[#This Row],[Hour]]</f>
        <v>73</v>
      </c>
      <c r="B76" s="197">
        <f ca="1">SUM(TblConstr[[#This Row],[Plain]:[Water]])</f>
        <v>0</v>
      </c>
      <c r="C76" s="198">
        <f ca="1">SUM(TblConstr[[#This Row],[Tot Hom]:[Tot Doc]])</f>
        <v>688</v>
      </c>
      <c r="D76" s="198">
        <f t="shared" ref="D76:D131" si="21">SUM(O65:AG76)</f>
        <v>12</v>
      </c>
      <c r="E76" s="199"/>
      <c r="F76" s="200">
        <f ca="1">TblConstr[[#This Row],[Barren]]+TblConstr[[#This Row],[Buildings]]+TblConstr[[#This Row],[Incoming]]</f>
        <v>700</v>
      </c>
      <c r="G76" s="201">
        <f ca="1">OFFSET(TblConstr[[#This Row],[Plain]],-1,0)+TblConstr[[#This Row],[Ch_Plain]]</f>
        <v>0</v>
      </c>
      <c r="H76" s="202">
        <f ca="1">OFFSET(TblConstr[[#This Row],[Forest]],-1,0)+TblConstr[[#This Row],[Ch_Forest]]</f>
        <v>0</v>
      </c>
      <c r="I76" s="386">
        <f ca="1">OFFSET(TblConstr[[#This Row],[Mountain]],-1,0)+TblConstr[[#This Row],[Ch_Mountain]]</f>
        <v>0</v>
      </c>
      <c r="J76" s="390">
        <f ca="1">OFFSET(TblConstr[[#This Row],[Hill]],-1,0)+TblConstr[[#This Row],[Ch_Hill]]</f>
        <v>0</v>
      </c>
      <c r="K76" s="394">
        <f ca="1">OFFSET(TblConstr[[#This Row],[Swamp]],-1,0)+TblConstr[[#This Row],[Ch_Swamp]]</f>
        <v>0</v>
      </c>
      <c r="L76" s="205">
        <f ca="1">OFFSET(TblConstr[[#This Row],[Cavern]],-1,0)+TblConstr[[#This Row],[Ch_Cavern]]</f>
        <v>0</v>
      </c>
      <c r="M76" s="206">
        <f ca="1">OFFSET(TblConstr[[#This Row],[Water]],-1,0)+TblConstr[[#This Row],[Ch_Water]]</f>
        <v>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45432.749999999825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5612</v>
      </c>
      <c r="AL76" s="210">
        <f ca="1">TblProd[[#This Row],[Lumber]]</f>
        <v>14045</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6" s="210">
        <f ca="1">ROUNDDOWN( MAX(1 - MIN(facs_constr_factor*TblConstr[[#This Row],[Facs -DB]],facs_constr_max) + tech_1_11*TblTech[[#This Row],[11-1]] + tech_6_3_2*TblTech[[#This Row],[6-3]] + tech_5_2_3*TblTech[[#This Row],[5-2]], 1-global_constr_cap) * TblConstr[[#This Row],[RCPA Lumber]],0)</f>
        <v>216</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6" s="210">
        <f ca="1">ROUNDDOWN( MAX(1 - MIN(facs_constr_factor*TblConstr[[#This Row],[Facs DB]],facs_constr_max) + tech_1_11*TblTech[[#This Row],[1-11]] + tech_6_3_2*TblTech[[#This Row],[6-3]] + tech_5_2_3*TblTech[[#This Row],[5-2]], 1-global_constr_cap) * ROUND((TblConstr[[#This Row],[Land]]-250)*0.285 + 87.5 + 0/4.25,0),0)</f>
        <v>216</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1413</v>
      </c>
      <c r="AW76" s="210">
        <f ca="1">ROUND((TblConstr[[#This Row],[Land]]-250 - IF(TblExplore[[#This Row],[Land Bonus]]&lt;&gt;0,20,0))*0.285 + 87.5 + 0/4.25,0)</f>
        <v>216</v>
      </c>
      <c r="AX76" s="165"/>
      <c r="AY76" s="212" cm="1">
        <f t="array" aca="1" ref="AY76" ca="1">IF(TblConstr[[#This Row],[Hour]:[Hour]]&gt;12,OFFSET(TblConstr[[#This Row],[Hom]],-12,0),0)+OFFSET(TblConstr[[#This Row],[Tot Hom]],-1,0)-TblConstr[[#This Row],[Dest Hom]]</f>
        <v>40</v>
      </c>
      <c r="AZ76" s="213" cm="1">
        <f t="array" aca="1" ref="AZ76" ca="1">IF(TblConstr[[#This Row],[Hour]:[Hour]]&gt;12,OFFSET(TblConstr[[#This Row],[Alc]],-12,0),0)+OFFSET(TblConstr[[#This Row],[Tot Alc]],-1,0)-TblConstr[[#This Row],[Dest Alc]]</f>
        <v>275</v>
      </c>
      <c r="BA76" s="213" cm="1">
        <f t="array" aca="1" ref="BA76" ca="1">IF(TblConstr[[#This Row],[Hour]:[Hour]]&gt;12,OFFSET(TblConstr[[#This Row],[Far]],-12,0),0)+OFFSET(TblConstr[[#This Row],[Tot Farm]],-1,0)-TblConstr[[#This Row],[Dest Farm]]</f>
        <v>29</v>
      </c>
      <c r="BB76" s="213" cm="1">
        <f t="array" aca="1" ref="BB76" ca="1">IF(TblConstr[[#This Row],[Hour]:[Hour]]&gt;12,OFFSET(TblConstr[[#This Row],[Smi]],-12,0),0)+OFFSET(TblConstr[[#This Row],[Tot Smi]],-1,0)-TblConstr[[#This Row],[Dest Smi]]</f>
        <v>126</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25</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55</v>
      </c>
      <c r="BJ76" s="392" cm="1">
        <f t="array" aca="1" ref="BJ76" ca="1">IF(TblConstr[[#This Row],[Hour]:[Hour]]&gt;12,OFFSET(TblConstr[[#This Row],[Bar]],-12,0),0)+OFFSET(TblConstr[[#This Row],[Tot Bar]],-1,0)-TblConstr[[#This Row],[Dest Bar]]</f>
        <v>38</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29</v>
      </c>
      <c r="BM76" s="396" cm="1">
        <f t="array" aca="1" ref="BM76" ca="1">IF(TblConstr[[#This Row],[Hour]:[Hour]]&gt;12,OFFSET(TblConstr[[#This Row],[Tem]],-12,0),0)+OFFSET(TblConstr[[#This Row],[Tot Tem]],-1,0)-TblConstr[[#This Row],[Dest Tem]]</f>
        <v>47</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24</v>
      </c>
      <c r="BR76" s="152"/>
      <c r="BS76" s="165"/>
      <c r="BT76" s="210">
        <f ca="1">TblConstr[[#This Row],[Land]]</f>
        <v>700</v>
      </c>
      <c r="BU76" s="217">
        <f ca="1">TblImps[[#This Row],[Time]]</f>
        <v>45432.749999999825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430</v>
      </c>
      <c r="DA76" s="210">
        <f t="shared" ca="1" si="13"/>
        <v>25</v>
      </c>
      <c r="DB76" s="211">
        <f t="shared" ca="1" si="14"/>
        <v>0</v>
      </c>
      <c r="DC76" s="210">
        <f t="shared" ca="1" si="15"/>
        <v>55</v>
      </c>
      <c r="DD76" s="210">
        <f t="shared" ca="1" si="16"/>
        <v>76</v>
      </c>
      <c r="DE76" s="211">
        <f t="shared" ca="1" si="17"/>
        <v>0</v>
      </c>
      <c r="DF76" s="210">
        <f t="shared" ca="1" si="18"/>
        <v>24</v>
      </c>
      <c r="DG76" s="210" cm="1">
        <f t="array" aca="1" ref="DG76" ca="1">INDEX(TblConstr[[Total Plain]:[Total Water]],ROW()-ROW(TblConstr[#Headers]),MATCH("Total "&amp;home_land,TblConstr[[#Headers],[Total Plain]:[Total Water]],0))+TblConstr[[#This Row],[Homes]]</f>
        <v>40</v>
      </c>
      <c r="DH76" s="211">
        <f t="shared" ref="DH76:DH131" ca="1" si="22">SUM(O65:O76)+AY76</f>
        <v>40</v>
      </c>
      <c r="DI76" s="211">
        <f t="shared" ca="1" si="19"/>
        <v>0</v>
      </c>
      <c r="DJ76" s="211">
        <f t="shared" ca="1" si="20"/>
        <v>0</v>
      </c>
    </row>
    <row r="77" spans="1:114" x14ac:dyDescent="0.2">
      <c r="A77" s="178">
        <f>TblRezone[[#This Row],[Hour]]</f>
        <v>74</v>
      </c>
      <c r="B77" s="179">
        <f ca="1">SUM(TblConstr[[#This Row],[Plain]:[Water]])</f>
        <v>0</v>
      </c>
      <c r="C77" s="180">
        <f ca="1">SUM(TblConstr[[#This Row],[Tot Hom]:[Tot Doc]])</f>
        <v>693</v>
      </c>
      <c r="D77" s="180">
        <f t="shared" si="21"/>
        <v>7</v>
      </c>
      <c r="E77" s="181"/>
      <c r="F77" s="62">
        <f ca="1">TblConstr[[#This Row],[Barren]]+TblConstr[[#This Row],[Buildings]]+TblConstr[[#This Row],[Incoming]]</f>
        <v>700</v>
      </c>
      <c r="G77" s="190">
        <f ca="1">OFFSET(TblConstr[[#This Row],[Plain]],-1,0)+TblConstr[[#This Row],[Ch_Plain]]</f>
        <v>0</v>
      </c>
      <c r="H77" s="185">
        <f ca="1">OFFSET(TblConstr[[#This Row],[Forest]],-1,0)+TblConstr[[#This Row],[Ch_Forest]]</f>
        <v>0</v>
      </c>
      <c r="I77" s="385">
        <f ca="1">OFFSET(TblConstr[[#This Row],[Mountain]],-1,0)+TblConstr[[#This Row],[Ch_Mountain]]</f>
        <v>0</v>
      </c>
      <c r="J77" s="389">
        <f ca="1">OFFSET(TblConstr[[#This Row],[Hill]],-1,0)+TblConstr[[#This Row],[Ch_Hill]]</f>
        <v>0</v>
      </c>
      <c r="K77" s="393">
        <f ca="1">OFFSET(TblConstr[[#This Row],[Swamp]],-1,0)+TblConstr[[#This Row],[Ch_Swamp]]</f>
        <v>0</v>
      </c>
      <c r="L77" s="188">
        <f ca="1">OFFSET(TblConstr[[#This Row],[Cavern]],-1,0)+TblConstr[[#This Row],[Ch_Cavern]]</f>
        <v>0</v>
      </c>
      <c r="M77" s="189">
        <f ca="1">OFFSET(TblConstr[[#This Row],[Water]],-1,0)+TblConstr[[#This Row],[Ch_Water]]</f>
        <v>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45432.79166666649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13360</v>
      </c>
      <c r="AL77" s="97">
        <f ca="1">TblProd[[#This Row],[Lumber]]</f>
        <v>15030</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7" s="97">
        <f ca="1">ROUNDDOWN( MAX(1 - MIN(facs_constr_factor*TblConstr[[#This Row],[Facs -DB]],facs_constr_max) + tech_1_11*TblTech[[#This Row],[11-1]] + tech_6_3_2*TblTech[[#This Row],[6-3]] + tech_5_2_3*TblTech[[#This Row],[5-2]], 1-global_constr_cap) * TblConstr[[#This Row],[RCPA Lumber]],0)</f>
        <v>216</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7" s="97">
        <f ca="1">ROUNDDOWN( MAX(1 - MIN(facs_constr_factor*TblConstr[[#This Row],[Facs DB]],facs_constr_max) + tech_1_11*TblTech[[#This Row],[1-11]] + tech_6_3_2*TblTech[[#This Row],[6-3]] + tech_5_2_3*TblTech[[#This Row],[5-2]], 1-global_constr_cap) * ROUND((TblConstr[[#This Row],[Land]]-250)*0.285 + 87.5 + 0/4.25,0),0)</f>
        <v>216</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1413</v>
      </c>
      <c r="AW77" s="97">
        <f ca="1">ROUND((TblConstr[[#This Row],[Land]]-250 - IF(TblExplore[[#This Row],[Land Bonus]]&lt;&gt;0,20,0))*0.285 + 87.5 + 0/4.25,0)</f>
        <v>216</v>
      </c>
      <c r="AX77" s="157"/>
      <c r="AY77" s="191" cm="1">
        <f t="array" aca="1" ref="AY77" ca="1">IF(TblConstr[[#This Row],[Hour]:[Hour]]&gt;12,OFFSET(TblConstr[[#This Row],[Hom]],-12,0),0)+OFFSET(TblConstr[[#This Row],[Tot Hom]],-1,0)-TblConstr[[#This Row],[Dest Hom]]</f>
        <v>40</v>
      </c>
      <c r="AZ77" s="192" cm="1">
        <f t="array" aca="1" ref="AZ77" ca="1">IF(TblConstr[[#This Row],[Hour]:[Hour]]&gt;12,OFFSET(TblConstr[[#This Row],[Alc]],-12,0),0)+OFFSET(TblConstr[[#This Row],[Tot Alc]],-1,0)-TblConstr[[#This Row],[Dest Alc]]</f>
        <v>275</v>
      </c>
      <c r="BA77" s="192" cm="1">
        <f t="array" aca="1" ref="BA77" ca="1">IF(TblConstr[[#This Row],[Hour]:[Hour]]&gt;12,OFFSET(TblConstr[[#This Row],[Far]],-12,0),0)+OFFSET(TblConstr[[#This Row],[Tot Farm]],-1,0)-TblConstr[[#This Row],[Dest Farm]]</f>
        <v>29</v>
      </c>
      <c r="BB77" s="192" cm="1">
        <f t="array" aca="1" ref="BB77" ca="1">IF(TblConstr[[#This Row],[Hour]:[Hour]]&gt;12,OFFSET(TblConstr[[#This Row],[Smi]],-12,0),0)+OFFSET(TblConstr[[#This Row],[Tot Smi]],-1,0)-TblConstr[[#This Row],[Dest Smi]]</f>
        <v>126</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25</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55</v>
      </c>
      <c r="BJ77" s="391" cm="1">
        <f t="array" aca="1" ref="BJ77" ca="1">IF(TblConstr[[#This Row],[Hour]:[Hour]]&gt;12,OFFSET(TblConstr[[#This Row],[Bar]],-12,0),0)+OFFSET(TblConstr[[#This Row],[Tot Bar]],-1,0)-TblConstr[[#This Row],[Dest Bar]]</f>
        <v>43</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29</v>
      </c>
      <c r="BM77" s="395" cm="1">
        <f t="array" aca="1" ref="BM77" ca="1">IF(TblConstr[[#This Row],[Hour]:[Hour]]&gt;12,OFFSET(TblConstr[[#This Row],[Tem]],-12,0),0)+OFFSET(TblConstr[[#This Row],[Tot Tem]],-1,0)-TblConstr[[#This Row],[Dest Tem]]</f>
        <v>47</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24</v>
      </c>
      <c r="BR77" s="145"/>
      <c r="BS77" s="157"/>
      <c r="BT77" s="97">
        <f ca="1">TblConstr[[#This Row],[Land]]</f>
        <v>700</v>
      </c>
      <c r="BU77" s="162">
        <f ca="1">TblImps[[#This Row],[Time]]</f>
        <v>45432.79166666649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430</v>
      </c>
      <c r="DA77" s="97">
        <f t="shared" ca="1" si="13"/>
        <v>25</v>
      </c>
      <c r="DB77" s="45">
        <f t="shared" ca="1" si="14"/>
        <v>0</v>
      </c>
      <c r="DC77" s="97">
        <f t="shared" ca="1" si="15"/>
        <v>55</v>
      </c>
      <c r="DD77" s="97">
        <f t="shared" ca="1" si="16"/>
        <v>76</v>
      </c>
      <c r="DE77" s="45">
        <f t="shared" ca="1" si="17"/>
        <v>0</v>
      </c>
      <c r="DF77" s="97">
        <f t="shared" ca="1" si="18"/>
        <v>24</v>
      </c>
      <c r="DG77" s="97" cm="1">
        <f t="array" aca="1" ref="DG77" ca="1">INDEX(TblConstr[[Total Plain]:[Total Water]],ROW()-ROW(TblConstr[#Headers]),MATCH("Total "&amp;home_land,TblConstr[[#Headers],[Total Plain]:[Total Water]],0))+TblConstr[[#This Row],[Homes]]</f>
        <v>40</v>
      </c>
      <c r="DH77" s="45">
        <f t="shared" ca="1" si="22"/>
        <v>40</v>
      </c>
      <c r="DI77" s="97">
        <f t="shared" ca="1" si="19"/>
        <v>0</v>
      </c>
      <c r="DJ77" s="45">
        <f t="shared" ca="1" si="20"/>
        <v>0</v>
      </c>
    </row>
    <row r="78" spans="1:114" x14ac:dyDescent="0.2">
      <c r="A78" s="178">
        <f>TblRezone[[#This Row],[Hour]]</f>
        <v>75</v>
      </c>
      <c r="B78" s="179">
        <f ca="1">SUM(TblConstr[[#This Row],[Plain]:[Water]])</f>
        <v>0</v>
      </c>
      <c r="C78" s="180">
        <f ca="1">SUM(TblConstr[[#This Row],[Tot Hom]:[Tot Doc]])</f>
        <v>698</v>
      </c>
      <c r="D78" s="180">
        <f t="shared" si="21"/>
        <v>2</v>
      </c>
      <c r="E78" s="181"/>
      <c r="F78" s="62">
        <f ca="1">TblConstr[[#This Row],[Barren]]+TblConstr[[#This Row],[Buildings]]+TblConstr[[#This Row],[Incoming]]</f>
        <v>700</v>
      </c>
      <c r="G78" s="190">
        <f ca="1">OFFSET(TblConstr[[#This Row],[Plain]],-1,0)+TblConstr[[#This Row],[Ch_Plain]]</f>
        <v>0</v>
      </c>
      <c r="H78" s="185">
        <f ca="1">OFFSET(TblConstr[[#This Row],[Forest]],-1,0)+TblConstr[[#This Row],[Ch_Forest]]</f>
        <v>0</v>
      </c>
      <c r="I78" s="385">
        <f ca="1">OFFSET(TblConstr[[#This Row],[Mountain]],-1,0)+TblConstr[[#This Row],[Ch_Mountain]]</f>
        <v>0</v>
      </c>
      <c r="J78" s="389">
        <f ca="1">OFFSET(TblConstr[[#This Row],[Hill]],-1,0)+TblConstr[[#This Row],[Ch_Hill]]</f>
        <v>0</v>
      </c>
      <c r="K78" s="393">
        <f ca="1">OFFSET(TblConstr[[#This Row],[Swamp]],-1,0)+TblConstr[[#This Row],[Ch_Swamp]]</f>
        <v>0</v>
      </c>
      <c r="L78" s="188">
        <f ca="1">OFFSET(TblConstr[[#This Row],[Cavern]],-1,0)+TblConstr[[#This Row],[Ch_Cavern]]</f>
        <v>0</v>
      </c>
      <c r="M78" s="189">
        <f ca="1">OFFSET(TblConstr[[#This Row],[Water]],-1,0)+TblConstr[[#This Row],[Ch_Water]]</f>
        <v>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45432.833333333154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41111</v>
      </c>
      <c r="AL78" s="97">
        <f ca="1">TblProd[[#This Row],[Lumber]]</f>
        <v>16005</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8" s="97">
        <f ca="1">ROUNDDOWN( MAX(1 - MIN(facs_constr_factor*TblConstr[[#This Row],[Facs -DB]],facs_constr_max) + tech_1_11*TblTech[[#This Row],[11-1]] + tech_6_3_2*TblTech[[#This Row],[6-3]] + tech_5_2_3*TblTech[[#This Row],[5-2]], 1-global_constr_cap) * TblConstr[[#This Row],[RCPA Lumber]],0)</f>
        <v>216</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8" s="97">
        <f ca="1">ROUNDDOWN( MAX(1 - MIN(facs_constr_factor*TblConstr[[#This Row],[Facs DB]],facs_constr_max) + tech_1_11*TblTech[[#This Row],[1-11]] + tech_6_3_2*TblTech[[#This Row],[6-3]] + tech_5_2_3*TblTech[[#This Row],[5-2]], 1-global_constr_cap) * ROUND((TblConstr[[#This Row],[Land]]-250)*0.285 + 87.5 + 0/4.25,0),0)</f>
        <v>216</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1413</v>
      </c>
      <c r="AW78" s="97">
        <f ca="1">ROUND((TblConstr[[#This Row],[Land]]-250 - IF(TblExplore[[#This Row],[Land Bonus]]&lt;&gt;0,20,0))*0.285 + 87.5 + 0/4.25,0)</f>
        <v>216</v>
      </c>
      <c r="AX78" s="157"/>
      <c r="AY78" s="191" cm="1">
        <f t="array" aca="1" ref="AY78" ca="1">IF(TblConstr[[#This Row],[Hour]:[Hour]]&gt;12,OFFSET(TblConstr[[#This Row],[Hom]],-12,0),0)+OFFSET(TblConstr[[#This Row],[Tot Hom]],-1,0)-TblConstr[[#This Row],[Dest Hom]]</f>
        <v>40</v>
      </c>
      <c r="AZ78" s="192" cm="1">
        <f t="array" aca="1" ref="AZ78" ca="1">IF(TblConstr[[#This Row],[Hour]:[Hour]]&gt;12,OFFSET(TblConstr[[#This Row],[Alc]],-12,0),0)+OFFSET(TblConstr[[#This Row],[Tot Alc]],-1,0)-TblConstr[[#This Row],[Dest Alc]]</f>
        <v>275</v>
      </c>
      <c r="BA78" s="192" cm="1">
        <f t="array" aca="1" ref="BA78" ca="1">IF(TblConstr[[#This Row],[Hour]:[Hour]]&gt;12,OFFSET(TblConstr[[#This Row],[Far]],-12,0),0)+OFFSET(TblConstr[[#This Row],[Tot Farm]],-1,0)-TblConstr[[#This Row],[Dest Farm]]</f>
        <v>29</v>
      </c>
      <c r="BB78" s="192" cm="1">
        <f t="array" aca="1" ref="BB78" ca="1">IF(TblConstr[[#This Row],[Hour]:[Hour]]&gt;12,OFFSET(TblConstr[[#This Row],[Smi]],-12,0),0)+OFFSET(TblConstr[[#This Row],[Tot Smi]],-1,0)-TblConstr[[#This Row],[Dest Smi]]</f>
        <v>126</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25</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55</v>
      </c>
      <c r="BJ78" s="391" cm="1">
        <f t="array" aca="1" ref="BJ78" ca="1">IF(TblConstr[[#This Row],[Hour]:[Hour]]&gt;12,OFFSET(TblConstr[[#This Row],[Bar]],-12,0),0)+OFFSET(TblConstr[[#This Row],[Tot Bar]],-1,0)-TblConstr[[#This Row],[Dest Bar]]</f>
        <v>48</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29</v>
      </c>
      <c r="BM78" s="395" cm="1">
        <f t="array" aca="1" ref="BM78" ca="1">IF(TblConstr[[#This Row],[Hour]:[Hour]]&gt;12,OFFSET(TblConstr[[#This Row],[Tem]],-12,0),0)+OFFSET(TblConstr[[#This Row],[Tot Tem]],-1,0)-TblConstr[[#This Row],[Dest Tem]]</f>
        <v>47</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24</v>
      </c>
      <c r="BR78" s="145"/>
      <c r="BS78" s="157"/>
      <c r="BT78" s="97">
        <f ca="1">TblConstr[[#This Row],[Land]]</f>
        <v>700</v>
      </c>
      <c r="BU78" s="162">
        <f ca="1">TblImps[[#This Row],[Time]]</f>
        <v>45432.833333333154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430</v>
      </c>
      <c r="DA78" s="97">
        <f t="shared" ca="1" si="13"/>
        <v>25</v>
      </c>
      <c r="DB78" s="45">
        <f t="shared" ca="1" si="14"/>
        <v>0</v>
      </c>
      <c r="DC78" s="97">
        <f t="shared" ca="1" si="15"/>
        <v>55</v>
      </c>
      <c r="DD78" s="97">
        <f t="shared" ca="1" si="16"/>
        <v>76</v>
      </c>
      <c r="DE78" s="45">
        <f t="shared" ca="1" si="17"/>
        <v>0</v>
      </c>
      <c r="DF78" s="97">
        <f t="shared" ca="1" si="18"/>
        <v>24</v>
      </c>
      <c r="DG78" s="97" cm="1">
        <f t="array" aca="1" ref="DG78" ca="1">INDEX(TblConstr[[Total Plain]:[Total Water]],ROW()-ROW(TblConstr[#Headers]),MATCH("Total "&amp;home_land,TblConstr[[#Headers],[Total Plain]:[Total Water]],0))+TblConstr[[#This Row],[Homes]]</f>
        <v>40</v>
      </c>
      <c r="DH78" s="45">
        <f t="shared" ca="1" si="22"/>
        <v>40</v>
      </c>
      <c r="DI78" s="45">
        <f t="shared" ca="1" si="19"/>
        <v>0</v>
      </c>
      <c r="DJ78" s="45">
        <f t="shared" ca="1" si="20"/>
        <v>0</v>
      </c>
    </row>
    <row r="79" spans="1:114" x14ac:dyDescent="0.2">
      <c r="A79" s="178">
        <f>TblRezone[[#This Row],[Hour]]</f>
        <v>76</v>
      </c>
      <c r="B79" s="179">
        <f ca="1">SUM(TblConstr[[#This Row],[Plain]:[Water]])</f>
        <v>0</v>
      </c>
      <c r="C79" s="180">
        <f ca="1">SUM(TblConstr[[#This Row],[Tot Hom]:[Tot Doc]])</f>
        <v>700</v>
      </c>
      <c r="D79" s="180">
        <f t="shared" si="21"/>
        <v>0</v>
      </c>
      <c r="E79" s="181"/>
      <c r="F79" s="62">
        <f ca="1">TblConstr[[#This Row],[Barren]]+TblConstr[[#This Row],[Buildings]]+TblConstr[[#This Row],[Incoming]]</f>
        <v>700</v>
      </c>
      <c r="G79" s="190">
        <f ca="1">OFFSET(TblConstr[[#This Row],[Plain]],-1,0)+TblConstr[[#This Row],[Ch_Plain]]</f>
        <v>0</v>
      </c>
      <c r="H79" s="185">
        <f ca="1">OFFSET(TblConstr[[#This Row],[Forest]],-1,0)+TblConstr[[#This Row],[Ch_Forest]]</f>
        <v>0</v>
      </c>
      <c r="I79" s="385">
        <f ca="1">OFFSET(TblConstr[[#This Row],[Mountain]],-1,0)+TblConstr[[#This Row],[Ch_Mountain]]</f>
        <v>0</v>
      </c>
      <c r="J79" s="389">
        <f ca="1">OFFSET(TblConstr[[#This Row],[Hill]],-1,0)+TblConstr[[#This Row],[Ch_Hill]]</f>
        <v>0</v>
      </c>
      <c r="K79" s="393">
        <f ca="1">OFFSET(TblConstr[[#This Row],[Swamp]],-1,0)+TblConstr[[#This Row],[Ch_Swamp]]</f>
        <v>0</v>
      </c>
      <c r="L79" s="188">
        <f ca="1">OFFSET(TblConstr[[#This Row],[Cavern]],-1,0)+TblConstr[[#This Row],[Ch_Cavern]]</f>
        <v>0</v>
      </c>
      <c r="M79" s="189">
        <f ca="1">OFFSET(TblConstr[[#This Row],[Water]],-1,0)+TblConstr[[#This Row],[Ch_Water]]</f>
        <v>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45432.874999999818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68865</v>
      </c>
      <c r="AL79" s="97">
        <f ca="1">TblProd[[#This Row],[Lumber]]</f>
        <v>16970</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9" s="97">
        <f ca="1">ROUNDDOWN( MAX(1 - MIN(facs_constr_factor*TblConstr[[#This Row],[Facs -DB]],facs_constr_max) + tech_1_11*TblTech[[#This Row],[11-1]] + tech_6_3_2*TblTech[[#This Row],[6-3]] + tech_5_2_3*TblTech[[#This Row],[5-2]], 1-global_constr_cap) * TblConstr[[#This Row],[RCPA Lumber]],0)</f>
        <v>216</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9" s="97">
        <f ca="1">ROUNDDOWN( MAX(1 - MIN(facs_constr_factor*TblConstr[[#This Row],[Facs DB]],facs_constr_max) + tech_1_11*TblTech[[#This Row],[1-11]] + tech_6_3_2*TblTech[[#This Row],[6-3]] + tech_5_2_3*TblTech[[#This Row],[5-2]], 1-global_constr_cap) * ROUND((TblConstr[[#This Row],[Land]]-250)*0.285 + 87.5 + 0/4.25,0),0)</f>
        <v>216</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1413</v>
      </c>
      <c r="AW79" s="97">
        <f ca="1">ROUND((TblConstr[[#This Row],[Land]]-250 - IF(TblExplore[[#This Row],[Land Bonus]]&lt;&gt;0,20,0))*0.285 + 87.5 + 0/4.25,0)</f>
        <v>216</v>
      </c>
      <c r="AX79" s="157"/>
      <c r="AY79" s="191" cm="1">
        <f t="array" aca="1" ref="AY79" ca="1">IF(TblConstr[[#This Row],[Hour]:[Hour]]&gt;12,OFFSET(TblConstr[[#This Row],[Hom]],-12,0),0)+OFFSET(TblConstr[[#This Row],[Tot Hom]],-1,0)-TblConstr[[#This Row],[Dest Hom]]</f>
        <v>40</v>
      </c>
      <c r="AZ79" s="192" cm="1">
        <f t="array" aca="1" ref="AZ79" ca="1">IF(TblConstr[[#This Row],[Hour]:[Hour]]&gt;12,OFFSET(TblConstr[[#This Row],[Alc]],-12,0),0)+OFFSET(TblConstr[[#This Row],[Tot Alc]],-1,0)-TblConstr[[#This Row],[Dest Alc]]</f>
        <v>275</v>
      </c>
      <c r="BA79" s="192" cm="1">
        <f t="array" aca="1" ref="BA79" ca="1">IF(TblConstr[[#This Row],[Hour]:[Hour]]&gt;12,OFFSET(TblConstr[[#This Row],[Far]],-12,0),0)+OFFSET(TblConstr[[#This Row],[Tot Farm]],-1,0)-TblConstr[[#This Row],[Dest Farm]]</f>
        <v>29</v>
      </c>
      <c r="BB79" s="192" cm="1">
        <f t="array" aca="1" ref="BB79" ca="1">IF(TblConstr[[#This Row],[Hour]:[Hour]]&gt;12,OFFSET(TblConstr[[#This Row],[Smi]],-12,0),0)+OFFSET(TblConstr[[#This Row],[Tot Smi]],-1,0)-TblConstr[[#This Row],[Dest Smi]]</f>
        <v>126</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25</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55</v>
      </c>
      <c r="BJ79" s="391" cm="1">
        <f t="array" aca="1" ref="BJ79" ca="1">IF(TblConstr[[#This Row],[Hour]:[Hour]]&gt;12,OFFSET(TblConstr[[#This Row],[Bar]],-12,0),0)+OFFSET(TblConstr[[#This Row],[Tot Bar]],-1,0)-TblConstr[[#This Row],[Dest Bar]]</f>
        <v>50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29</v>
      </c>
      <c r="BM79" s="395" cm="1">
        <f t="array" aca="1" ref="BM79" ca="1">IF(TblConstr[[#This Row],[Hour]:[Hour]]&gt;12,OFFSET(TblConstr[[#This Row],[Tem]],-12,0),0)+OFFSET(TblConstr[[#This Row],[Tot Tem]],-1,0)-TblConstr[[#This Row],[Dest Tem]]</f>
        <v>47</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24</v>
      </c>
      <c r="BR79" s="145"/>
      <c r="BS79" s="157"/>
      <c r="BT79" s="97">
        <f ca="1">TblConstr[[#This Row],[Land]]</f>
        <v>700</v>
      </c>
      <c r="BU79" s="162">
        <f ca="1">TblImps[[#This Row],[Time]]</f>
        <v>45432.874999999818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430</v>
      </c>
      <c r="DA79" s="97">
        <f t="shared" ca="1" si="13"/>
        <v>25</v>
      </c>
      <c r="DB79" s="45">
        <f t="shared" ca="1" si="14"/>
        <v>0</v>
      </c>
      <c r="DC79" s="97">
        <f t="shared" ca="1" si="15"/>
        <v>55</v>
      </c>
      <c r="DD79" s="97">
        <f t="shared" ca="1" si="16"/>
        <v>76</v>
      </c>
      <c r="DE79" s="45">
        <f t="shared" ca="1" si="17"/>
        <v>0</v>
      </c>
      <c r="DF79" s="97">
        <f t="shared" ca="1" si="18"/>
        <v>24</v>
      </c>
      <c r="DG79" s="97" cm="1">
        <f t="array" aca="1" ref="DG79" ca="1">INDEX(TblConstr[[Total Plain]:[Total Water]],ROW()-ROW(TblConstr[#Headers]),MATCH("Total "&amp;home_land,TblConstr[[#Headers],[Total Plain]:[Total Water]],0))+TblConstr[[#This Row],[Homes]]</f>
        <v>40</v>
      </c>
      <c r="DH79" s="45">
        <f t="shared" ca="1" si="22"/>
        <v>40</v>
      </c>
      <c r="DI79" s="45">
        <f t="shared" ca="1" si="19"/>
        <v>0</v>
      </c>
      <c r="DJ79" s="45">
        <f t="shared" ca="1" si="20"/>
        <v>0</v>
      </c>
    </row>
    <row r="80" spans="1:114" x14ac:dyDescent="0.2">
      <c r="A80" s="178">
        <f>TblRezone[[#This Row],[Hour]]</f>
        <v>77</v>
      </c>
      <c r="B80" s="179">
        <f ca="1">SUM(TblConstr[[#This Row],[Plain]:[Water]])</f>
        <v>0</v>
      </c>
      <c r="C80" s="180">
        <f ca="1">SUM(TblConstr[[#This Row],[Tot Hom]:[Tot Doc]])</f>
        <v>700</v>
      </c>
      <c r="D80" s="180">
        <f t="shared" si="21"/>
        <v>0</v>
      </c>
      <c r="E80" s="181"/>
      <c r="F80" s="62">
        <f ca="1">TblConstr[[#This Row],[Barren]]+TblConstr[[#This Row],[Buildings]]+TblConstr[[#This Row],[Incoming]]</f>
        <v>700</v>
      </c>
      <c r="G80" s="190">
        <f ca="1">OFFSET(TblConstr[[#This Row],[Plain]],-1,0)+TblConstr[[#This Row],[Ch_Plain]]</f>
        <v>0</v>
      </c>
      <c r="H80" s="185">
        <f ca="1">OFFSET(TblConstr[[#This Row],[Forest]],-1,0)+TblConstr[[#This Row],[Ch_Forest]]</f>
        <v>0</v>
      </c>
      <c r="I80" s="385">
        <f ca="1">OFFSET(TblConstr[[#This Row],[Mountain]],-1,0)+TblConstr[[#This Row],[Ch_Mountain]]</f>
        <v>0</v>
      </c>
      <c r="J80" s="389">
        <f ca="1">OFFSET(TblConstr[[#This Row],[Hill]],-1,0)+TblConstr[[#This Row],[Ch_Hill]]</f>
        <v>0</v>
      </c>
      <c r="K80" s="393">
        <f ca="1">OFFSET(TblConstr[[#This Row],[Swamp]],-1,0)+TblConstr[[#This Row],[Ch_Swamp]]</f>
        <v>0</v>
      </c>
      <c r="L80" s="188">
        <f ca="1">OFFSET(TblConstr[[#This Row],[Cavern]],-1,0)+TblConstr[[#This Row],[Ch_Cavern]]</f>
        <v>0</v>
      </c>
      <c r="M80" s="189">
        <f ca="1">OFFSET(TblConstr[[#This Row],[Water]],-1,0)+TblConstr[[#This Row],[Ch_Water]]</f>
        <v>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45432.916666666482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153735</v>
      </c>
      <c r="AL80" s="97">
        <f ca="1">TblProd[[#This Row],[Lumber]]</f>
        <v>17925</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0" s="97">
        <f ca="1">ROUNDDOWN( MAX(1 - MIN(facs_constr_factor*TblConstr[[#This Row],[Facs -DB]],facs_constr_max) + tech_1_11*TblTech[[#This Row],[11-1]] + tech_6_3_2*TblTech[[#This Row],[6-3]] + tech_5_2_3*TblTech[[#This Row],[5-2]], 1-global_constr_cap) * TblConstr[[#This Row],[RCPA Lumber]],0)</f>
        <v>216</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0" s="97">
        <f ca="1">ROUNDDOWN( MAX(1 - MIN(facs_constr_factor*TblConstr[[#This Row],[Facs DB]],facs_constr_max) + tech_1_11*TblTech[[#This Row],[1-11]] + tech_6_3_2*TblTech[[#This Row],[6-3]] + tech_5_2_3*TblTech[[#This Row],[5-2]], 1-global_constr_cap) * ROUND((TblConstr[[#This Row],[Land]]-250)*0.285 + 87.5 + 0/4.25,0),0)</f>
        <v>216</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1413</v>
      </c>
      <c r="AW80" s="97">
        <f ca="1">ROUND((TblConstr[[#This Row],[Land]]-250 - IF(TblExplore[[#This Row],[Land Bonus]]&lt;&gt;0,20,0))*0.285 + 87.5 + 0/4.25,0)</f>
        <v>216</v>
      </c>
      <c r="AX80" s="157"/>
      <c r="AY80" s="191" cm="1">
        <f t="array" aca="1" ref="AY80" ca="1">IF(TblConstr[[#This Row],[Hour]:[Hour]]&gt;12,OFFSET(TblConstr[[#This Row],[Hom]],-12,0),0)+OFFSET(TblConstr[[#This Row],[Tot Hom]],-1,0)-TblConstr[[#This Row],[Dest Hom]]</f>
        <v>40</v>
      </c>
      <c r="AZ80" s="192" cm="1">
        <f t="array" aca="1" ref="AZ80" ca="1">IF(TblConstr[[#This Row],[Hour]:[Hour]]&gt;12,OFFSET(TblConstr[[#This Row],[Alc]],-12,0),0)+OFFSET(TblConstr[[#This Row],[Tot Alc]],-1,0)-TblConstr[[#This Row],[Dest Alc]]</f>
        <v>275</v>
      </c>
      <c r="BA80" s="192" cm="1">
        <f t="array" aca="1" ref="BA80" ca="1">IF(TblConstr[[#This Row],[Hour]:[Hour]]&gt;12,OFFSET(TblConstr[[#This Row],[Far]],-12,0),0)+OFFSET(TblConstr[[#This Row],[Tot Farm]],-1,0)-TblConstr[[#This Row],[Dest Farm]]</f>
        <v>29</v>
      </c>
      <c r="BB80" s="192" cm="1">
        <f t="array" aca="1" ref="BB80" ca="1">IF(TblConstr[[#This Row],[Hour]:[Hour]]&gt;12,OFFSET(TblConstr[[#This Row],[Smi]],-12,0),0)+OFFSET(TblConstr[[#This Row],[Tot Smi]],-1,0)-TblConstr[[#This Row],[Dest Smi]]</f>
        <v>126</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25</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55</v>
      </c>
      <c r="BJ80" s="391" cm="1">
        <f t="array" aca="1" ref="BJ80" ca="1">IF(TblConstr[[#This Row],[Hour]:[Hour]]&gt;12,OFFSET(TblConstr[[#This Row],[Bar]],-12,0),0)+OFFSET(TblConstr[[#This Row],[Tot Bar]],-1,0)-TblConstr[[#This Row],[Dest Bar]]</f>
        <v>50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29</v>
      </c>
      <c r="BM80" s="395" cm="1">
        <f t="array" aca="1" ref="BM80" ca="1">IF(TblConstr[[#This Row],[Hour]:[Hour]]&gt;12,OFFSET(TblConstr[[#This Row],[Tem]],-12,0),0)+OFFSET(TblConstr[[#This Row],[Tot Tem]],-1,0)-TblConstr[[#This Row],[Dest Tem]]</f>
        <v>47</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24</v>
      </c>
      <c r="BR80" s="145"/>
      <c r="BS80" s="157"/>
      <c r="BT80" s="97">
        <f ca="1">TblConstr[[#This Row],[Land]]</f>
        <v>700</v>
      </c>
      <c r="BU80" s="162">
        <f ca="1">TblImps[[#This Row],[Time]]</f>
        <v>45432.916666666482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430</v>
      </c>
      <c r="DA80" s="97">
        <f t="shared" ref="DA80:DA111" ca="1" si="24">H80+SUM(T69:U80)+SUM(BD80:BE80)</f>
        <v>25</v>
      </c>
      <c r="DB80" s="45">
        <f t="shared" ref="DB80:DB111" ca="1" si="25">I80+SUM(V69:W80)+SUM(BF80:BG80)</f>
        <v>0</v>
      </c>
      <c r="DC80" s="97">
        <f t="shared" ref="DC80:DC111" ca="1" si="26">J80+SUM(X69:Y80)+SUM(BH80:BI80)</f>
        <v>55</v>
      </c>
      <c r="DD80" s="97">
        <f t="shared" ref="DD80:DD111" ca="1" si="27">K80+SUM(AB69:AD80)+SUM(BL80:BN80)</f>
        <v>76</v>
      </c>
      <c r="DE80" s="45">
        <f t="shared" ref="DE80:DE111" ca="1" si="28">L80+SUM(AE69:AE80)+BO80</f>
        <v>0</v>
      </c>
      <c r="DF80" s="97">
        <f t="shared" ref="DF80:DF111" ca="1" si="29">M80+SUM(AG69:AG80)+BQ80</f>
        <v>24</v>
      </c>
      <c r="DG80" s="97" cm="1">
        <f t="array" aca="1" ref="DG80" ca="1">INDEX(TblConstr[[Total Plain]:[Total Water]],ROW()-ROW(TblConstr[#Headers]),MATCH("Total "&amp;home_land,TblConstr[[#Headers],[Total Plain]:[Total Water]],0))+TblConstr[[#This Row],[Homes]]</f>
        <v>40</v>
      </c>
      <c r="DH80" s="45">
        <f t="shared" ca="1" si="22"/>
        <v>40</v>
      </c>
      <c r="DI80" s="45">
        <f t="shared" ca="1" si="19"/>
        <v>0</v>
      </c>
      <c r="DJ80" s="45">
        <f t="shared" ca="1" si="20"/>
        <v>0</v>
      </c>
    </row>
    <row r="81" spans="1:114" x14ac:dyDescent="0.2">
      <c r="A81" s="178">
        <f>TblRezone[[#This Row],[Hour]]</f>
        <v>78</v>
      </c>
      <c r="B81" s="179">
        <f ca="1">SUM(TblConstr[[#This Row],[Plain]:[Water]])</f>
        <v>0</v>
      </c>
      <c r="C81" s="180">
        <f ca="1">SUM(TblConstr[[#This Row],[Tot Hom]:[Tot Doc]])</f>
        <v>700</v>
      </c>
      <c r="D81" s="180">
        <f t="shared" si="21"/>
        <v>0</v>
      </c>
      <c r="E81" s="181"/>
      <c r="F81" s="62">
        <f ca="1">TblConstr[[#This Row],[Barren]]+TblConstr[[#This Row],[Buildings]]+TblConstr[[#This Row],[Incoming]]</f>
        <v>700</v>
      </c>
      <c r="G81" s="190">
        <f ca="1">OFFSET(TblConstr[[#This Row],[Plain]],-1,0)+TblConstr[[#This Row],[Ch_Plain]]</f>
        <v>0</v>
      </c>
      <c r="H81" s="185">
        <f ca="1">OFFSET(TblConstr[[#This Row],[Forest]],-1,0)+TblConstr[[#This Row],[Ch_Forest]]</f>
        <v>0</v>
      </c>
      <c r="I81" s="385">
        <f ca="1">OFFSET(TblConstr[[#This Row],[Mountain]],-1,0)+TblConstr[[#This Row],[Ch_Mountain]]</f>
        <v>0</v>
      </c>
      <c r="J81" s="389">
        <f ca="1">OFFSET(TblConstr[[#This Row],[Hill]],-1,0)+TblConstr[[#This Row],[Ch_Hill]]</f>
        <v>0</v>
      </c>
      <c r="K81" s="393">
        <f ca="1">OFFSET(TblConstr[[#This Row],[Swamp]],-1,0)+TblConstr[[#This Row],[Ch_Swamp]]</f>
        <v>0</v>
      </c>
      <c r="L81" s="188">
        <f ca="1">OFFSET(TblConstr[[#This Row],[Cavern]],-1,0)+TblConstr[[#This Row],[Ch_Cavern]]</f>
        <v>0</v>
      </c>
      <c r="M81" s="189">
        <f ca="1">OFFSET(TblConstr[[#This Row],[Water]],-1,0)+TblConstr[[#This Row],[Ch_Water]]</f>
        <v>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45432.958333333147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199845</v>
      </c>
      <c r="AL81" s="97">
        <f ca="1">TblProd[[#This Row],[Lumber]]</f>
        <v>18871</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1" s="97">
        <f ca="1">ROUNDDOWN( MAX(1 - MIN(facs_constr_factor*TblConstr[[#This Row],[Facs -DB]],facs_constr_max) + tech_1_11*TblTech[[#This Row],[11-1]] + tech_6_3_2*TblTech[[#This Row],[6-3]] + tech_5_2_3*TblTech[[#This Row],[5-2]], 1-global_constr_cap) * TblConstr[[#This Row],[RCPA Lumber]],0)</f>
        <v>216</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1" s="97">
        <f ca="1">ROUNDDOWN( MAX(1 - MIN(facs_constr_factor*TblConstr[[#This Row],[Facs DB]],facs_constr_max) + tech_1_11*TblTech[[#This Row],[1-11]] + tech_6_3_2*TblTech[[#This Row],[6-3]] + tech_5_2_3*TblTech[[#This Row],[5-2]], 1-global_constr_cap) * ROUND((TblConstr[[#This Row],[Land]]-250)*0.285 + 87.5 + 0/4.25,0),0)</f>
        <v>216</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1413</v>
      </c>
      <c r="AW81" s="97">
        <f ca="1">ROUND((TblConstr[[#This Row],[Land]]-250 - IF(TblExplore[[#This Row],[Land Bonus]]&lt;&gt;0,20,0))*0.285 + 87.5 + 0/4.25,0)</f>
        <v>216</v>
      </c>
      <c r="AX81" s="157"/>
      <c r="AY81" s="191" cm="1">
        <f t="array" aca="1" ref="AY81" ca="1">IF(TblConstr[[#This Row],[Hour]:[Hour]]&gt;12,OFFSET(TblConstr[[#This Row],[Hom]],-12,0),0)+OFFSET(TblConstr[[#This Row],[Tot Hom]],-1,0)-TblConstr[[#This Row],[Dest Hom]]</f>
        <v>40</v>
      </c>
      <c r="AZ81" s="192" cm="1">
        <f t="array" aca="1" ref="AZ81" ca="1">IF(TblConstr[[#This Row],[Hour]:[Hour]]&gt;12,OFFSET(TblConstr[[#This Row],[Alc]],-12,0),0)+OFFSET(TblConstr[[#This Row],[Tot Alc]],-1,0)-TblConstr[[#This Row],[Dest Alc]]</f>
        <v>275</v>
      </c>
      <c r="BA81" s="192" cm="1">
        <f t="array" aca="1" ref="BA81" ca="1">IF(TblConstr[[#This Row],[Hour]:[Hour]]&gt;12,OFFSET(TblConstr[[#This Row],[Far]],-12,0),0)+OFFSET(TblConstr[[#This Row],[Tot Farm]],-1,0)-TblConstr[[#This Row],[Dest Farm]]</f>
        <v>29</v>
      </c>
      <c r="BB81" s="192" cm="1">
        <f t="array" aca="1" ref="BB81" ca="1">IF(TblConstr[[#This Row],[Hour]:[Hour]]&gt;12,OFFSET(TblConstr[[#This Row],[Smi]],-12,0),0)+OFFSET(TblConstr[[#This Row],[Tot Smi]],-1,0)-TblConstr[[#This Row],[Dest Smi]]</f>
        <v>126</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25</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55</v>
      </c>
      <c r="BJ81" s="391" cm="1">
        <f t="array" aca="1" ref="BJ81" ca="1">IF(TblConstr[[#This Row],[Hour]:[Hour]]&gt;12,OFFSET(TblConstr[[#This Row],[Bar]],-12,0),0)+OFFSET(TblConstr[[#This Row],[Tot Bar]],-1,0)-TblConstr[[#This Row],[Dest Bar]]</f>
        <v>50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29</v>
      </c>
      <c r="BM81" s="395" cm="1">
        <f t="array" aca="1" ref="BM81" ca="1">IF(TblConstr[[#This Row],[Hour]:[Hour]]&gt;12,OFFSET(TblConstr[[#This Row],[Tem]],-12,0),0)+OFFSET(TblConstr[[#This Row],[Tot Tem]],-1,0)-TblConstr[[#This Row],[Dest Tem]]</f>
        <v>47</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24</v>
      </c>
      <c r="BR81" s="145"/>
      <c r="BS81" s="157"/>
      <c r="BT81" s="97">
        <f ca="1">TblConstr[[#This Row],[Land]]</f>
        <v>700</v>
      </c>
      <c r="BU81" s="162">
        <f ca="1">TblImps[[#This Row],[Time]]</f>
        <v>45432.958333333147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430</v>
      </c>
      <c r="DA81" s="97">
        <f t="shared" ca="1" si="24"/>
        <v>25</v>
      </c>
      <c r="DB81" s="45">
        <f t="shared" ca="1" si="25"/>
        <v>0</v>
      </c>
      <c r="DC81" s="97">
        <f t="shared" ca="1" si="26"/>
        <v>55</v>
      </c>
      <c r="DD81" s="97">
        <f t="shared" ca="1" si="27"/>
        <v>76</v>
      </c>
      <c r="DE81" s="45">
        <f t="shared" ca="1" si="28"/>
        <v>0</v>
      </c>
      <c r="DF81" s="97">
        <f t="shared" ca="1" si="29"/>
        <v>24</v>
      </c>
      <c r="DG81" s="97" cm="1">
        <f t="array" aca="1" ref="DG81" ca="1">INDEX(TblConstr[[Total Plain]:[Total Water]],ROW()-ROW(TblConstr[#Headers]),MATCH("Total "&amp;home_land,TblConstr[[#Headers],[Total Plain]:[Total Water]],0))+TblConstr[[#This Row],[Homes]]</f>
        <v>40</v>
      </c>
      <c r="DH81" s="45">
        <f t="shared" ca="1" si="22"/>
        <v>40</v>
      </c>
      <c r="DI81" s="45">
        <f t="shared" ca="1" si="19"/>
        <v>0</v>
      </c>
      <c r="DJ81" s="45">
        <f t="shared" ca="1" si="20"/>
        <v>0</v>
      </c>
    </row>
    <row r="82" spans="1:114" x14ac:dyDescent="0.2">
      <c r="A82" s="178">
        <f>TblRezone[[#This Row],[Hour]]</f>
        <v>79</v>
      </c>
      <c r="B82" s="179">
        <f ca="1">SUM(TblConstr[[#This Row],[Plain]:[Water]])</f>
        <v>0</v>
      </c>
      <c r="C82" s="180">
        <f ca="1">SUM(TblConstr[[#This Row],[Tot Hom]:[Tot Doc]])</f>
        <v>700</v>
      </c>
      <c r="D82" s="180">
        <f t="shared" si="21"/>
        <v>0</v>
      </c>
      <c r="E82" s="181"/>
      <c r="F82" s="62">
        <f ca="1">TblConstr[[#This Row],[Barren]]+TblConstr[[#This Row],[Buildings]]+TblConstr[[#This Row],[Incoming]]</f>
        <v>700</v>
      </c>
      <c r="G82" s="190">
        <f ca="1">OFFSET(TblConstr[[#This Row],[Plain]],-1,0)+TblConstr[[#This Row],[Ch_Plain]]</f>
        <v>0</v>
      </c>
      <c r="H82" s="185">
        <f ca="1">OFFSET(TblConstr[[#This Row],[Forest]],-1,0)+TblConstr[[#This Row],[Ch_Forest]]</f>
        <v>0</v>
      </c>
      <c r="I82" s="385">
        <f ca="1">OFFSET(TblConstr[[#This Row],[Mountain]],-1,0)+TblConstr[[#This Row],[Ch_Mountain]]</f>
        <v>0</v>
      </c>
      <c r="J82" s="389">
        <f ca="1">OFFSET(TblConstr[[#This Row],[Hill]],-1,0)+TblConstr[[#This Row],[Ch_Hill]]</f>
        <v>0</v>
      </c>
      <c r="K82" s="393">
        <f ca="1">OFFSET(TblConstr[[#This Row],[Swamp]],-1,0)+TblConstr[[#This Row],[Ch_Swamp]]</f>
        <v>0</v>
      </c>
      <c r="L82" s="188">
        <f ca="1">OFFSET(TblConstr[[#This Row],[Cavern]],-1,0)+TblConstr[[#This Row],[Ch_Cavern]]</f>
        <v>0</v>
      </c>
      <c r="M82" s="189">
        <f ca="1">OFFSET(TblConstr[[#This Row],[Water]],-1,0)+TblConstr[[#This Row],[Ch_Water]]</f>
        <v>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45432.999999999811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245670</v>
      </c>
      <c r="AL82" s="97">
        <f ca="1">TblProd[[#This Row],[Lumber]]</f>
        <v>19807</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2" s="97">
        <f ca="1">ROUNDDOWN( MAX(1 - MIN(facs_constr_factor*TblConstr[[#This Row],[Facs -DB]],facs_constr_max) + tech_1_11*TblTech[[#This Row],[11-1]] + tech_6_3_2*TblTech[[#This Row],[6-3]] + tech_5_2_3*TblTech[[#This Row],[5-2]], 1-global_constr_cap) * TblConstr[[#This Row],[RCPA Lumber]],0)</f>
        <v>216</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2" s="97">
        <f ca="1">ROUNDDOWN( MAX(1 - MIN(facs_constr_factor*TblConstr[[#This Row],[Facs DB]],facs_constr_max) + tech_1_11*TblTech[[#This Row],[1-11]] + tech_6_3_2*TblTech[[#This Row],[6-3]] + tech_5_2_3*TblTech[[#This Row],[5-2]], 1-global_constr_cap) * ROUND((TblConstr[[#This Row],[Land]]-250)*0.285 + 87.5 + 0/4.25,0),0)</f>
        <v>216</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1413</v>
      </c>
      <c r="AW82" s="97">
        <f ca="1">ROUND((TblConstr[[#This Row],[Land]]-250 - IF(TblExplore[[#This Row],[Land Bonus]]&lt;&gt;0,20,0))*0.285 + 87.5 + 0/4.25,0)</f>
        <v>216</v>
      </c>
      <c r="AX82" s="157"/>
      <c r="AY82" s="191" cm="1">
        <f t="array" aca="1" ref="AY82" ca="1">IF(TblConstr[[#This Row],[Hour]:[Hour]]&gt;12,OFFSET(TblConstr[[#This Row],[Hom]],-12,0),0)+OFFSET(TblConstr[[#This Row],[Tot Hom]],-1,0)-TblConstr[[#This Row],[Dest Hom]]</f>
        <v>40</v>
      </c>
      <c r="AZ82" s="192" cm="1">
        <f t="array" aca="1" ref="AZ82" ca="1">IF(TblConstr[[#This Row],[Hour]:[Hour]]&gt;12,OFFSET(TblConstr[[#This Row],[Alc]],-12,0),0)+OFFSET(TblConstr[[#This Row],[Tot Alc]],-1,0)-TblConstr[[#This Row],[Dest Alc]]</f>
        <v>275</v>
      </c>
      <c r="BA82" s="192" cm="1">
        <f t="array" aca="1" ref="BA82" ca="1">IF(TblConstr[[#This Row],[Hour]:[Hour]]&gt;12,OFFSET(TblConstr[[#This Row],[Far]],-12,0),0)+OFFSET(TblConstr[[#This Row],[Tot Farm]],-1,0)-TblConstr[[#This Row],[Dest Farm]]</f>
        <v>29</v>
      </c>
      <c r="BB82" s="192" cm="1">
        <f t="array" aca="1" ref="BB82" ca="1">IF(TblConstr[[#This Row],[Hour]:[Hour]]&gt;12,OFFSET(TblConstr[[#This Row],[Smi]],-12,0),0)+OFFSET(TblConstr[[#This Row],[Tot Smi]],-1,0)-TblConstr[[#This Row],[Dest Smi]]</f>
        <v>126</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25</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55</v>
      </c>
      <c r="BJ82" s="391" cm="1">
        <f t="array" aca="1" ref="BJ82" ca="1">IF(TblConstr[[#This Row],[Hour]:[Hour]]&gt;12,OFFSET(TblConstr[[#This Row],[Bar]],-12,0),0)+OFFSET(TblConstr[[#This Row],[Tot Bar]],-1,0)-TblConstr[[#This Row],[Dest Bar]]</f>
        <v>50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29</v>
      </c>
      <c r="BM82" s="395" cm="1">
        <f t="array" aca="1" ref="BM82" ca="1">IF(TblConstr[[#This Row],[Hour]:[Hour]]&gt;12,OFFSET(TblConstr[[#This Row],[Tem]],-12,0),0)+OFFSET(TblConstr[[#This Row],[Tot Tem]],-1,0)-TblConstr[[#This Row],[Dest Tem]]</f>
        <v>47</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24</v>
      </c>
      <c r="BR82" s="145"/>
      <c r="BS82" s="157"/>
      <c r="BT82" s="97">
        <f ca="1">TblConstr[[#This Row],[Land]]</f>
        <v>700</v>
      </c>
      <c r="BU82" s="162">
        <f ca="1">TblImps[[#This Row],[Time]]</f>
        <v>45432.999999999811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430</v>
      </c>
      <c r="DA82" s="97">
        <f t="shared" ca="1" si="24"/>
        <v>25</v>
      </c>
      <c r="DB82" s="45">
        <f t="shared" ca="1" si="25"/>
        <v>0</v>
      </c>
      <c r="DC82" s="97">
        <f t="shared" ca="1" si="26"/>
        <v>55</v>
      </c>
      <c r="DD82" s="97">
        <f t="shared" ca="1" si="27"/>
        <v>76</v>
      </c>
      <c r="DE82" s="45">
        <f t="shared" ca="1" si="28"/>
        <v>0</v>
      </c>
      <c r="DF82" s="97">
        <f t="shared" ca="1" si="29"/>
        <v>24</v>
      </c>
      <c r="DG82" s="97" cm="1">
        <f t="array" aca="1" ref="DG82" ca="1">INDEX(TblConstr[[Total Plain]:[Total Water]],ROW()-ROW(TblConstr[#Headers]),MATCH("Total "&amp;home_land,TblConstr[[#Headers],[Total Plain]:[Total Water]],0))+TblConstr[[#This Row],[Homes]]</f>
        <v>40</v>
      </c>
      <c r="DH82" s="45">
        <f t="shared" ca="1" si="22"/>
        <v>40</v>
      </c>
      <c r="DI82" s="45">
        <f t="shared" ca="1" si="19"/>
        <v>0</v>
      </c>
      <c r="DJ82" s="45">
        <f t="shared" ca="1" si="20"/>
        <v>0</v>
      </c>
    </row>
    <row r="83" spans="1:114" x14ac:dyDescent="0.2">
      <c r="A83" s="178">
        <f>TblRezone[[#This Row],[Hour]]</f>
        <v>80</v>
      </c>
      <c r="B83" s="179">
        <f ca="1">SUM(TblConstr[[#This Row],[Plain]:[Water]])</f>
        <v>0</v>
      </c>
      <c r="C83" s="180">
        <f ca="1">SUM(TblConstr[[#This Row],[Tot Hom]:[Tot Doc]])</f>
        <v>700</v>
      </c>
      <c r="D83" s="180">
        <f t="shared" si="21"/>
        <v>0</v>
      </c>
      <c r="E83" s="181"/>
      <c r="F83" s="62">
        <f ca="1">TblConstr[[#This Row],[Barren]]+TblConstr[[#This Row],[Buildings]]+TblConstr[[#This Row],[Incoming]]</f>
        <v>700</v>
      </c>
      <c r="G83" s="190">
        <f ca="1">OFFSET(TblConstr[[#This Row],[Plain]],-1,0)+TblConstr[[#This Row],[Ch_Plain]]</f>
        <v>0</v>
      </c>
      <c r="H83" s="185">
        <f ca="1">OFFSET(TblConstr[[#This Row],[Forest]],-1,0)+TblConstr[[#This Row],[Ch_Forest]]</f>
        <v>0</v>
      </c>
      <c r="I83" s="385">
        <f ca="1">OFFSET(TblConstr[[#This Row],[Mountain]],-1,0)+TblConstr[[#This Row],[Ch_Mountain]]</f>
        <v>0</v>
      </c>
      <c r="J83" s="389">
        <f ca="1">OFFSET(TblConstr[[#This Row],[Hill]],-1,0)+TblConstr[[#This Row],[Ch_Hill]]</f>
        <v>0</v>
      </c>
      <c r="K83" s="393">
        <f ca="1">OFFSET(TblConstr[[#This Row],[Swamp]],-1,0)+TblConstr[[#This Row],[Ch_Swamp]]</f>
        <v>0</v>
      </c>
      <c r="L83" s="188">
        <f ca="1">OFFSET(TblConstr[[#This Row],[Cavern]],-1,0)+TblConstr[[#This Row],[Ch_Cavern]]</f>
        <v>0</v>
      </c>
      <c r="M83" s="189">
        <f ca="1">OFFSET(TblConstr[[#This Row],[Water]],-1,0)+TblConstr[[#This Row],[Ch_Water]]</f>
        <v>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45433.041666666475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291213</v>
      </c>
      <c r="AL83" s="97">
        <f ca="1">TblProd[[#This Row],[Lumber]]</f>
        <v>20734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3" s="97">
        <f ca="1">ROUNDDOWN( MAX(1 - MIN(facs_constr_factor*TblConstr[[#This Row],[Facs -DB]],facs_constr_max) + tech_1_11*TblTech[[#This Row],[11-1]] + tech_6_3_2*TblTech[[#This Row],[6-3]] + tech_5_2_3*TblTech[[#This Row],[5-2]], 1-global_constr_cap) * TblConstr[[#This Row],[RCPA Lumber]],0)</f>
        <v>216</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3" s="97">
        <f ca="1">ROUNDDOWN( MAX(1 - MIN(facs_constr_factor*TblConstr[[#This Row],[Facs DB]],facs_constr_max) + tech_1_11*TblTech[[#This Row],[1-11]] + tech_6_3_2*TblTech[[#This Row],[6-3]] + tech_5_2_3*TblTech[[#This Row],[5-2]], 1-global_constr_cap) * ROUND((TblConstr[[#This Row],[Land]]-250)*0.285 + 87.5 + 0/4.25,0),0)</f>
        <v>216</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1413</v>
      </c>
      <c r="AW83" s="97">
        <f ca="1">ROUND((TblConstr[[#This Row],[Land]]-250 - IF(TblExplore[[#This Row],[Land Bonus]]&lt;&gt;0,20,0))*0.285 + 87.5 + 0/4.25,0)</f>
        <v>216</v>
      </c>
      <c r="AX83" s="157"/>
      <c r="AY83" s="191" cm="1">
        <f t="array" aca="1" ref="AY83" ca="1">IF(TblConstr[[#This Row],[Hour]:[Hour]]&gt;12,OFFSET(TblConstr[[#This Row],[Hom]],-12,0),0)+OFFSET(TblConstr[[#This Row],[Tot Hom]],-1,0)-TblConstr[[#This Row],[Dest Hom]]</f>
        <v>40</v>
      </c>
      <c r="AZ83" s="192" cm="1">
        <f t="array" aca="1" ref="AZ83" ca="1">IF(TblConstr[[#This Row],[Hour]:[Hour]]&gt;12,OFFSET(TblConstr[[#This Row],[Alc]],-12,0),0)+OFFSET(TblConstr[[#This Row],[Tot Alc]],-1,0)-TblConstr[[#This Row],[Dest Alc]]</f>
        <v>275</v>
      </c>
      <c r="BA83" s="192" cm="1">
        <f t="array" aca="1" ref="BA83" ca="1">IF(TblConstr[[#This Row],[Hour]:[Hour]]&gt;12,OFFSET(TblConstr[[#This Row],[Far]],-12,0),0)+OFFSET(TblConstr[[#This Row],[Tot Farm]],-1,0)-TblConstr[[#This Row],[Dest Farm]]</f>
        <v>29</v>
      </c>
      <c r="BB83" s="192" cm="1">
        <f t="array" aca="1" ref="BB83" ca="1">IF(TblConstr[[#This Row],[Hour]:[Hour]]&gt;12,OFFSET(TblConstr[[#This Row],[Smi]],-12,0),0)+OFFSET(TblConstr[[#This Row],[Tot Smi]],-1,0)-TblConstr[[#This Row],[Dest Smi]]</f>
        <v>126</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25</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55</v>
      </c>
      <c r="BJ83" s="391" cm="1">
        <f t="array" aca="1" ref="BJ83" ca="1">IF(TblConstr[[#This Row],[Hour]:[Hour]]&gt;12,OFFSET(TblConstr[[#This Row],[Bar]],-12,0),0)+OFFSET(TblConstr[[#This Row],[Tot Bar]],-1,0)-TblConstr[[#This Row],[Dest Bar]]</f>
        <v>50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29</v>
      </c>
      <c r="BM83" s="395" cm="1">
        <f t="array" aca="1" ref="BM83" ca="1">IF(TblConstr[[#This Row],[Hour]:[Hour]]&gt;12,OFFSET(TblConstr[[#This Row],[Tem]],-12,0),0)+OFFSET(TblConstr[[#This Row],[Tot Tem]],-1,0)-TblConstr[[#This Row],[Dest Tem]]</f>
        <v>47</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24</v>
      </c>
      <c r="BR83" s="145"/>
      <c r="BS83" s="157"/>
      <c r="BT83" s="97">
        <f ca="1">TblConstr[[#This Row],[Land]]</f>
        <v>700</v>
      </c>
      <c r="BU83" s="162">
        <f ca="1">TblImps[[#This Row],[Time]]</f>
        <v>45433.041666666475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430</v>
      </c>
      <c r="DA83" s="97">
        <f t="shared" ca="1" si="24"/>
        <v>25</v>
      </c>
      <c r="DB83" s="45">
        <f t="shared" ca="1" si="25"/>
        <v>0</v>
      </c>
      <c r="DC83" s="97">
        <f t="shared" ca="1" si="26"/>
        <v>55</v>
      </c>
      <c r="DD83" s="97">
        <f t="shared" ca="1" si="27"/>
        <v>76</v>
      </c>
      <c r="DE83" s="45">
        <f t="shared" ca="1" si="28"/>
        <v>0</v>
      </c>
      <c r="DF83" s="97">
        <f t="shared" ca="1" si="29"/>
        <v>24</v>
      </c>
      <c r="DG83" s="97" cm="1">
        <f t="array" aca="1" ref="DG83" ca="1">INDEX(TblConstr[[Total Plain]:[Total Water]],ROW()-ROW(TblConstr[#Headers]),MATCH("Total "&amp;home_land,TblConstr[[#Headers],[Total Plain]:[Total Water]],0))+TblConstr[[#This Row],[Homes]]</f>
        <v>40</v>
      </c>
      <c r="DH83" s="45">
        <f t="shared" ca="1" si="22"/>
        <v>40</v>
      </c>
      <c r="DI83" s="45">
        <f t="shared" ca="1" si="19"/>
        <v>0</v>
      </c>
      <c r="DJ83" s="45">
        <f t="shared" ca="1" si="20"/>
        <v>0</v>
      </c>
    </row>
    <row r="84" spans="1:114" x14ac:dyDescent="0.2">
      <c r="A84" s="178">
        <f>TblRezone[[#This Row],[Hour]]</f>
        <v>81</v>
      </c>
      <c r="B84" s="179">
        <f ca="1">SUM(TblConstr[[#This Row],[Plain]:[Water]])</f>
        <v>0</v>
      </c>
      <c r="C84" s="180">
        <f ca="1">SUM(TblConstr[[#This Row],[Tot Hom]:[Tot Doc]])</f>
        <v>700</v>
      </c>
      <c r="D84" s="180">
        <f t="shared" si="21"/>
        <v>0</v>
      </c>
      <c r="E84" s="181"/>
      <c r="F84" s="62">
        <f ca="1">TblConstr[[#This Row],[Barren]]+TblConstr[[#This Row],[Buildings]]+TblConstr[[#This Row],[Incoming]]</f>
        <v>700</v>
      </c>
      <c r="G84" s="190">
        <f ca="1">OFFSET(TblConstr[[#This Row],[Plain]],-1,0)+TblConstr[[#This Row],[Ch_Plain]]</f>
        <v>0</v>
      </c>
      <c r="H84" s="185">
        <f ca="1">OFFSET(TblConstr[[#This Row],[Forest]],-1,0)+TblConstr[[#This Row],[Ch_Forest]]</f>
        <v>0</v>
      </c>
      <c r="I84" s="385">
        <f ca="1">OFFSET(TblConstr[[#This Row],[Mountain]],-1,0)+TblConstr[[#This Row],[Ch_Mountain]]</f>
        <v>0</v>
      </c>
      <c r="J84" s="389">
        <f ca="1">OFFSET(TblConstr[[#This Row],[Hill]],-1,0)+TblConstr[[#This Row],[Ch_Hill]]</f>
        <v>0</v>
      </c>
      <c r="K84" s="393">
        <f ca="1">OFFSET(TblConstr[[#This Row],[Swamp]],-1,0)+TblConstr[[#This Row],[Ch_Swamp]]</f>
        <v>0</v>
      </c>
      <c r="L84" s="188">
        <f ca="1">OFFSET(TblConstr[[#This Row],[Cavern]],-1,0)+TblConstr[[#This Row],[Ch_Cavern]]</f>
        <v>0</v>
      </c>
      <c r="M84" s="189">
        <f ca="1">OFFSET(TblConstr[[#This Row],[Water]],-1,0)+TblConstr[[#This Row],[Ch_Water]]</f>
        <v>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45433.083333333139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336477</v>
      </c>
      <c r="AL84" s="97">
        <f ca="1">TblProd[[#This Row],[Lumber]]</f>
        <v>21652</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4" s="97">
        <f ca="1">ROUNDDOWN( MAX(1 - MIN(facs_constr_factor*TblConstr[[#This Row],[Facs -DB]],facs_constr_max) + tech_1_11*TblTech[[#This Row],[11-1]] + tech_6_3_2*TblTech[[#This Row],[6-3]] + tech_5_2_3*TblTech[[#This Row],[5-2]], 1-global_constr_cap) * TblConstr[[#This Row],[RCPA Lumber]],0)</f>
        <v>216</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4" s="97">
        <f ca="1">ROUNDDOWN( MAX(1 - MIN(facs_constr_factor*TblConstr[[#This Row],[Facs DB]],facs_constr_max) + tech_1_11*TblTech[[#This Row],[1-11]] + tech_6_3_2*TblTech[[#This Row],[6-3]] + tech_5_2_3*TblTech[[#This Row],[5-2]], 1-global_constr_cap) * ROUND((TblConstr[[#This Row],[Land]]-250)*0.285 + 87.5 + 0/4.25,0),0)</f>
        <v>216</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1413</v>
      </c>
      <c r="AW84" s="97">
        <f ca="1">ROUND((TblConstr[[#This Row],[Land]]-250 - IF(TblExplore[[#This Row],[Land Bonus]]&lt;&gt;0,20,0))*0.285 + 87.5 + 0/4.25,0)</f>
        <v>216</v>
      </c>
      <c r="AX84" s="157"/>
      <c r="AY84" s="191" cm="1">
        <f t="array" aca="1" ref="AY84" ca="1">IF(TblConstr[[#This Row],[Hour]:[Hour]]&gt;12,OFFSET(TblConstr[[#This Row],[Hom]],-12,0),0)+OFFSET(TblConstr[[#This Row],[Tot Hom]],-1,0)-TblConstr[[#This Row],[Dest Hom]]</f>
        <v>40</v>
      </c>
      <c r="AZ84" s="192" cm="1">
        <f t="array" aca="1" ref="AZ84" ca="1">IF(TblConstr[[#This Row],[Hour]:[Hour]]&gt;12,OFFSET(TblConstr[[#This Row],[Alc]],-12,0),0)+OFFSET(TblConstr[[#This Row],[Tot Alc]],-1,0)-TblConstr[[#This Row],[Dest Alc]]</f>
        <v>275</v>
      </c>
      <c r="BA84" s="192" cm="1">
        <f t="array" aca="1" ref="BA84" ca="1">IF(TblConstr[[#This Row],[Hour]:[Hour]]&gt;12,OFFSET(TblConstr[[#This Row],[Far]],-12,0),0)+OFFSET(TblConstr[[#This Row],[Tot Farm]],-1,0)-TblConstr[[#This Row],[Dest Farm]]</f>
        <v>29</v>
      </c>
      <c r="BB84" s="192" cm="1">
        <f t="array" aca="1" ref="BB84" ca="1">IF(TblConstr[[#This Row],[Hour]:[Hour]]&gt;12,OFFSET(TblConstr[[#This Row],[Smi]],-12,0),0)+OFFSET(TblConstr[[#This Row],[Tot Smi]],-1,0)-TblConstr[[#This Row],[Dest Smi]]</f>
        <v>126</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25</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55</v>
      </c>
      <c r="BJ84" s="391" cm="1">
        <f t="array" aca="1" ref="BJ84" ca="1">IF(TblConstr[[#This Row],[Hour]:[Hour]]&gt;12,OFFSET(TblConstr[[#This Row],[Bar]],-12,0),0)+OFFSET(TblConstr[[#This Row],[Tot Bar]],-1,0)-TblConstr[[#This Row],[Dest Bar]]</f>
        <v>50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29</v>
      </c>
      <c r="BM84" s="395" cm="1">
        <f t="array" aca="1" ref="BM84" ca="1">IF(TblConstr[[#This Row],[Hour]:[Hour]]&gt;12,OFFSET(TblConstr[[#This Row],[Tem]],-12,0),0)+OFFSET(TblConstr[[#This Row],[Tot Tem]],-1,0)-TblConstr[[#This Row],[Dest Tem]]</f>
        <v>47</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24</v>
      </c>
      <c r="BR84" s="145"/>
      <c r="BS84" s="157"/>
      <c r="BT84" s="97">
        <f ca="1">TblConstr[[#This Row],[Land]]</f>
        <v>700</v>
      </c>
      <c r="BU84" s="162">
        <f ca="1">TblImps[[#This Row],[Time]]</f>
        <v>45433.083333333139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430</v>
      </c>
      <c r="DA84" s="97">
        <f t="shared" ca="1" si="24"/>
        <v>25</v>
      </c>
      <c r="DB84" s="45">
        <f t="shared" ca="1" si="25"/>
        <v>0</v>
      </c>
      <c r="DC84" s="97">
        <f t="shared" ca="1" si="26"/>
        <v>55</v>
      </c>
      <c r="DD84" s="97">
        <f t="shared" ca="1" si="27"/>
        <v>76</v>
      </c>
      <c r="DE84" s="45">
        <f t="shared" ca="1" si="28"/>
        <v>0</v>
      </c>
      <c r="DF84" s="97">
        <f t="shared" ca="1" si="29"/>
        <v>24</v>
      </c>
      <c r="DG84" s="97" cm="1">
        <f t="array" aca="1" ref="DG84" ca="1">INDEX(TblConstr[[Total Plain]:[Total Water]],ROW()-ROW(TblConstr[#Headers]),MATCH("Total "&amp;home_land,TblConstr[[#Headers],[Total Plain]:[Total Water]],0))+TblConstr[[#This Row],[Homes]]</f>
        <v>40</v>
      </c>
      <c r="DH84" s="45">
        <f t="shared" ca="1" si="22"/>
        <v>40</v>
      </c>
      <c r="DI84" s="45">
        <f t="shared" ca="1" si="19"/>
        <v>0</v>
      </c>
      <c r="DJ84" s="45">
        <f t="shared" ca="1" si="20"/>
        <v>0</v>
      </c>
    </row>
    <row r="85" spans="1:114" x14ac:dyDescent="0.2">
      <c r="A85" s="178">
        <f>TblRezone[[#This Row],[Hour]]</f>
        <v>82</v>
      </c>
      <c r="B85" s="179">
        <f ca="1">SUM(TblConstr[[#This Row],[Plain]:[Water]])</f>
        <v>0</v>
      </c>
      <c r="C85" s="180">
        <f ca="1">SUM(TblConstr[[#This Row],[Tot Hom]:[Tot Doc]])</f>
        <v>700</v>
      </c>
      <c r="D85" s="180">
        <f t="shared" si="21"/>
        <v>0</v>
      </c>
      <c r="E85" s="181"/>
      <c r="F85" s="62">
        <f ca="1">TblConstr[[#This Row],[Barren]]+TblConstr[[#This Row],[Buildings]]+TblConstr[[#This Row],[Incoming]]</f>
        <v>700</v>
      </c>
      <c r="G85" s="190">
        <f ca="1">OFFSET(TblConstr[[#This Row],[Plain]],-1,0)+TblConstr[[#This Row],[Ch_Plain]]</f>
        <v>0</v>
      </c>
      <c r="H85" s="185">
        <f ca="1">OFFSET(TblConstr[[#This Row],[Forest]],-1,0)+TblConstr[[#This Row],[Ch_Forest]]</f>
        <v>0</v>
      </c>
      <c r="I85" s="385">
        <f ca="1">OFFSET(TblConstr[[#This Row],[Mountain]],-1,0)+TblConstr[[#This Row],[Ch_Mountain]]</f>
        <v>0</v>
      </c>
      <c r="J85" s="389">
        <f ca="1">OFFSET(TblConstr[[#This Row],[Hill]],-1,0)+TblConstr[[#This Row],[Ch_Hill]]</f>
        <v>0</v>
      </c>
      <c r="K85" s="393">
        <f ca="1">OFFSET(TblConstr[[#This Row],[Swamp]],-1,0)+TblConstr[[#This Row],[Ch_Swamp]]</f>
        <v>0</v>
      </c>
      <c r="L85" s="188">
        <f ca="1">OFFSET(TblConstr[[#This Row],[Cavern]],-1,0)+TblConstr[[#This Row],[Ch_Cavern]]</f>
        <v>0</v>
      </c>
      <c r="M85" s="189">
        <f ca="1">OFFSET(TblConstr[[#This Row],[Water]],-1,0)+TblConstr[[#This Row],[Ch_Water]]</f>
        <v>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45433.124999999804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381464</v>
      </c>
      <c r="AL85" s="97">
        <f ca="1">TblProd[[#This Row],[Lumber]]</f>
        <v>22560</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5" s="97">
        <f ca="1">ROUNDDOWN( MAX(1 - MIN(facs_constr_factor*TblConstr[[#This Row],[Facs -DB]],facs_constr_max) + tech_1_11*TblTech[[#This Row],[11-1]] + tech_6_3_2*TblTech[[#This Row],[6-3]] + tech_5_2_3*TblTech[[#This Row],[5-2]], 1-global_constr_cap) * TblConstr[[#This Row],[RCPA Lumber]],0)</f>
        <v>216</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5" s="97">
        <f ca="1">ROUNDDOWN( MAX(1 - MIN(facs_constr_factor*TblConstr[[#This Row],[Facs DB]],facs_constr_max) + tech_1_11*TblTech[[#This Row],[1-11]] + tech_6_3_2*TblTech[[#This Row],[6-3]] + tech_5_2_3*TblTech[[#This Row],[5-2]], 1-global_constr_cap) * ROUND((TblConstr[[#This Row],[Land]]-250)*0.285 + 87.5 + 0/4.25,0),0)</f>
        <v>216</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1413</v>
      </c>
      <c r="AW85" s="97">
        <f ca="1">ROUND((TblConstr[[#This Row],[Land]]-250 - IF(TblExplore[[#This Row],[Land Bonus]]&lt;&gt;0,20,0))*0.285 + 87.5 + 0/4.25,0)</f>
        <v>216</v>
      </c>
      <c r="AX85" s="157"/>
      <c r="AY85" s="191" cm="1">
        <f t="array" aca="1" ref="AY85" ca="1">IF(TblConstr[[#This Row],[Hour]:[Hour]]&gt;12,OFFSET(TblConstr[[#This Row],[Hom]],-12,0),0)+OFFSET(TblConstr[[#This Row],[Tot Hom]],-1,0)-TblConstr[[#This Row],[Dest Hom]]</f>
        <v>40</v>
      </c>
      <c r="AZ85" s="192" cm="1">
        <f t="array" aca="1" ref="AZ85" ca="1">IF(TblConstr[[#This Row],[Hour]:[Hour]]&gt;12,OFFSET(TblConstr[[#This Row],[Alc]],-12,0),0)+OFFSET(TblConstr[[#This Row],[Tot Alc]],-1,0)-TblConstr[[#This Row],[Dest Alc]]</f>
        <v>275</v>
      </c>
      <c r="BA85" s="192" cm="1">
        <f t="array" aca="1" ref="BA85" ca="1">IF(TblConstr[[#This Row],[Hour]:[Hour]]&gt;12,OFFSET(TblConstr[[#This Row],[Far]],-12,0),0)+OFFSET(TblConstr[[#This Row],[Tot Farm]],-1,0)-TblConstr[[#This Row],[Dest Farm]]</f>
        <v>29</v>
      </c>
      <c r="BB85" s="192" cm="1">
        <f t="array" aca="1" ref="BB85" ca="1">IF(TblConstr[[#This Row],[Hour]:[Hour]]&gt;12,OFFSET(TblConstr[[#This Row],[Smi]],-12,0),0)+OFFSET(TblConstr[[#This Row],[Tot Smi]],-1,0)-TblConstr[[#This Row],[Dest Smi]]</f>
        <v>126</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25</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55</v>
      </c>
      <c r="BJ85" s="391" cm="1">
        <f t="array" aca="1" ref="BJ85" ca="1">IF(TblConstr[[#This Row],[Hour]:[Hour]]&gt;12,OFFSET(TblConstr[[#This Row],[Bar]],-12,0),0)+OFFSET(TblConstr[[#This Row],[Tot Bar]],-1,0)-TblConstr[[#This Row],[Dest Bar]]</f>
        <v>50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29</v>
      </c>
      <c r="BM85" s="395" cm="1">
        <f t="array" aca="1" ref="BM85" ca="1">IF(TblConstr[[#This Row],[Hour]:[Hour]]&gt;12,OFFSET(TblConstr[[#This Row],[Tem]],-12,0),0)+OFFSET(TblConstr[[#This Row],[Tot Tem]],-1,0)-TblConstr[[#This Row],[Dest Tem]]</f>
        <v>47</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24</v>
      </c>
      <c r="BR85" s="145"/>
      <c r="BS85" s="157"/>
      <c r="BT85" s="97">
        <f ca="1">TblConstr[[#This Row],[Land]]</f>
        <v>700</v>
      </c>
      <c r="BU85" s="162">
        <f ca="1">TblImps[[#This Row],[Time]]</f>
        <v>45433.124999999804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430</v>
      </c>
      <c r="DA85" s="97">
        <f t="shared" ca="1" si="24"/>
        <v>25</v>
      </c>
      <c r="DB85" s="45">
        <f t="shared" ca="1" si="25"/>
        <v>0</v>
      </c>
      <c r="DC85" s="97">
        <f t="shared" ca="1" si="26"/>
        <v>55</v>
      </c>
      <c r="DD85" s="97">
        <f t="shared" ca="1" si="27"/>
        <v>76</v>
      </c>
      <c r="DE85" s="45">
        <f t="shared" ca="1" si="28"/>
        <v>0</v>
      </c>
      <c r="DF85" s="97">
        <f t="shared" ca="1" si="29"/>
        <v>24</v>
      </c>
      <c r="DG85" s="97" cm="1">
        <f t="array" aca="1" ref="DG85" ca="1">INDEX(TblConstr[[Total Plain]:[Total Water]],ROW()-ROW(TblConstr[#Headers]),MATCH("Total "&amp;home_land,TblConstr[[#Headers],[Total Plain]:[Total Water]],0))+TblConstr[[#This Row],[Homes]]</f>
        <v>40</v>
      </c>
      <c r="DH85" s="45">
        <f t="shared" ca="1" si="22"/>
        <v>40</v>
      </c>
      <c r="DI85" s="45">
        <f t="shared" ca="1" si="19"/>
        <v>0</v>
      </c>
      <c r="DJ85" s="45">
        <f t="shared" ca="1" si="20"/>
        <v>0</v>
      </c>
    </row>
    <row r="86" spans="1:114" x14ac:dyDescent="0.2">
      <c r="A86" s="178">
        <f>TblRezone[[#This Row],[Hour]]</f>
        <v>83</v>
      </c>
      <c r="B86" s="179">
        <f ca="1">SUM(TblConstr[[#This Row],[Plain]:[Water]])</f>
        <v>0</v>
      </c>
      <c r="C86" s="180">
        <f ca="1">SUM(TblConstr[[#This Row],[Tot Hom]:[Tot Doc]])</f>
        <v>700</v>
      </c>
      <c r="D86" s="180">
        <f t="shared" si="21"/>
        <v>0</v>
      </c>
      <c r="E86" s="181"/>
      <c r="F86" s="62">
        <f ca="1">TblConstr[[#This Row],[Barren]]+TblConstr[[#This Row],[Buildings]]+TblConstr[[#This Row],[Incoming]]</f>
        <v>700</v>
      </c>
      <c r="G86" s="190">
        <f ca="1">OFFSET(TblConstr[[#This Row],[Plain]],-1,0)+TblConstr[[#This Row],[Ch_Plain]]</f>
        <v>0</v>
      </c>
      <c r="H86" s="185">
        <f ca="1">OFFSET(TblConstr[[#This Row],[Forest]],-1,0)+TblConstr[[#This Row],[Ch_Forest]]</f>
        <v>0</v>
      </c>
      <c r="I86" s="385">
        <f ca="1">OFFSET(TblConstr[[#This Row],[Mountain]],-1,0)+TblConstr[[#This Row],[Ch_Mountain]]</f>
        <v>0</v>
      </c>
      <c r="J86" s="389">
        <f ca="1">OFFSET(TblConstr[[#This Row],[Hill]],-1,0)+TblConstr[[#This Row],[Ch_Hill]]</f>
        <v>0</v>
      </c>
      <c r="K86" s="393">
        <f ca="1">OFFSET(TblConstr[[#This Row],[Swamp]],-1,0)+TblConstr[[#This Row],[Ch_Swamp]]</f>
        <v>0</v>
      </c>
      <c r="L86" s="188">
        <f ca="1">OFFSET(TblConstr[[#This Row],[Cavern]],-1,0)+TblConstr[[#This Row],[Ch_Cavern]]</f>
        <v>0</v>
      </c>
      <c r="M86" s="189">
        <f ca="1">OFFSET(TblConstr[[#This Row],[Water]],-1,0)+TblConstr[[#This Row],[Ch_Water]]</f>
        <v>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45433.166666666468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426178</v>
      </c>
      <c r="AL86" s="97">
        <f ca="1">TblProd[[#This Row],[Lumber]]</f>
        <v>23459</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6" s="97">
        <f ca="1">ROUNDDOWN( MAX(1 - MIN(facs_constr_factor*TblConstr[[#This Row],[Facs -DB]],facs_constr_max) + tech_1_11*TblTech[[#This Row],[11-1]] + tech_6_3_2*TblTech[[#This Row],[6-3]] + tech_5_2_3*TblTech[[#This Row],[5-2]], 1-global_constr_cap) * TblConstr[[#This Row],[RCPA Lumber]],0)</f>
        <v>216</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6" s="97">
        <f ca="1">ROUNDDOWN( MAX(1 - MIN(facs_constr_factor*TblConstr[[#This Row],[Facs DB]],facs_constr_max) + tech_1_11*TblTech[[#This Row],[1-11]] + tech_6_3_2*TblTech[[#This Row],[6-3]] + tech_5_2_3*TblTech[[#This Row],[5-2]], 1-global_constr_cap) * ROUND((TblConstr[[#This Row],[Land]]-250)*0.285 + 87.5 + 0/4.25,0),0)</f>
        <v>216</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1413</v>
      </c>
      <c r="AW86" s="97">
        <f ca="1">ROUND((TblConstr[[#This Row],[Land]]-250 - IF(TblExplore[[#This Row],[Land Bonus]]&lt;&gt;0,20,0))*0.285 + 87.5 + 0/4.25,0)</f>
        <v>216</v>
      </c>
      <c r="AX86" s="157"/>
      <c r="AY86" s="191" cm="1">
        <f t="array" aca="1" ref="AY86" ca="1">IF(TblConstr[[#This Row],[Hour]:[Hour]]&gt;12,OFFSET(TblConstr[[#This Row],[Hom]],-12,0),0)+OFFSET(TblConstr[[#This Row],[Tot Hom]],-1,0)-TblConstr[[#This Row],[Dest Hom]]</f>
        <v>40</v>
      </c>
      <c r="AZ86" s="192" cm="1">
        <f t="array" aca="1" ref="AZ86" ca="1">IF(TblConstr[[#This Row],[Hour]:[Hour]]&gt;12,OFFSET(TblConstr[[#This Row],[Alc]],-12,0),0)+OFFSET(TblConstr[[#This Row],[Tot Alc]],-1,0)-TblConstr[[#This Row],[Dest Alc]]</f>
        <v>275</v>
      </c>
      <c r="BA86" s="192" cm="1">
        <f t="array" aca="1" ref="BA86" ca="1">IF(TblConstr[[#This Row],[Hour]:[Hour]]&gt;12,OFFSET(TblConstr[[#This Row],[Far]],-12,0),0)+OFFSET(TblConstr[[#This Row],[Tot Farm]],-1,0)-TblConstr[[#This Row],[Dest Farm]]</f>
        <v>29</v>
      </c>
      <c r="BB86" s="192" cm="1">
        <f t="array" aca="1" ref="BB86" ca="1">IF(TblConstr[[#This Row],[Hour]:[Hour]]&gt;12,OFFSET(TblConstr[[#This Row],[Smi]],-12,0),0)+OFFSET(TblConstr[[#This Row],[Tot Smi]],-1,0)-TblConstr[[#This Row],[Dest Smi]]</f>
        <v>126</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25</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55</v>
      </c>
      <c r="BJ86" s="391" cm="1">
        <f t="array" aca="1" ref="BJ86" ca="1">IF(TblConstr[[#This Row],[Hour]:[Hour]]&gt;12,OFFSET(TblConstr[[#This Row],[Bar]],-12,0),0)+OFFSET(TblConstr[[#This Row],[Tot Bar]],-1,0)-TblConstr[[#This Row],[Dest Bar]]</f>
        <v>50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29</v>
      </c>
      <c r="BM86" s="395" cm="1">
        <f t="array" aca="1" ref="BM86" ca="1">IF(TblConstr[[#This Row],[Hour]:[Hour]]&gt;12,OFFSET(TblConstr[[#This Row],[Tem]],-12,0),0)+OFFSET(TblConstr[[#This Row],[Tot Tem]],-1,0)-TblConstr[[#This Row],[Dest Tem]]</f>
        <v>47</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24</v>
      </c>
      <c r="BR86" s="145"/>
      <c r="BS86" s="157"/>
      <c r="BT86" s="97">
        <f ca="1">TblConstr[[#This Row],[Land]]</f>
        <v>700</v>
      </c>
      <c r="BU86" s="162">
        <f ca="1">TblImps[[#This Row],[Time]]</f>
        <v>45433.166666666468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430</v>
      </c>
      <c r="DA86" s="97">
        <f t="shared" ca="1" si="24"/>
        <v>25</v>
      </c>
      <c r="DB86" s="45">
        <f t="shared" ca="1" si="25"/>
        <v>0</v>
      </c>
      <c r="DC86" s="97">
        <f t="shared" ca="1" si="26"/>
        <v>55</v>
      </c>
      <c r="DD86" s="97">
        <f t="shared" ca="1" si="27"/>
        <v>76</v>
      </c>
      <c r="DE86" s="45">
        <f t="shared" ca="1" si="28"/>
        <v>0</v>
      </c>
      <c r="DF86" s="97">
        <f t="shared" ca="1" si="29"/>
        <v>24</v>
      </c>
      <c r="DG86" s="97" cm="1">
        <f t="array" aca="1" ref="DG86" ca="1">INDEX(TblConstr[[Total Plain]:[Total Water]],ROW()-ROW(TblConstr[#Headers]),MATCH("Total "&amp;home_land,TblConstr[[#Headers],[Total Plain]:[Total Water]],0))+TblConstr[[#This Row],[Homes]]</f>
        <v>40</v>
      </c>
      <c r="DH86" s="45">
        <f t="shared" ca="1" si="22"/>
        <v>40</v>
      </c>
      <c r="DI86" s="45">
        <f t="shared" ca="1" si="19"/>
        <v>0</v>
      </c>
      <c r="DJ86" s="45">
        <f t="shared" ca="1" si="20"/>
        <v>0</v>
      </c>
    </row>
    <row r="87" spans="1:114" x14ac:dyDescent="0.2">
      <c r="A87" s="178">
        <f>TblRezone[[#This Row],[Hour]]</f>
        <v>84</v>
      </c>
      <c r="B87" s="179">
        <f ca="1">SUM(TblConstr[[#This Row],[Plain]:[Water]])</f>
        <v>0</v>
      </c>
      <c r="C87" s="180">
        <f ca="1">SUM(TblConstr[[#This Row],[Tot Hom]:[Tot Doc]])</f>
        <v>700</v>
      </c>
      <c r="D87" s="180">
        <f t="shared" si="21"/>
        <v>0</v>
      </c>
      <c r="E87" s="181"/>
      <c r="F87" s="62">
        <f ca="1">TblConstr[[#This Row],[Barren]]+TblConstr[[#This Row],[Buildings]]+TblConstr[[#This Row],[Incoming]]</f>
        <v>700</v>
      </c>
      <c r="G87" s="190">
        <f ca="1">OFFSET(TblConstr[[#This Row],[Plain]],-1,0)+TblConstr[[#This Row],[Ch_Plain]]</f>
        <v>0</v>
      </c>
      <c r="H87" s="185">
        <f ca="1">OFFSET(TblConstr[[#This Row],[Forest]],-1,0)+TblConstr[[#This Row],[Ch_Forest]]</f>
        <v>0</v>
      </c>
      <c r="I87" s="385">
        <f ca="1">OFFSET(TblConstr[[#This Row],[Mountain]],-1,0)+TblConstr[[#This Row],[Ch_Mountain]]</f>
        <v>0</v>
      </c>
      <c r="J87" s="389">
        <f ca="1">OFFSET(TblConstr[[#This Row],[Hill]],-1,0)+TblConstr[[#This Row],[Ch_Hill]]</f>
        <v>0</v>
      </c>
      <c r="K87" s="393">
        <f ca="1">OFFSET(TblConstr[[#This Row],[Swamp]],-1,0)+TblConstr[[#This Row],[Ch_Swamp]]</f>
        <v>0</v>
      </c>
      <c r="L87" s="188">
        <f ca="1">OFFSET(TblConstr[[#This Row],[Cavern]],-1,0)+TblConstr[[#This Row],[Ch_Cavern]]</f>
        <v>0</v>
      </c>
      <c r="M87" s="189">
        <f ca="1">OFFSET(TblConstr[[#This Row],[Water]],-1,0)+TblConstr[[#This Row],[Ch_Water]]</f>
        <v>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45433.208333333132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470622</v>
      </c>
      <c r="AL87" s="97">
        <f ca="1">TblProd[[#This Row],[Lumber]]</f>
        <v>24349</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7" s="97">
        <f ca="1">ROUNDDOWN( MAX(1 - MIN(facs_constr_factor*TblConstr[[#This Row],[Facs -DB]],facs_constr_max) + tech_1_11*TblTech[[#This Row],[11-1]] + tech_6_3_2*TblTech[[#This Row],[6-3]] + tech_5_2_3*TblTech[[#This Row],[5-2]], 1-global_constr_cap) * TblConstr[[#This Row],[RCPA Lumber]],0)</f>
        <v>216</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7" s="97">
        <f ca="1">ROUNDDOWN( MAX(1 - MIN(facs_constr_factor*TblConstr[[#This Row],[Facs DB]],facs_constr_max) + tech_1_11*TblTech[[#This Row],[1-11]] + tech_6_3_2*TblTech[[#This Row],[6-3]] + tech_5_2_3*TblTech[[#This Row],[5-2]], 1-global_constr_cap) * ROUND((TblConstr[[#This Row],[Land]]-250)*0.285 + 87.5 + 0/4.25,0),0)</f>
        <v>216</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1413</v>
      </c>
      <c r="AW87" s="97">
        <f ca="1">ROUND((TblConstr[[#This Row],[Land]]-250 - IF(TblExplore[[#This Row],[Land Bonus]]&lt;&gt;0,20,0))*0.285 + 87.5 + 0/4.25,0)</f>
        <v>216</v>
      </c>
      <c r="AX87" s="157"/>
      <c r="AY87" s="191" cm="1">
        <f t="array" aca="1" ref="AY87" ca="1">IF(TblConstr[[#This Row],[Hour]:[Hour]]&gt;12,OFFSET(TblConstr[[#This Row],[Hom]],-12,0),0)+OFFSET(TblConstr[[#This Row],[Tot Hom]],-1,0)-TblConstr[[#This Row],[Dest Hom]]</f>
        <v>40</v>
      </c>
      <c r="AZ87" s="192" cm="1">
        <f t="array" aca="1" ref="AZ87" ca="1">IF(TblConstr[[#This Row],[Hour]:[Hour]]&gt;12,OFFSET(TblConstr[[#This Row],[Alc]],-12,0),0)+OFFSET(TblConstr[[#This Row],[Tot Alc]],-1,0)-TblConstr[[#This Row],[Dest Alc]]</f>
        <v>275</v>
      </c>
      <c r="BA87" s="192" cm="1">
        <f t="array" aca="1" ref="BA87" ca="1">IF(TblConstr[[#This Row],[Hour]:[Hour]]&gt;12,OFFSET(TblConstr[[#This Row],[Far]],-12,0),0)+OFFSET(TblConstr[[#This Row],[Tot Farm]],-1,0)-TblConstr[[#This Row],[Dest Farm]]</f>
        <v>29</v>
      </c>
      <c r="BB87" s="192" cm="1">
        <f t="array" aca="1" ref="BB87" ca="1">IF(TblConstr[[#This Row],[Hour]:[Hour]]&gt;12,OFFSET(TblConstr[[#This Row],[Smi]],-12,0),0)+OFFSET(TblConstr[[#This Row],[Tot Smi]],-1,0)-TblConstr[[#This Row],[Dest Smi]]</f>
        <v>126</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25</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55</v>
      </c>
      <c r="BJ87" s="391" cm="1">
        <f t="array" aca="1" ref="BJ87" ca="1">IF(TblConstr[[#This Row],[Hour]:[Hour]]&gt;12,OFFSET(TblConstr[[#This Row],[Bar]],-12,0),0)+OFFSET(TblConstr[[#This Row],[Tot Bar]],-1,0)-TblConstr[[#This Row],[Dest Bar]]</f>
        <v>50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29</v>
      </c>
      <c r="BM87" s="395" cm="1">
        <f t="array" aca="1" ref="BM87" ca="1">IF(TblConstr[[#This Row],[Hour]:[Hour]]&gt;12,OFFSET(TblConstr[[#This Row],[Tem]],-12,0),0)+OFFSET(TblConstr[[#This Row],[Tot Tem]],-1,0)-TblConstr[[#This Row],[Dest Tem]]</f>
        <v>47</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24</v>
      </c>
      <c r="BR87" s="145"/>
      <c r="BS87" s="157"/>
      <c r="BT87" s="97">
        <f ca="1">TblConstr[[#This Row],[Land]]</f>
        <v>700</v>
      </c>
      <c r="BU87" s="162">
        <f ca="1">TblImps[[#This Row],[Time]]</f>
        <v>45433.208333333132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430</v>
      </c>
      <c r="DA87" s="97">
        <f t="shared" ca="1" si="24"/>
        <v>25</v>
      </c>
      <c r="DB87" s="45">
        <f t="shared" ca="1" si="25"/>
        <v>0</v>
      </c>
      <c r="DC87" s="97">
        <f t="shared" ca="1" si="26"/>
        <v>55</v>
      </c>
      <c r="DD87" s="97">
        <f t="shared" ca="1" si="27"/>
        <v>76</v>
      </c>
      <c r="DE87" s="45">
        <f t="shared" ca="1" si="28"/>
        <v>0</v>
      </c>
      <c r="DF87" s="97">
        <f t="shared" ca="1" si="29"/>
        <v>24</v>
      </c>
      <c r="DG87" s="97" cm="1">
        <f t="array" aca="1" ref="DG87" ca="1">INDEX(TblConstr[[Total Plain]:[Total Water]],ROW()-ROW(TblConstr[#Headers]),MATCH("Total "&amp;home_land,TblConstr[[#Headers],[Total Plain]:[Total Water]],0))+TblConstr[[#This Row],[Homes]]</f>
        <v>40</v>
      </c>
      <c r="DH87" s="45">
        <f t="shared" ca="1" si="22"/>
        <v>40</v>
      </c>
      <c r="DI87" s="45">
        <f t="shared" ca="1" si="19"/>
        <v>0</v>
      </c>
      <c r="DJ87" s="45">
        <f t="shared" ca="1" si="20"/>
        <v>0</v>
      </c>
    </row>
    <row r="88" spans="1:114" x14ac:dyDescent="0.2">
      <c r="A88" s="178">
        <f>TblRezone[[#This Row],[Hour]]</f>
        <v>85</v>
      </c>
      <c r="B88" s="179">
        <f ca="1">SUM(TblConstr[[#This Row],[Plain]:[Water]])</f>
        <v>0</v>
      </c>
      <c r="C88" s="180">
        <f ca="1">SUM(TblConstr[[#This Row],[Tot Hom]:[Tot Doc]])</f>
        <v>700</v>
      </c>
      <c r="D88" s="180">
        <f t="shared" si="21"/>
        <v>0</v>
      </c>
      <c r="E88" s="181"/>
      <c r="F88" s="62">
        <f ca="1">TblConstr[[#This Row],[Barren]]+TblConstr[[#This Row],[Buildings]]+TblConstr[[#This Row],[Incoming]]</f>
        <v>700</v>
      </c>
      <c r="G88" s="190">
        <f ca="1">OFFSET(TblConstr[[#This Row],[Plain]],-1,0)+TblConstr[[#This Row],[Ch_Plain]]</f>
        <v>0</v>
      </c>
      <c r="H88" s="185">
        <f ca="1">OFFSET(TblConstr[[#This Row],[Forest]],-1,0)+TblConstr[[#This Row],[Ch_Forest]]</f>
        <v>0</v>
      </c>
      <c r="I88" s="385">
        <f ca="1">OFFSET(TblConstr[[#This Row],[Mountain]],-1,0)+TblConstr[[#This Row],[Ch_Mountain]]</f>
        <v>0</v>
      </c>
      <c r="J88" s="389">
        <f ca="1">OFFSET(TblConstr[[#This Row],[Hill]],-1,0)+TblConstr[[#This Row],[Ch_Hill]]</f>
        <v>0</v>
      </c>
      <c r="K88" s="393">
        <f ca="1">OFFSET(TblConstr[[#This Row],[Swamp]],-1,0)+TblConstr[[#This Row],[Ch_Swamp]]</f>
        <v>0</v>
      </c>
      <c r="L88" s="188">
        <f ca="1">OFFSET(TblConstr[[#This Row],[Cavern]],-1,0)+TblConstr[[#This Row],[Ch_Cavern]]</f>
        <v>0</v>
      </c>
      <c r="M88" s="189">
        <f ca="1">OFFSET(TblConstr[[#This Row],[Water]],-1,0)+TblConstr[[#This Row],[Ch_Water]]</f>
        <v>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45433.249999999796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514796</v>
      </c>
      <c r="AL88" s="97">
        <f ca="1">TblProd[[#This Row],[Lumber]]</f>
        <v>25231</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8" s="97">
        <f ca="1">ROUNDDOWN( MAX(1 - MIN(facs_constr_factor*TblConstr[[#This Row],[Facs -DB]],facs_constr_max) + tech_1_11*TblTech[[#This Row],[11-1]] + tech_6_3_2*TblTech[[#This Row],[6-3]] + tech_5_2_3*TblTech[[#This Row],[5-2]], 1-global_constr_cap) * TblConstr[[#This Row],[RCPA Lumber]],0)</f>
        <v>216</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8" s="97">
        <f ca="1">ROUNDDOWN( MAX(1 - MIN(facs_constr_factor*TblConstr[[#This Row],[Facs DB]],facs_constr_max) + tech_1_11*TblTech[[#This Row],[1-11]] + tech_6_3_2*TblTech[[#This Row],[6-3]] + tech_5_2_3*TblTech[[#This Row],[5-2]], 1-global_constr_cap) * ROUND((TblConstr[[#This Row],[Land]]-250)*0.285 + 87.5 + 0/4.25,0),0)</f>
        <v>216</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1413</v>
      </c>
      <c r="AW88" s="97">
        <f ca="1">ROUND((TblConstr[[#This Row],[Land]]-250 - IF(TblExplore[[#This Row],[Land Bonus]]&lt;&gt;0,20,0))*0.285 + 87.5 + 0/4.25,0)</f>
        <v>216</v>
      </c>
      <c r="AX88" s="157"/>
      <c r="AY88" s="191" cm="1">
        <f t="array" aca="1" ref="AY88" ca="1">IF(TblConstr[[#This Row],[Hour]:[Hour]]&gt;12,OFFSET(TblConstr[[#This Row],[Hom]],-12,0),0)+OFFSET(TblConstr[[#This Row],[Tot Hom]],-1,0)-TblConstr[[#This Row],[Dest Hom]]</f>
        <v>40</v>
      </c>
      <c r="AZ88" s="192" cm="1">
        <f t="array" aca="1" ref="AZ88" ca="1">IF(TblConstr[[#This Row],[Hour]:[Hour]]&gt;12,OFFSET(TblConstr[[#This Row],[Alc]],-12,0),0)+OFFSET(TblConstr[[#This Row],[Tot Alc]],-1,0)-TblConstr[[#This Row],[Dest Alc]]</f>
        <v>275</v>
      </c>
      <c r="BA88" s="192" cm="1">
        <f t="array" aca="1" ref="BA88" ca="1">IF(TblConstr[[#This Row],[Hour]:[Hour]]&gt;12,OFFSET(TblConstr[[#This Row],[Far]],-12,0),0)+OFFSET(TblConstr[[#This Row],[Tot Farm]],-1,0)-TblConstr[[#This Row],[Dest Farm]]</f>
        <v>29</v>
      </c>
      <c r="BB88" s="192" cm="1">
        <f t="array" aca="1" ref="BB88" ca="1">IF(TblConstr[[#This Row],[Hour]:[Hour]]&gt;12,OFFSET(TblConstr[[#This Row],[Smi]],-12,0),0)+OFFSET(TblConstr[[#This Row],[Tot Smi]],-1,0)-TblConstr[[#This Row],[Dest Smi]]</f>
        <v>126</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25</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55</v>
      </c>
      <c r="BJ88" s="391" cm="1">
        <f t="array" aca="1" ref="BJ88" ca="1">IF(TblConstr[[#This Row],[Hour]:[Hour]]&gt;12,OFFSET(TblConstr[[#This Row],[Bar]],-12,0),0)+OFFSET(TblConstr[[#This Row],[Tot Bar]],-1,0)-TblConstr[[#This Row],[Dest Bar]]</f>
        <v>50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29</v>
      </c>
      <c r="BM88" s="395" cm="1">
        <f t="array" aca="1" ref="BM88" ca="1">IF(TblConstr[[#This Row],[Hour]:[Hour]]&gt;12,OFFSET(TblConstr[[#This Row],[Tem]],-12,0),0)+OFFSET(TblConstr[[#This Row],[Tot Tem]],-1,0)-TblConstr[[#This Row],[Dest Tem]]</f>
        <v>47</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24</v>
      </c>
      <c r="BR88" s="145"/>
      <c r="BS88" s="157"/>
      <c r="BT88" s="97">
        <f ca="1">TblConstr[[#This Row],[Land]]</f>
        <v>700</v>
      </c>
      <c r="BU88" s="162">
        <f ca="1">TblImps[[#This Row],[Time]]</f>
        <v>45433.249999999796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430</v>
      </c>
      <c r="DA88" s="97">
        <f t="shared" ca="1" si="24"/>
        <v>25</v>
      </c>
      <c r="DB88" s="45">
        <f t="shared" ca="1" si="25"/>
        <v>0</v>
      </c>
      <c r="DC88" s="97">
        <f t="shared" ca="1" si="26"/>
        <v>55</v>
      </c>
      <c r="DD88" s="97">
        <f t="shared" ca="1" si="27"/>
        <v>76</v>
      </c>
      <c r="DE88" s="45">
        <f t="shared" ca="1" si="28"/>
        <v>0</v>
      </c>
      <c r="DF88" s="97">
        <f t="shared" ca="1" si="29"/>
        <v>24</v>
      </c>
      <c r="DG88" s="97" cm="1">
        <f t="array" aca="1" ref="DG88" ca="1">INDEX(TblConstr[[Total Plain]:[Total Water]],ROW()-ROW(TblConstr[#Headers]),MATCH("Total "&amp;home_land,TblConstr[[#Headers],[Total Plain]:[Total Water]],0))+TblConstr[[#This Row],[Homes]]</f>
        <v>40</v>
      </c>
      <c r="DH88" s="45">
        <f t="shared" ca="1" si="22"/>
        <v>40</v>
      </c>
      <c r="DI88" s="45">
        <f t="shared" ca="1" si="19"/>
        <v>0</v>
      </c>
      <c r="DJ88" s="45">
        <f t="shared" ca="1" si="20"/>
        <v>0</v>
      </c>
    </row>
    <row r="89" spans="1:114" x14ac:dyDescent="0.2">
      <c r="A89" s="178">
        <f>TblRezone[[#This Row],[Hour]]</f>
        <v>86</v>
      </c>
      <c r="B89" s="179">
        <f ca="1">SUM(TblConstr[[#This Row],[Plain]:[Water]])</f>
        <v>0</v>
      </c>
      <c r="C89" s="180">
        <f ca="1">SUM(TblConstr[[#This Row],[Tot Hom]:[Tot Doc]])</f>
        <v>700</v>
      </c>
      <c r="D89" s="180">
        <f t="shared" si="21"/>
        <v>0</v>
      </c>
      <c r="E89" s="181"/>
      <c r="F89" s="62">
        <f ca="1">TblConstr[[#This Row],[Barren]]+TblConstr[[#This Row],[Buildings]]+TblConstr[[#This Row],[Incoming]]</f>
        <v>700</v>
      </c>
      <c r="G89" s="190">
        <f ca="1">OFFSET(TblConstr[[#This Row],[Plain]],-1,0)+TblConstr[[#This Row],[Ch_Plain]]</f>
        <v>0</v>
      </c>
      <c r="H89" s="185">
        <f ca="1">OFFSET(TblConstr[[#This Row],[Forest]],-1,0)+TblConstr[[#This Row],[Ch_Forest]]</f>
        <v>0</v>
      </c>
      <c r="I89" s="385">
        <f ca="1">OFFSET(TblConstr[[#This Row],[Mountain]],-1,0)+TblConstr[[#This Row],[Ch_Mountain]]</f>
        <v>0</v>
      </c>
      <c r="J89" s="389">
        <f ca="1">OFFSET(TblConstr[[#This Row],[Hill]],-1,0)+TblConstr[[#This Row],[Ch_Hill]]</f>
        <v>0</v>
      </c>
      <c r="K89" s="393">
        <f ca="1">OFFSET(TblConstr[[#This Row],[Swamp]],-1,0)+TblConstr[[#This Row],[Ch_Swamp]]</f>
        <v>0</v>
      </c>
      <c r="L89" s="188">
        <f ca="1">OFFSET(TblConstr[[#This Row],[Cavern]],-1,0)+TblConstr[[#This Row],[Ch_Cavern]]</f>
        <v>0</v>
      </c>
      <c r="M89" s="189">
        <f ca="1">OFFSET(TblConstr[[#This Row],[Water]],-1,0)+TblConstr[[#This Row],[Ch_Water]]</f>
        <v>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45433.291666666461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558702</v>
      </c>
      <c r="AL89" s="97">
        <f ca="1">TblProd[[#This Row],[Lumber]]</f>
        <v>26104</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9" s="97">
        <f ca="1">ROUNDDOWN( MAX(1 - MIN(facs_constr_factor*TblConstr[[#This Row],[Facs -DB]],facs_constr_max) + tech_1_11*TblTech[[#This Row],[11-1]] + tech_6_3_2*TblTech[[#This Row],[6-3]] + tech_5_2_3*TblTech[[#This Row],[5-2]], 1-global_constr_cap) * TblConstr[[#This Row],[RCPA Lumber]],0)</f>
        <v>216</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9" s="97">
        <f ca="1">ROUNDDOWN( MAX(1 - MIN(facs_constr_factor*TblConstr[[#This Row],[Facs DB]],facs_constr_max) + tech_1_11*TblTech[[#This Row],[1-11]] + tech_6_3_2*TblTech[[#This Row],[6-3]] + tech_5_2_3*TblTech[[#This Row],[5-2]], 1-global_constr_cap) * ROUND((TblConstr[[#This Row],[Land]]-250)*0.285 + 87.5 + 0/4.25,0),0)</f>
        <v>216</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1413</v>
      </c>
      <c r="AW89" s="97">
        <f ca="1">ROUND((TblConstr[[#This Row],[Land]]-250 - IF(TblExplore[[#This Row],[Land Bonus]]&lt;&gt;0,20,0))*0.285 + 87.5 + 0/4.25,0)</f>
        <v>216</v>
      </c>
      <c r="AX89" s="157"/>
      <c r="AY89" s="191" cm="1">
        <f t="array" aca="1" ref="AY89" ca="1">IF(TblConstr[[#This Row],[Hour]:[Hour]]&gt;12,OFFSET(TblConstr[[#This Row],[Hom]],-12,0),0)+OFFSET(TblConstr[[#This Row],[Tot Hom]],-1,0)-TblConstr[[#This Row],[Dest Hom]]</f>
        <v>40</v>
      </c>
      <c r="AZ89" s="192" cm="1">
        <f t="array" aca="1" ref="AZ89" ca="1">IF(TblConstr[[#This Row],[Hour]:[Hour]]&gt;12,OFFSET(TblConstr[[#This Row],[Alc]],-12,0),0)+OFFSET(TblConstr[[#This Row],[Tot Alc]],-1,0)-TblConstr[[#This Row],[Dest Alc]]</f>
        <v>275</v>
      </c>
      <c r="BA89" s="192" cm="1">
        <f t="array" aca="1" ref="BA89" ca="1">IF(TblConstr[[#This Row],[Hour]:[Hour]]&gt;12,OFFSET(TblConstr[[#This Row],[Far]],-12,0),0)+OFFSET(TblConstr[[#This Row],[Tot Farm]],-1,0)-TblConstr[[#This Row],[Dest Farm]]</f>
        <v>29</v>
      </c>
      <c r="BB89" s="192" cm="1">
        <f t="array" aca="1" ref="BB89" ca="1">IF(TblConstr[[#This Row],[Hour]:[Hour]]&gt;12,OFFSET(TblConstr[[#This Row],[Smi]],-12,0),0)+OFFSET(TblConstr[[#This Row],[Tot Smi]],-1,0)-TblConstr[[#This Row],[Dest Smi]]</f>
        <v>126</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25</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55</v>
      </c>
      <c r="BJ89" s="391" cm="1">
        <f t="array" aca="1" ref="BJ89" ca="1">IF(TblConstr[[#This Row],[Hour]:[Hour]]&gt;12,OFFSET(TblConstr[[#This Row],[Bar]],-12,0),0)+OFFSET(TblConstr[[#This Row],[Tot Bar]],-1,0)-TblConstr[[#This Row],[Dest Bar]]</f>
        <v>50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29</v>
      </c>
      <c r="BM89" s="395" cm="1">
        <f t="array" aca="1" ref="BM89" ca="1">IF(TblConstr[[#This Row],[Hour]:[Hour]]&gt;12,OFFSET(TblConstr[[#This Row],[Tem]],-12,0),0)+OFFSET(TblConstr[[#This Row],[Tot Tem]],-1,0)-TblConstr[[#This Row],[Dest Tem]]</f>
        <v>47</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24</v>
      </c>
      <c r="BR89" s="145"/>
      <c r="BS89" s="157"/>
      <c r="BT89" s="97">
        <f ca="1">TblConstr[[#This Row],[Land]]</f>
        <v>700</v>
      </c>
      <c r="BU89" s="162">
        <f ca="1">TblImps[[#This Row],[Time]]</f>
        <v>45433.291666666461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430</v>
      </c>
      <c r="DA89" s="97">
        <f t="shared" ca="1" si="24"/>
        <v>25</v>
      </c>
      <c r="DB89" s="45">
        <f t="shared" ca="1" si="25"/>
        <v>0</v>
      </c>
      <c r="DC89" s="97">
        <f t="shared" ca="1" si="26"/>
        <v>55</v>
      </c>
      <c r="DD89" s="97">
        <f t="shared" ca="1" si="27"/>
        <v>76</v>
      </c>
      <c r="DE89" s="45">
        <f t="shared" ca="1" si="28"/>
        <v>0</v>
      </c>
      <c r="DF89" s="97">
        <f t="shared" ca="1" si="29"/>
        <v>24</v>
      </c>
      <c r="DG89" s="97" cm="1">
        <f t="array" aca="1" ref="DG89" ca="1">INDEX(TblConstr[[Total Plain]:[Total Water]],ROW()-ROW(TblConstr[#Headers]),MATCH("Total "&amp;home_land,TblConstr[[#Headers],[Total Plain]:[Total Water]],0))+TblConstr[[#This Row],[Homes]]</f>
        <v>40</v>
      </c>
      <c r="DH89" s="45">
        <f t="shared" ca="1" si="22"/>
        <v>40</v>
      </c>
      <c r="DI89" s="45">
        <f t="shared" ca="1" si="19"/>
        <v>0</v>
      </c>
      <c r="DJ89" s="45">
        <f t="shared" ca="1" si="20"/>
        <v>0</v>
      </c>
    </row>
    <row r="90" spans="1:114" x14ac:dyDescent="0.2">
      <c r="A90" s="178">
        <f>TblRezone[[#This Row],[Hour]]</f>
        <v>87</v>
      </c>
      <c r="B90" s="179">
        <f ca="1">SUM(TblConstr[[#This Row],[Plain]:[Water]])</f>
        <v>0</v>
      </c>
      <c r="C90" s="180">
        <f ca="1">SUM(TblConstr[[#This Row],[Tot Hom]:[Tot Doc]])</f>
        <v>700</v>
      </c>
      <c r="D90" s="180">
        <f t="shared" si="21"/>
        <v>0</v>
      </c>
      <c r="E90" s="181"/>
      <c r="F90" s="62">
        <f ca="1">TblConstr[[#This Row],[Barren]]+TblConstr[[#This Row],[Buildings]]+TblConstr[[#This Row],[Incoming]]</f>
        <v>700</v>
      </c>
      <c r="G90" s="190">
        <f ca="1">OFFSET(TblConstr[[#This Row],[Plain]],-1,0)+TblConstr[[#This Row],[Ch_Plain]]</f>
        <v>0</v>
      </c>
      <c r="H90" s="185">
        <f ca="1">OFFSET(TblConstr[[#This Row],[Forest]],-1,0)+TblConstr[[#This Row],[Ch_Forest]]</f>
        <v>0</v>
      </c>
      <c r="I90" s="385">
        <f ca="1">OFFSET(TblConstr[[#This Row],[Mountain]],-1,0)+TblConstr[[#This Row],[Ch_Mountain]]</f>
        <v>0</v>
      </c>
      <c r="J90" s="389">
        <f ca="1">OFFSET(TblConstr[[#This Row],[Hill]],-1,0)+TblConstr[[#This Row],[Ch_Hill]]</f>
        <v>0</v>
      </c>
      <c r="K90" s="393">
        <f ca="1">OFFSET(TblConstr[[#This Row],[Swamp]],-1,0)+TblConstr[[#This Row],[Ch_Swamp]]</f>
        <v>0</v>
      </c>
      <c r="L90" s="188">
        <f ca="1">OFFSET(TblConstr[[#This Row],[Cavern]],-1,0)+TblConstr[[#This Row],[Ch_Cavern]]</f>
        <v>0</v>
      </c>
      <c r="M90" s="189">
        <f ca="1">OFFSET(TblConstr[[#This Row],[Water]],-1,0)+TblConstr[[#This Row],[Ch_Water]]</f>
        <v>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45433.333333333125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602344</v>
      </c>
      <c r="AL90" s="97">
        <f ca="1">TblProd[[#This Row],[Lumber]]</f>
        <v>26968</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0" s="97">
        <f ca="1">ROUNDDOWN( MAX(1 - MIN(facs_constr_factor*TblConstr[[#This Row],[Facs -DB]],facs_constr_max) + tech_1_11*TblTech[[#This Row],[11-1]] + tech_6_3_2*TblTech[[#This Row],[6-3]] + tech_5_2_3*TblTech[[#This Row],[5-2]], 1-global_constr_cap) * TblConstr[[#This Row],[RCPA Lumber]],0)</f>
        <v>216</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0" s="97">
        <f ca="1">ROUNDDOWN( MAX(1 - MIN(facs_constr_factor*TblConstr[[#This Row],[Facs DB]],facs_constr_max) + tech_1_11*TblTech[[#This Row],[1-11]] + tech_6_3_2*TblTech[[#This Row],[6-3]] + tech_5_2_3*TblTech[[#This Row],[5-2]], 1-global_constr_cap) * ROUND((TblConstr[[#This Row],[Land]]-250)*0.285 + 87.5 + 0/4.25,0),0)</f>
        <v>216</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1413</v>
      </c>
      <c r="AW90" s="97">
        <f ca="1">ROUND((TblConstr[[#This Row],[Land]]-250 - IF(TblExplore[[#This Row],[Land Bonus]]&lt;&gt;0,20,0))*0.285 + 87.5 + 0/4.25,0)</f>
        <v>216</v>
      </c>
      <c r="AX90" s="157"/>
      <c r="AY90" s="191" cm="1">
        <f t="array" aca="1" ref="AY90" ca="1">IF(TblConstr[[#This Row],[Hour]:[Hour]]&gt;12,OFFSET(TblConstr[[#This Row],[Hom]],-12,0),0)+OFFSET(TblConstr[[#This Row],[Tot Hom]],-1,0)-TblConstr[[#This Row],[Dest Hom]]</f>
        <v>40</v>
      </c>
      <c r="AZ90" s="192" cm="1">
        <f t="array" aca="1" ref="AZ90" ca="1">IF(TblConstr[[#This Row],[Hour]:[Hour]]&gt;12,OFFSET(TblConstr[[#This Row],[Alc]],-12,0),0)+OFFSET(TblConstr[[#This Row],[Tot Alc]],-1,0)-TblConstr[[#This Row],[Dest Alc]]</f>
        <v>275</v>
      </c>
      <c r="BA90" s="192" cm="1">
        <f t="array" aca="1" ref="BA90" ca="1">IF(TblConstr[[#This Row],[Hour]:[Hour]]&gt;12,OFFSET(TblConstr[[#This Row],[Far]],-12,0),0)+OFFSET(TblConstr[[#This Row],[Tot Farm]],-1,0)-TblConstr[[#This Row],[Dest Farm]]</f>
        <v>29</v>
      </c>
      <c r="BB90" s="192" cm="1">
        <f t="array" aca="1" ref="BB90" ca="1">IF(TblConstr[[#This Row],[Hour]:[Hour]]&gt;12,OFFSET(TblConstr[[#This Row],[Smi]],-12,0),0)+OFFSET(TblConstr[[#This Row],[Tot Smi]],-1,0)-TblConstr[[#This Row],[Dest Smi]]</f>
        <v>126</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25</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55</v>
      </c>
      <c r="BJ90" s="391" cm="1">
        <f t="array" aca="1" ref="BJ90" ca="1">IF(TblConstr[[#This Row],[Hour]:[Hour]]&gt;12,OFFSET(TblConstr[[#This Row],[Bar]],-12,0),0)+OFFSET(TblConstr[[#This Row],[Tot Bar]],-1,0)-TblConstr[[#This Row],[Dest Bar]]</f>
        <v>50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29</v>
      </c>
      <c r="BM90" s="395" cm="1">
        <f t="array" aca="1" ref="BM90" ca="1">IF(TblConstr[[#This Row],[Hour]:[Hour]]&gt;12,OFFSET(TblConstr[[#This Row],[Tem]],-12,0),0)+OFFSET(TblConstr[[#This Row],[Tot Tem]],-1,0)-TblConstr[[#This Row],[Dest Tem]]</f>
        <v>47</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24</v>
      </c>
      <c r="BR90" s="145"/>
      <c r="BS90" s="157"/>
      <c r="BT90" s="97">
        <f ca="1">TblConstr[[#This Row],[Land]]</f>
        <v>700</v>
      </c>
      <c r="BU90" s="162">
        <f ca="1">TblImps[[#This Row],[Time]]</f>
        <v>45433.333333333125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430</v>
      </c>
      <c r="DA90" s="97">
        <f t="shared" ca="1" si="24"/>
        <v>25</v>
      </c>
      <c r="DB90" s="45">
        <f t="shared" ca="1" si="25"/>
        <v>0</v>
      </c>
      <c r="DC90" s="97">
        <f t="shared" ca="1" si="26"/>
        <v>55</v>
      </c>
      <c r="DD90" s="97">
        <f t="shared" ca="1" si="27"/>
        <v>76</v>
      </c>
      <c r="DE90" s="45">
        <f t="shared" ca="1" si="28"/>
        <v>0</v>
      </c>
      <c r="DF90" s="97">
        <f t="shared" ca="1" si="29"/>
        <v>24</v>
      </c>
      <c r="DG90" s="97" cm="1">
        <f t="array" aca="1" ref="DG90" ca="1">INDEX(TblConstr[[Total Plain]:[Total Water]],ROW()-ROW(TblConstr[#Headers]),MATCH("Total "&amp;home_land,TblConstr[[#Headers],[Total Plain]:[Total Water]],0))+TblConstr[[#This Row],[Homes]]</f>
        <v>40</v>
      </c>
      <c r="DH90" s="45">
        <f t="shared" ca="1" si="22"/>
        <v>40</v>
      </c>
      <c r="DI90" s="45">
        <f t="shared" ca="1" si="19"/>
        <v>0</v>
      </c>
      <c r="DJ90" s="45">
        <f t="shared" ca="1" si="20"/>
        <v>0</v>
      </c>
    </row>
    <row r="91" spans="1:114" x14ac:dyDescent="0.2">
      <c r="A91" s="178">
        <f>TblRezone[[#This Row],[Hour]]</f>
        <v>88</v>
      </c>
      <c r="B91" s="179">
        <f ca="1">SUM(TblConstr[[#This Row],[Plain]:[Water]])</f>
        <v>0</v>
      </c>
      <c r="C91" s="180">
        <f ca="1">SUM(TblConstr[[#This Row],[Tot Hom]:[Tot Doc]])</f>
        <v>700</v>
      </c>
      <c r="D91" s="180">
        <f t="shared" si="21"/>
        <v>0</v>
      </c>
      <c r="E91" s="181"/>
      <c r="F91" s="62">
        <f ca="1">TblConstr[[#This Row],[Barren]]+TblConstr[[#This Row],[Buildings]]+TblConstr[[#This Row],[Incoming]]</f>
        <v>700</v>
      </c>
      <c r="G91" s="190">
        <f ca="1">OFFSET(TblConstr[[#This Row],[Plain]],-1,0)+TblConstr[[#This Row],[Ch_Plain]]</f>
        <v>0</v>
      </c>
      <c r="H91" s="185">
        <f ca="1">OFFSET(TblConstr[[#This Row],[Forest]],-1,0)+TblConstr[[#This Row],[Ch_Forest]]</f>
        <v>0</v>
      </c>
      <c r="I91" s="385">
        <f ca="1">OFFSET(TblConstr[[#This Row],[Mountain]],-1,0)+TblConstr[[#This Row],[Ch_Mountain]]</f>
        <v>0</v>
      </c>
      <c r="J91" s="389">
        <f ca="1">OFFSET(TblConstr[[#This Row],[Hill]],-1,0)+TblConstr[[#This Row],[Ch_Hill]]</f>
        <v>0</v>
      </c>
      <c r="K91" s="393">
        <f ca="1">OFFSET(TblConstr[[#This Row],[Swamp]],-1,0)+TblConstr[[#This Row],[Ch_Swamp]]</f>
        <v>0</v>
      </c>
      <c r="L91" s="188">
        <f ca="1">OFFSET(TblConstr[[#This Row],[Cavern]],-1,0)+TblConstr[[#This Row],[Ch_Cavern]]</f>
        <v>0</v>
      </c>
      <c r="M91" s="189">
        <f ca="1">OFFSET(TblConstr[[#This Row],[Water]],-1,0)+TblConstr[[#This Row],[Ch_Water]]</f>
        <v>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45433.374999999789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645725</v>
      </c>
      <c r="AL91" s="97">
        <f ca="1">TblProd[[#This Row],[Lumber]]</f>
        <v>27823</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1" s="97">
        <f ca="1">ROUNDDOWN( MAX(1 - MIN(facs_constr_factor*TblConstr[[#This Row],[Facs -DB]],facs_constr_max) + tech_1_11*TblTech[[#This Row],[11-1]] + tech_6_3_2*TblTech[[#This Row],[6-3]] + tech_5_2_3*TblTech[[#This Row],[5-2]], 1-global_constr_cap) * TblConstr[[#This Row],[RCPA Lumber]],0)</f>
        <v>216</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1" s="97">
        <f ca="1">ROUNDDOWN( MAX(1 - MIN(facs_constr_factor*TblConstr[[#This Row],[Facs DB]],facs_constr_max) + tech_1_11*TblTech[[#This Row],[1-11]] + tech_6_3_2*TblTech[[#This Row],[6-3]] + tech_5_2_3*TblTech[[#This Row],[5-2]], 1-global_constr_cap) * ROUND((TblConstr[[#This Row],[Land]]-250)*0.285 + 87.5 + 0/4.25,0),0)</f>
        <v>216</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1413</v>
      </c>
      <c r="AW91" s="97">
        <f ca="1">ROUND((TblConstr[[#This Row],[Land]]-250 - IF(TblExplore[[#This Row],[Land Bonus]]&lt;&gt;0,20,0))*0.285 + 87.5 + 0/4.25,0)</f>
        <v>216</v>
      </c>
      <c r="AX91" s="157"/>
      <c r="AY91" s="191" cm="1">
        <f t="array" aca="1" ref="AY91" ca="1">IF(TblConstr[[#This Row],[Hour]:[Hour]]&gt;12,OFFSET(TblConstr[[#This Row],[Hom]],-12,0),0)+OFFSET(TblConstr[[#This Row],[Tot Hom]],-1,0)-TblConstr[[#This Row],[Dest Hom]]</f>
        <v>40</v>
      </c>
      <c r="AZ91" s="192" cm="1">
        <f t="array" aca="1" ref="AZ91" ca="1">IF(TblConstr[[#This Row],[Hour]:[Hour]]&gt;12,OFFSET(TblConstr[[#This Row],[Alc]],-12,0),0)+OFFSET(TblConstr[[#This Row],[Tot Alc]],-1,0)-TblConstr[[#This Row],[Dest Alc]]</f>
        <v>275</v>
      </c>
      <c r="BA91" s="192" cm="1">
        <f t="array" aca="1" ref="BA91" ca="1">IF(TblConstr[[#This Row],[Hour]:[Hour]]&gt;12,OFFSET(TblConstr[[#This Row],[Far]],-12,0),0)+OFFSET(TblConstr[[#This Row],[Tot Farm]],-1,0)-TblConstr[[#This Row],[Dest Farm]]</f>
        <v>29</v>
      </c>
      <c r="BB91" s="192" cm="1">
        <f t="array" aca="1" ref="BB91" ca="1">IF(TblConstr[[#This Row],[Hour]:[Hour]]&gt;12,OFFSET(TblConstr[[#This Row],[Smi]],-12,0),0)+OFFSET(TblConstr[[#This Row],[Tot Smi]],-1,0)-TblConstr[[#This Row],[Dest Smi]]</f>
        <v>126</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25</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55</v>
      </c>
      <c r="BJ91" s="391" cm="1">
        <f t="array" aca="1" ref="BJ91" ca="1">IF(TblConstr[[#This Row],[Hour]:[Hour]]&gt;12,OFFSET(TblConstr[[#This Row],[Bar]],-12,0),0)+OFFSET(TblConstr[[#This Row],[Tot Bar]],-1,0)-TblConstr[[#This Row],[Dest Bar]]</f>
        <v>50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29</v>
      </c>
      <c r="BM91" s="395" cm="1">
        <f t="array" aca="1" ref="BM91" ca="1">IF(TblConstr[[#This Row],[Hour]:[Hour]]&gt;12,OFFSET(TblConstr[[#This Row],[Tem]],-12,0),0)+OFFSET(TblConstr[[#This Row],[Tot Tem]],-1,0)-TblConstr[[#This Row],[Dest Tem]]</f>
        <v>47</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24</v>
      </c>
      <c r="BR91" s="145"/>
      <c r="BS91" s="157"/>
      <c r="BT91" s="97">
        <f ca="1">TblConstr[[#This Row],[Land]]</f>
        <v>700</v>
      </c>
      <c r="BU91" s="162">
        <f ca="1">TblImps[[#This Row],[Time]]</f>
        <v>45433.374999999789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430</v>
      </c>
      <c r="DA91" s="97">
        <f t="shared" ca="1" si="24"/>
        <v>25</v>
      </c>
      <c r="DB91" s="45">
        <f t="shared" ca="1" si="25"/>
        <v>0</v>
      </c>
      <c r="DC91" s="97">
        <f t="shared" ca="1" si="26"/>
        <v>55</v>
      </c>
      <c r="DD91" s="97">
        <f t="shared" ca="1" si="27"/>
        <v>76</v>
      </c>
      <c r="DE91" s="45">
        <f t="shared" ca="1" si="28"/>
        <v>0</v>
      </c>
      <c r="DF91" s="97">
        <f t="shared" ca="1" si="29"/>
        <v>24</v>
      </c>
      <c r="DG91" s="97" cm="1">
        <f t="array" aca="1" ref="DG91" ca="1">INDEX(TblConstr[[Total Plain]:[Total Water]],ROW()-ROW(TblConstr[#Headers]),MATCH("Total "&amp;home_land,TblConstr[[#Headers],[Total Plain]:[Total Water]],0))+TblConstr[[#This Row],[Homes]]</f>
        <v>40</v>
      </c>
      <c r="DH91" s="45">
        <f t="shared" ca="1" si="22"/>
        <v>40</v>
      </c>
      <c r="DI91" s="45">
        <f t="shared" ca="1" si="19"/>
        <v>0</v>
      </c>
      <c r="DJ91" s="45">
        <f t="shared" ca="1" si="20"/>
        <v>0</v>
      </c>
    </row>
    <row r="92" spans="1:114" x14ac:dyDescent="0.2">
      <c r="A92" s="178">
        <f>TblRezone[[#This Row],[Hour]]</f>
        <v>89</v>
      </c>
      <c r="B92" s="179">
        <f ca="1">SUM(TblConstr[[#This Row],[Plain]:[Water]])</f>
        <v>0</v>
      </c>
      <c r="C92" s="180">
        <f ca="1">SUM(TblConstr[[#This Row],[Tot Hom]:[Tot Doc]])</f>
        <v>700</v>
      </c>
      <c r="D92" s="180">
        <f t="shared" si="21"/>
        <v>0</v>
      </c>
      <c r="E92" s="181"/>
      <c r="F92" s="62">
        <f ca="1">TblConstr[[#This Row],[Barren]]+TblConstr[[#This Row],[Buildings]]+TblConstr[[#This Row],[Incoming]]</f>
        <v>700</v>
      </c>
      <c r="G92" s="190">
        <f ca="1">OFFSET(TblConstr[[#This Row],[Plain]],-1,0)+TblConstr[[#This Row],[Ch_Plain]]</f>
        <v>0</v>
      </c>
      <c r="H92" s="185">
        <f ca="1">OFFSET(TblConstr[[#This Row],[Forest]],-1,0)+TblConstr[[#This Row],[Ch_Forest]]</f>
        <v>0</v>
      </c>
      <c r="I92" s="385">
        <f ca="1">OFFSET(TblConstr[[#This Row],[Mountain]],-1,0)+TblConstr[[#This Row],[Ch_Mountain]]</f>
        <v>0</v>
      </c>
      <c r="J92" s="389">
        <f ca="1">OFFSET(TblConstr[[#This Row],[Hill]],-1,0)+TblConstr[[#This Row],[Ch_Hill]]</f>
        <v>0</v>
      </c>
      <c r="K92" s="393">
        <f ca="1">OFFSET(TblConstr[[#This Row],[Swamp]],-1,0)+TblConstr[[#This Row],[Ch_Swamp]]</f>
        <v>0</v>
      </c>
      <c r="L92" s="188">
        <f ca="1">OFFSET(TblConstr[[#This Row],[Cavern]],-1,0)+TblConstr[[#This Row],[Ch_Cavern]]</f>
        <v>0</v>
      </c>
      <c r="M92" s="189">
        <f ca="1">OFFSET(TblConstr[[#This Row],[Water]],-1,0)+TblConstr[[#This Row],[Ch_Water]]</f>
        <v>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45433.416666666453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688847</v>
      </c>
      <c r="AL92" s="97">
        <f ca="1">TblProd[[#This Row],[Lumber]]</f>
        <v>28670</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2" s="97">
        <f ca="1">ROUNDDOWN( MAX(1 - MIN(facs_constr_factor*TblConstr[[#This Row],[Facs -DB]],facs_constr_max) + tech_1_11*TblTech[[#This Row],[11-1]] + tech_6_3_2*TblTech[[#This Row],[6-3]] + tech_5_2_3*TblTech[[#This Row],[5-2]], 1-global_constr_cap) * TblConstr[[#This Row],[RCPA Lumber]],0)</f>
        <v>216</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2" s="97">
        <f ca="1">ROUNDDOWN( MAX(1 - MIN(facs_constr_factor*TblConstr[[#This Row],[Facs DB]],facs_constr_max) + tech_1_11*TblTech[[#This Row],[1-11]] + tech_6_3_2*TblTech[[#This Row],[6-3]] + tech_5_2_3*TblTech[[#This Row],[5-2]], 1-global_constr_cap) * ROUND((TblConstr[[#This Row],[Land]]-250)*0.285 + 87.5 + 0/4.25,0),0)</f>
        <v>216</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1413</v>
      </c>
      <c r="AW92" s="97">
        <f ca="1">ROUND((TblConstr[[#This Row],[Land]]-250 - IF(TblExplore[[#This Row],[Land Bonus]]&lt;&gt;0,20,0))*0.285 + 87.5 + 0/4.25,0)</f>
        <v>216</v>
      </c>
      <c r="AX92" s="157"/>
      <c r="AY92" s="191" cm="1">
        <f t="array" aca="1" ref="AY92" ca="1">IF(TblConstr[[#This Row],[Hour]:[Hour]]&gt;12,OFFSET(TblConstr[[#This Row],[Hom]],-12,0),0)+OFFSET(TblConstr[[#This Row],[Tot Hom]],-1,0)-TblConstr[[#This Row],[Dest Hom]]</f>
        <v>40</v>
      </c>
      <c r="AZ92" s="192" cm="1">
        <f t="array" aca="1" ref="AZ92" ca="1">IF(TblConstr[[#This Row],[Hour]:[Hour]]&gt;12,OFFSET(TblConstr[[#This Row],[Alc]],-12,0),0)+OFFSET(TblConstr[[#This Row],[Tot Alc]],-1,0)-TblConstr[[#This Row],[Dest Alc]]</f>
        <v>275</v>
      </c>
      <c r="BA92" s="192" cm="1">
        <f t="array" aca="1" ref="BA92" ca="1">IF(TblConstr[[#This Row],[Hour]:[Hour]]&gt;12,OFFSET(TblConstr[[#This Row],[Far]],-12,0),0)+OFFSET(TblConstr[[#This Row],[Tot Farm]],-1,0)-TblConstr[[#This Row],[Dest Farm]]</f>
        <v>29</v>
      </c>
      <c r="BB92" s="192" cm="1">
        <f t="array" aca="1" ref="BB92" ca="1">IF(TblConstr[[#This Row],[Hour]:[Hour]]&gt;12,OFFSET(TblConstr[[#This Row],[Smi]],-12,0),0)+OFFSET(TblConstr[[#This Row],[Tot Smi]],-1,0)-TblConstr[[#This Row],[Dest Smi]]</f>
        <v>126</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25</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55</v>
      </c>
      <c r="BJ92" s="391" cm="1">
        <f t="array" aca="1" ref="BJ92" ca="1">IF(TblConstr[[#This Row],[Hour]:[Hour]]&gt;12,OFFSET(TblConstr[[#This Row],[Bar]],-12,0),0)+OFFSET(TblConstr[[#This Row],[Tot Bar]],-1,0)-TblConstr[[#This Row],[Dest Bar]]</f>
        <v>50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29</v>
      </c>
      <c r="BM92" s="395" cm="1">
        <f t="array" aca="1" ref="BM92" ca="1">IF(TblConstr[[#This Row],[Hour]:[Hour]]&gt;12,OFFSET(TblConstr[[#This Row],[Tem]],-12,0),0)+OFFSET(TblConstr[[#This Row],[Tot Tem]],-1,0)-TblConstr[[#This Row],[Dest Tem]]</f>
        <v>47</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24</v>
      </c>
      <c r="BR92" s="145"/>
      <c r="BS92" s="157"/>
      <c r="BT92" s="97">
        <f ca="1">TblConstr[[#This Row],[Land]]</f>
        <v>700</v>
      </c>
      <c r="BU92" s="162">
        <f ca="1">TblImps[[#This Row],[Time]]</f>
        <v>45433.416666666453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430</v>
      </c>
      <c r="DA92" s="97">
        <f t="shared" ca="1" si="24"/>
        <v>25</v>
      </c>
      <c r="DB92" s="45">
        <f t="shared" ca="1" si="25"/>
        <v>0</v>
      </c>
      <c r="DC92" s="97">
        <f t="shared" ca="1" si="26"/>
        <v>55</v>
      </c>
      <c r="DD92" s="97">
        <f t="shared" ca="1" si="27"/>
        <v>76</v>
      </c>
      <c r="DE92" s="45">
        <f t="shared" ca="1" si="28"/>
        <v>0</v>
      </c>
      <c r="DF92" s="97">
        <f t="shared" ca="1" si="29"/>
        <v>24</v>
      </c>
      <c r="DG92" s="97" cm="1">
        <f t="array" aca="1" ref="DG92" ca="1">INDEX(TblConstr[[Total Plain]:[Total Water]],ROW()-ROW(TblConstr[#Headers]),MATCH("Total "&amp;home_land,TblConstr[[#Headers],[Total Plain]:[Total Water]],0))+TblConstr[[#This Row],[Homes]]</f>
        <v>40</v>
      </c>
      <c r="DH92" s="45">
        <f t="shared" ca="1" si="22"/>
        <v>40</v>
      </c>
      <c r="DI92" s="45">
        <f t="shared" ca="1" si="19"/>
        <v>0</v>
      </c>
      <c r="DJ92" s="45">
        <f t="shared" ca="1" si="20"/>
        <v>0</v>
      </c>
    </row>
    <row r="93" spans="1:114" x14ac:dyDescent="0.2">
      <c r="A93" s="178">
        <f>TblRezone[[#This Row],[Hour]]</f>
        <v>90</v>
      </c>
      <c r="B93" s="179">
        <f ca="1">SUM(TblConstr[[#This Row],[Plain]:[Water]])</f>
        <v>0</v>
      </c>
      <c r="C93" s="180">
        <f ca="1">SUM(TblConstr[[#This Row],[Tot Hom]:[Tot Doc]])</f>
        <v>700</v>
      </c>
      <c r="D93" s="180">
        <f t="shared" si="21"/>
        <v>0</v>
      </c>
      <c r="E93" s="181"/>
      <c r="F93" s="62">
        <f ca="1">TblConstr[[#This Row],[Barren]]+TblConstr[[#This Row],[Buildings]]+TblConstr[[#This Row],[Incoming]]</f>
        <v>700</v>
      </c>
      <c r="G93" s="190">
        <f ca="1">OFFSET(TblConstr[[#This Row],[Plain]],-1,0)+TblConstr[[#This Row],[Ch_Plain]]</f>
        <v>0</v>
      </c>
      <c r="H93" s="185">
        <f ca="1">OFFSET(TblConstr[[#This Row],[Forest]],-1,0)+TblConstr[[#This Row],[Ch_Forest]]</f>
        <v>0</v>
      </c>
      <c r="I93" s="385">
        <f ca="1">OFFSET(TblConstr[[#This Row],[Mountain]],-1,0)+TblConstr[[#This Row],[Ch_Mountain]]</f>
        <v>0</v>
      </c>
      <c r="J93" s="389">
        <f ca="1">OFFSET(TblConstr[[#This Row],[Hill]],-1,0)+TblConstr[[#This Row],[Ch_Hill]]</f>
        <v>0</v>
      </c>
      <c r="K93" s="393">
        <f ca="1">OFFSET(TblConstr[[#This Row],[Swamp]],-1,0)+TblConstr[[#This Row],[Ch_Swamp]]</f>
        <v>0</v>
      </c>
      <c r="L93" s="188">
        <f ca="1">OFFSET(TblConstr[[#This Row],[Cavern]],-1,0)+TblConstr[[#This Row],[Ch_Cavern]]</f>
        <v>0</v>
      </c>
      <c r="M93" s="189">
        <f ca="1">OFFSET(TblConstr[[#This Row],[Water]],-1,0)+TblConstr[[#This Row],[Ch_Water]]</f>
        <v>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45433.458333333117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731714</v>
      </c>
      <c r="AL93" s="97">
        <f ca="1">TblProd[[#This Row],[Lumber]]</f>
        <v>29508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3" s="97">
        <f ca="1">ROUNDDOWN( MAX(1 - MIN(facs_constr_factor*TblConstr[[#This Row],[Facs -DB]],facs_constr_max) + tech_1_11*TblTech[[#This Row],[11-1]] + tech_6_3_2*TblTech[[#This Row],[6-3]] + tech_5_2_3*TblTech[[#This Row],[5-2]], 1-global_constr_cap) * TblConstr[[#This Row],[RCPA Lumber]],0)</f>
        <v>216</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3" s="97">
        <f ca="1">ROUNDDOWN( MAX(1 - MIN(facs_constr_factor*TblConstr[[#This Row],[Facs DB]],facs_constr_max) + tech_1_11*TblTech[[#This Row],[1-11]] + tech_6_3_2*TblTech[[#This Row],[6-3]] + tech_5_2_3*TblTech[[#This Row],[5-2]], 1-global_constr_cap) * ROUND((TblConstr[[#This Row],[Land]]-250)*0.285 + 87.5 + 0/4.25,0),0)</f>
        <v>216</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1413</v>
      </c>
      <c r="AW93" s="97">
        <f ca="1">ROUND((TblConstr[[#This Row],[Land]]-250 - IF(TblExplore[[#This Row],[Land Bonus]]&lt;&gt;0,20,0))*0.285 + 87.5 + 0/4.25,0)</f>
        <v>216</v>
      </c>
      <c r="AX93" s="157"/>
      <c r="AY93" s="191" cm="1">
        <f t="array" aca="1" ref="AY93" ca="1">IF(TblConstr[[#This Row],[Hour]:[Hour]]&gt;12,OFFSET(TblConstr[[#This Row],[Hom]],-12,0),0)+OFFSET(TblConstr[[#This Row],[Tot Hom]],-1,0)-TblConstr[[#This Row],[Dest Hom]]</f>
        <v>40</v>
      </c>
      <c r="AZ93" s="192" cm="1">
        <f t="array" aca="1" ref="AZ93" ca="1">IF(TblConstr[[#This Row],[Hour]:[Hour]]&gt;12,OFFSET(TblConstr[[#This Row],[Alc]],-12,0),0)+OFFSET(TblConstr[[#This Row],[Tot Alc]],-1,0)-TblConstr[[#This Row],[Dest Alc]]</f>
        <v>275</v>
      </c>
      <c r="BA93" s="192" cm="1">
        <f t="array" aca="1" ref="BA93" ca="1">IF(TblConstr[[#This Row],[Hour]:[Hour]]&gt;12,OFFSET(TblConstr[[#This Row],[Far]],-12,0),0)+OFFSET(TblConstr[[#This Row],[Tot Farm]],-1,0)-TblConstr[[#This Row],[Dest Farm]]</f>
        <v>29</v>
      </c>
      <c r="BB93" s="192" cm="1">
        <f t="array" aca="1" ref="BB93" ca="1">IF(TblConstr[[#This Row],[Hour]:[Hour]]&gt;12,OFFSET(TblConstr[[#This Row],[Smi]],-12,0),0)+OFFSET(TblConstr[[#This Row],[Tot Smi]],-1,0)-TblConstr[[#This Row],[Dest Smi]]</f>
        <v>126</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25</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55</v>
      </c>
      <c r="BJ93" s="391" cm="1">
        <f t="array" aca="1" ref="BJ93" ca="1">IF(TblConstr[[#This Row],[Hour]:[Hour]]&gt;12,OFFSET(TblConstr[[#This Row],[Bar]],-12,0),0)+OFFSET(TblConstr[[#This Row],[Tot Bar]],-1,0)-TblConstr[[#This Row],[Dest Bar]]</f>
        <v>50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29</v>
      </c>
      <c r="BM93" s="395" cm="1">
        <f t="array" aca="1" ref="BM93" ca="1">IF(TblConstr[[#This Row],[Hour]:[Hour]]&gt;12,OFFSET(TblConstr[[#This Row],[Tem]],-12,0),0)+OFFSET(TblConstr[[#This Row],[Tot Tem]],-1,0)-TblConstr[[#This Row],[Dest Tem]]</f>
        <v>47</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24</v>
      </c>
      <c r="BR93" s="145"/>
      <c r="BS93" s="157"/>
      <c r="BT93" s="97">
        <f ca="1">TblConstr[[#This Row],[Land]]</f>
        <v>700</v>
      </c>
      <c r="BU93" s="162">
        <f ca="1">TblImps[[#This Row],[Time]]</f>
        <v>45433.458333333117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430</v>
      </c>
      <c r="DA93" s="97">
        <f t="shared" ca="1" si="24"/>
        <v>25</v>
      </c>
      <c r="DB93" s="45">
        <f t="shared" ca="1" si="25"/>
        <v>0</v>
      </c>
      <c r="DC93" s="97">
        <f t="shared" ca="1" si="26"/>
        <v>55</v>
      </c>
      <c r="DD93" s="97">
        <f t="shared" ca="1" si="27"/>
        <v>76</v>
      </c>
      <c r="DE93" s="45">
        <f t="shared" ca="1" si="28"/>
        <v>0</v>
      </c>
      <c r="DF93" s="97">
        <f t="shared" ca="1" si="29"/>
        <v>24</v>
      </c>
      <c r="DG93" s="97" cm="1">
        <f t="array" aca="1" ref="DG93" ca="1">INDEX(TblConstr[[Total Plain]:[Total Water]],ROW()-ROW(TblConstr[#Headers]),MATCH("Total "&amp;home_land,TblConstr[[#Headers],[Total Plain]:[Total Water]],0))+TblConstr[[#This Row],[Homes]]</f>
        <v>40</v>
      </c>
      <c r="DH93" s="45">
        <f t="shared" ca="1" si="22"/>
        <v>40</v>
      </c>
      <c r="DI93" s="45">
        <f t="shared" ca="1" si="19"/>
        <v>0</v>
      </c>
      <c r="DJ93" s="45">
        <f t="shared" ca="1" si="20"/>
        <v>0</v>
      </c>
    </row>
    <row r="94" spans="1:114" x14ac:dyDescent="0.2">
      <c r="A94" s="178">
        <f>TblRezone[[#This Row],[Hour]]</f>
        <v>91</v>
      </c>
      <c r="B94" s="179">
        <f ca="1">SUM(TblConstr[[#This Row],[Plain]:[Water]])</f>
        <v>0</v>
      </c>
      <c r="C94" s="180">
        <f ca="1">SUM(TblConstr[[#This Row],[Tot Hom]:[Tot Doc]])</f>
        <v>700</v>
      </c>
      <c r="D94" s="180">
        <f t="shared" si="21"/>
        <v>0</v>
      </c>
      <c r="E94" s="181"/>
      <c r="F94" s="62">
        <f ca="1">TblConstr[[#This Row],[Barren]]+TblConstr[[#This Row],[Buildings]]+TblConstr[[#This Row],[Incoming]]</f>
        <v>700</v>
      </c>
      <c r="G94" s="190">
        <f ca="1">OFFSET(TblConstr[[#This Row],[Plain]],-1,0)+TblConstr[[#This Row],[Ch_Plain]]</f>
        <v>0</v>
      </c>
      <c r="H94" s="185">
        <f ca="1">OFFSET(TblConstr[[#This Row],[Forest]],-1,0)+TblConstr[[#This Row],[Ch_Forest]]</f>
        <v>0</v>
      </c>
      <c r="I94" s="385">
        <f ca="1">OFFSET(TblConstr[[#This Row],[Mountain]],-1,0)+TblConstr[[#This Row],[Ch_Mountain]]</f>
        <v>0</v>
      </c>
      <c r="J94" s="389">
        <f ca="1">OFFSET(TblConstr[[#This Row],[Hill]],-1,0)+TblConstr[[#This Row],[Ch_Hill]]</f>
        <v>0</v>
      </c>
      <c r="K94" s="393">
        <f ca="1">OFFSET(TblConstr[[#This Row],[Swamp]],-1,0)+TblConstr[[#This Row],[Ch_Swamp]]</f>
        <v>0</v>
      </c>
      <c r="L94" s="188">
        <f ca="1">OFFSET(TblConstr[[#This Row],[Cavern]],-1,0)+TblConstr[[#This Row],[Ch_Cavern]]</f>
        <v>0</v>
      </c>
      <c r="M94" s="189">
        <f ca="1">OFFSET(TblConstr[[#This Row],[Water]],-1,0)+TblConstr[[#This Row],[Ch_Water]]</f>
        <v>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45433.499999999782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774328</v>
      </c>
      <c r="AL94" s="97">
        <f ca="1">TblProd[[#This Row],[Lumber]]</f>
        <v>30338</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4" s="97">
        <f ca="1">ROUNDDOWN( MAX(1 - MIN(facs_constr_factor*TblConstr[[#This Row],[Facs -DB]],facs_constr_max) + tech_1_11*TblTech[[#This Row],[11-1]] + tech_6_3_2*TblTech[[#This Row],[6-3]] + tech_5_2_3*TblTech[[#This Row],[5-2]], 1-global_constr_cap) * TblConstr[[#This Row],[RCPA Lumber]],0)</f>
        <v>216</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4" s="97">
        <f ca="1">ROUNDDOWN( MAX(1 - MIN(facs_constr_factor*TblConstr[[#This Row],[Facs DB]],facs_constr_max) + tech_1_11*TblTech[[#This Row],[1-11]] + tech_6_3_2*TblTech[[#This Row],[6-3]] + tech_5_2_3*TblTech[[#This Row],[5-2]], 1-global_constr_cap) * ROUND((TblConstr[[#This Row],[Land]]-250)*0.285 + 87.5 + 0/4.25,0),0)</f>
        <v>216</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1413</v>
      </c>
      <c r="AW94" s="97">
        <f ca="1">ROUND((TblConstr[[#This Row],[Land]]-250 - IF(TblExplore[[#This Row],[Land Bonus]]&lt;&gt;0,20,0))*0.285 + 87.5 + 0/4.25,0)</f>
        <v>216</v>
      </c>
      <c r="AX94" s="157"/>
      <c r="AY94" s="191" cm="1">
        <f t="array" aca="1" ref="AY94" ca="1">IF(TblConstr[[#This Row],[Hour]:[Hour]]&gt;12,OFFSET(TblConstr[[#This Row],[Hom]],-12,0),0)+OFFSET(TblConstr[[#This Row],[Tot Hom]],-1,0)-TblConstr[[#This Row],[Dest Hom]]</f>
        <v>40</v>
      </c>
      <c r="AZ94" s="192" cm="1">
        <f t="array" aca="1" ref="AZ94" ca="1">IF(TblConstr[[#This Row],[Hour]:[Hour]]&gt;12,OFFSET(TblConstr[[#This Row],[Alc]],-12,0),0)+OFFSET(TblConstr[[#This Row],[Tot Alc]],-1,0)-TblConstr[[#This Row],[Dest Alc]]</f>
        <v>275</v>
      </c>
      <c r="BA94" s="192" cm="1">
        <f t="array" aca="1" ref="BA94" ca="1">IF(TblConstr[[#This Row],[Hour]:[Hour]]&gt;12,OFFSET(TblConstr[[#This Row],[Far]],-12,0),0)+OFFSET(TblConstr[[#This Row],[Tot Farm]],-1,0)-TblConstr[[#This Row],[Dest Farm]]</f>
        <v>29</v>
      </c>
      <c r="BB94" s="192" cm="1">
        <f t="array" aca="1" ref="BB94" ca="1">IF(TblConstr[[#This Row],[Hour]:[Hour]]&gt;12,OFFSET(TblConstr[[#This Row],[Smi]],-12,0),0)+OFFSET(TblConstr[[#This Row],[Tot Smi]],-1,0)-TblConstr[[#This Row],[Dest Smi]]</f>
        <v>126</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25</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55</v>
      </c>
      <c r="BJ94" s="391" cm="1">
        <f t="array" aca="1" ref="BJ94" ca="1">IF(TblConstr[[#This Row],[Hour]:[Hour]]&gt;12,OFFSET(TblConstr[[#This Row],[Bar]],-12,0),0)+OFFSET(TblConstr[[#This Row],[Tot Bar]],-1,0)-TblConstr[[#This Row],[Dest Bar]]</f>
        <v>50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29</v>
      </c>
      <c r="BM94" s="395" cm="1">
        <f t="array" aca="1" ref="BM94" ca="1">IF(TblConstr[[#This Row],[Hour]:[Hour]]&gt;12,OFFSET(TblConstr[[#This Row],[Tem]],-12,0),0)+OFFSET(TblConstr[[#This Row],[Tot Tem]],-1,0)-TblConstr[[#This Row],[Dest Tem]]</f>
        <v>47</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24</v>
      </c>
      <c r="BR94" s="145"/>
      <c r="BS94" s="157"/>
      <c r="BT94" s="97">
        <f ca="1">TblConstr[[#This Row],[Land]]</f>
        <v>700</v>
      </c>
      <c r="BU94" s="162">
        <f ca="1">TblImps[[#This Row],[Time]]</f>
        <v>45433.499999999782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430</v>
      </c>
      <c r="DA94" s="97">
        <f t="shared" ca="1" si="24"/>
        <v>25</v>
      </c>
      <c r="DB94" s="45">
        <f t="shared" ca="1" si="25"/>
        <v>0</v>
      </c>
      <c r="DC94" s="97">
        <f t="shared" ca="1" si="26"/>
        <v>55</v>
      </c>
      <c r="DD94" s="97">
        <f t="shared" ca="1" si="27"/>
        <v>76</v>
      </c>
      <c r="DE94" s="45">
        <f t="shared" ca="1" si="28"/>
        <v>0</v>
      </c>
      <c r="DF94" s="97">
        <f t="shared" ca="1" si="29"/>
        <v>24</v>
      </c>
      <c r="DG94" s="97" cm="1">
        <f t="array" aca="1" ref="DG94" ca="1">INDEX(TblConstr[[Total Plain]:[Total Water]],ROW()-ROW(TblConstr[#Headers]),MATCH("Total "&amp;home_land,TblConstr[[#Headers],[Total Plain]:[Total Water]],0))+TblConstr[[#This Row],[Homes]]</f>
        <v>40</v>
      </c>
      <c r="DH94" s="45">
        <f t="shared" ca="1" si="22"/>
        <v>40</v>
      </c>
      <c r="DI94" s="45">
        <f t="shared" ca="1" si="19"/>
        <v>0</v>
      </c>
      <c r="DJ94" s="45">
        <f t="shared" ca="1" si="20"/>
        <v>0</v>
      </c>
    </row>
    <row r="95" spans="1:114" x14ac:dyDescent="0.2">
      <c r="A95" s="178">
        <f>TblRezone[[#This Row],[Hour]]</f>
        <v>92</v>
      </c>
      <c r="B95" s="179">
        <f ca="1">SUM(TblConstr[[#This Row],[Plain]:[Water]])</f>
        <v>0</v>
      </c>
      <c r="C95" s="180">
        <f ca="1">SUM(TblConstr[[#This Row],[Tot Hom]:[Tot Doc]])</f>
        <v>700</v>
      </c>
      <c r="D95" s="180">
        <f t="shared" si="21"/>
        <v>0</v>
      </c>
      <c r="E95" s="181"/>
      <c r="F95" s="62">
        <f ca="1">TblConstr[[#This Row],[Barren]]+TblConstr[[#This Row],[Buildings]]+TblConstr[[#This Row],[Incoming]]</f>
        <v>700</v>
      </c>
      <c r="G95" s="190">
        <f ca="1">OFFSET(TblConstr[[#This Row],[Plain]],-1,0)+TblConstr[[#This Row],[Ch_Plain]]</f>
        <v>0</v>
      </c>
      <c r="H95" s="185">
        <f ca="1">OFFSET(TblConstr[[#This Row],[Forest]],-1,0)+TblConstr[[#This Row],[Ch_Forest]]</f>
        <v>0</v>
      </c>
      <c r="I95" s="385">
        <f ca="1">OFFSET(TblConstr[[#This Row],[Mountain]],-1,0)+TblConstr[[#This Row],[Ch_Mountain]]</f>
        <v>0</v>
      </c>
      <c r="J95" s="389">
        <f ca="1">OFFSET(TblConstr[[#This Row],[Hill]],-1,0)+TblConstr[[#This Row],[Ch_Hill]]</f>
        <v>0</v>
      </c>
      <c r="K95" s="393">
        <f ca="1">OFFSET(TblConstr[[#This Row],[Swamp]],-1,0)+TblConstr[[#This Row],[Ch_Swamp]]</f>
        <v>0</v>
      </c>
      <c r="L95" s="188">
        <f ca="1">OFFSET(TblConstr[[#This Row],[Cavern]],-1,0)+TblConstr[[#This Row],[Ch_Cavern]]</f>
        <v>0</v>
      </c>
      <c r="M95" s="189">
        <f ca="1">OFFSET(TblConstr[[#This Row],[Water]],-1,0)+TblConstr[[#This Row],[Ch_Water]]</f>
        <v>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45433.541666666446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816693</v>
      </c>
      <c r="AL95" s="97">
        <f ca="1">TblProd[[#This Row],[Lumber]]</f>
        <v>31160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5" s="97">
        <f ca="1">ROUNDDOWN( MAX(1 - MIN(facs_constr_factor*TblConstr[[#This Row],[Facs -DB]],facs_constr_max) + tech_1_11*TblTech[[#This Row],[11-1]] + tech_6_3_2*TblTech[[#This Row],[6-3]] + tech_5_2_3*TblTech[[#This Row],[5-2]], 1-global_constr_cap) * TblConstr[[#This Row],[RCPA Lumber]],0)</f>
        <v>216</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5" s="97">
        <f ca="1">ROUNDDOWN( MAX(1 - MIN(facs_constr_factor*TblConstr[[#This Row],[Facs DB]],facs_constr_max) + tech_1_11*TblTech[[#This Row],[1-11]] + tech_6_3_2*TblTech[[#This Row],[6-3]] + tech_5_2_3*TblTech[[#This Row],[5-2]], 1-global_constr_cap) * ROUND((TblConstr[[#This Row],[Land]]-250)*0.285 + 87.5 + 0/4.25,0),0)</f>
        <v>216</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1413</v>
      </c>
      <c r="AW95" s="97">
        <f ca="1">ROUND((TblConstr[[#This Row],[Land]]-250 - IF(TblExplore[[#This Row],[Land Bonus]]&lt;&gt;0,20,0))*0.285 + 87.5 + 0/4.25,0)</f>
        <v>216</v>
      </c>
      <c r="AX95" s="157"/>
      <c r="AY95" s="191" cm="1">
        <f t="array" aca="1" ref="AY95" ca="1">IF(TblConstr[[#This Row],[Hour]:[Hour]]&gt;12,OFFSET(TblConstr[[#This Row],[Hom]],-12,0),0)+OFFSET(TblConstr[[#This Row],[Tot Hom]],-1,0)-TblConstr[[#This Row],[Dest Hom]]</f>
        <v>40</v>
      </c>
      <c r="AZ95" s="192" cm="1">
        <f t="array" aca="1" ref="AZ95" ca="1">IF(TblConstr[[#This Row],[Hour]:[Hour]]&gt;12,OFFSET(TblConstr[[#This Row],[Alc]],-12,0),0)+OFFSET(TblConstr[[#This Row],[Tot Alc]],-1,0)-TblConstr[[#This Row],[Dest Alc]]</f>
        <v>275</v>
      </c>
      <c r="BA95" s="192" cm="1">
        <f t="array" aca="1" ref="BA95" ca="1">IF(TblConstr[[#This Row],[Hour]:[Hour]]&gt;12,OFFSET(TblConstr[[#This Row],[Far]],-12,0),0)+OFFSET(TblConstr[[#This Row],[Tot Farm]],-1,0)-TblConstr[[#This Row],[Dest Farm]]</f>
        <v>29</v>
      </c>
      <c r="BB95" s="192" cm="1">
        <f t="array" aca="1" ref="BB95" ca="1">IF(TblConstr[[#This Row],[Hour]:[Hour]]&gt;12,OFFSET(TblConstr[[#This Row],[Smi]],-12,0),0)+OFFSET(TblConstr[[#This Row],[Tot Smi]],-1,0)-TblConstr[[#This Row],[Dest Smi]]</f>
        <v>126</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25</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55</v>
      </c>
      <c r="BJ95" s="391" cm="1">
        <f t="array" aca="1" ref="BJ95" ca="1">IF(TblConstr[[#This Row],[Hour]:[Hour]]&gt;12,OFFSET(TblConstr[[#This Row],[Bar]],-12,0),0)+OFFSET(TblConstr[[#This Row],[Tot Bar]],-1,0)-TblConstr[[#This Row],[Dest Bar]]</f>
        <v>50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29</v>
      </c>
      <c r="BM95" s="395" cm="1">
        <f t="array" aca="1" ref="BM95" ca="1">IF(TblConstr[[#This Row],[Hour]:[Hour]]&gt;12,OFFSET(TblConstr[[#This Row],[Tem]],-12,0),0)+OFFSET(TblConstr[[#This Row],[Tot Tem]],-1,0)-TblConstr[[#This Row],[Dest Tem]]</f>
        <v>47</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24</v>
      </c>
      <c r="BR95" s="145"/>
      <c r="BS95" s="157"/>
      <c r="BT95" s="97">
        <f ca="1">TblConstr[[#This Row],[Land]]</f>
        <v>700</v>
      </c>
      <c r="BU95" s="162">
        <f ca="1">TblImps[[#This Row],[Time]]</f>
        <v>45433.541666666446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430</v>
      </c>
      <c r="DA95" s="97">
        <f t="shared" ca="1" si="24"/>
        <v>25</v>
      </c>
      <c r="DB95" s="45">
        <f t="shared" ca="1" si="25"/>
        <v>0</v>
      </c>
      <c r="DC95" s="97">
        <f t="shared" ca="1" si="26"/>
        <v>55</v>
      </c>
      <c r="DD95" s="97">
        <f t="shared" ca="1" si="27"/>
        <v>76</v>
      </c>
      <c r="DE95" s="45">
        <f t="shared" ca="1" si="28"/>
        <v>0</v>
      </c>
      <c r="DF95" s="97">
        <f t="shared" ca="1" si="29"/>
        <v>24</v>
      </c>
      <c r="DG95" s="97" cm="1">
        <f t="array" aca="1" ref="DG95" ca="1">INDEX(TblConstr[[Total Plain]:[Total Water]],ROW()-ROW(TblConstr[#Headers]),MATCH("Total "&amp;home_land,TblConstr[[#Headers],[Total Plain]:[Total Water]],0))+TblConstr[[#This Row],[Homes]]</f>
        <v>40</v>
      </c>
      <c r="DH95" s="45">
        <f t="shared" ca="1" si="22"/>
        <v>40</v>
      </c>
      <c r="DI95" s="45">
        <f t="shared" ca="1" si="19"/>
        <v>0</v>
      </c>
      <c r="DJ95" s="45">
        <f t="shared" ca="1" si="20"/>
        <v>0</v>
      </c>
    </row>
    <row r="96" spans="1:114" x14ac:dyDescent="0.2">
      <c r="A96" s="178">
        <f>TblRezone[[#This Row],[Hour]]</f>
        <v>93</v>
      </c>
      <c r="B96" s="179">
        <f ca="1">SUM(TblConstr[[#This Row],[Plain]:[Water]])</f>
        <v>0</v>
      </c>
      <c r="C96" s="180">
        <f ca="1">SUM(TblConstr[[#This Row],[Tot Hom]:[Tot Doc]])</f>
        <v>700</v>
      </c>
      <c r="D96" s="180">
        <f t="shared" si="21"/>
        <v>0</v>
      </c>
      <c r="E96" s="181"/>
      <c r="F96" s="62">
        <f ca="1">TblConstr[[#This Row],[Barren]]+TblConstr[[#This Row],[Buildings]]+TblConstr[[#This Row],[Incoming]]</f>
        <v>700</v>
      </c>
      <c r="G96" s="190">
        <f ca="1">OFFSET(TblConstr[[#This Row],[Plain]],-1,0)+TblConstr[[#This Row],[Ch_Plain]]</f>
        <v>0</v>
      </c>
      <c r="H96" s="185">
        <f ca="1">OFFSET(TblConstr[[#This Row],[Forest]],-1,0)+TblConstr[[#This Row],[Ch_Forest]]</f>
        <v>0</v>
      </c>
      <c r="I96" s="385">
        <f ca="1">OFFSET(TblConstr[[#This Row],[Mountain]],-1,0)+TblConstr[[#This Row],[Ch_Mountain]]</f>
        <v>0</v>
      </c>
      <c r="J96" s="389">
        <f ca="1">OFFSET(TblConstr[[#This Row],[Hill]],-1,0)+TblConstr[[#This Row],[Ch_Hill]]</f>
        <v>0</v>
      </c>
      <c r="K96" s="393">
        <f ca="1">OFFSET(TblConstr[[#This Row],[Swamp]],-1,0)+TblConstr[[#This Row],[Ch_Swamp]]</f>
        <v>0</v>
      </c>
      <c r="L96" s="188">
        <f ca="1">OFFSET(TblConstr[[#This Row],[Cavern]],-1,0)+TblConstr[[#This Row],[Ch_Cavern]]</f>
        <v>0</v>
      </c>
      <c r="M96" s="189">
        <f ca="1">OFFSET(TblConstr[[#This Row],[Water]],-1,0)+TblConstr[[#This Row],[Ch_Water]]</f>
        <v>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45433.58333333311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858808</v>
      </c>
      <c r="AL96" s="97">
        <f ca="1">TblProd[[#This Row],[Lumber]]</f>
        <v>31973</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6" s="97">
        <f ca="1">ROUNDDOWN( MAX(1 - MIN(facs_constr_factor*TblConstr[[#This Row],[Facs -DB]],facs_constr_max) + tech_1_11*TblTech[[#This Row],[11-1]] + tech_6_3_2*TblTech[[#This Row],[6-3]] + tech_5_2_3*TblTech[[#This Row],[5-2]], 1-global_constr_cap) * TblConstr[[#This Row],[RCPA Lumber]],0)</f>
        <v>216</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6" s="97">
        <f ca="1">ROUNDDOWN( MAX(1 - MIN(facs_constr_factor*TblConstr[[#This Row],[Facs DB]],facs_constr_max) + tech_1_11*TblTech[[#This Row],[1-11]] + tech_6_3_2*TblTech[[#This Row],[6-3]] + tech_5_2_3*TblTech[[#This Row],[5-2]], 1-global_constr_cap) * ROUND((TblConstr[[#This Row],[Land]]-250)*0.285 + 87.5 + 0/4.25,0),0)</f>
        <v>216</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1413</v>
      </c>
      <c r="AW96" s="97">
        <f ca="1">ROUND((TblConstr[[#This Row],[Land]]-250 - IF(TblExplore[[#This Row],[Land Bonus]]&lt;&gt;0,20,0))*0.285 + 87.5 + 0/4.25,0)</f>
        <v>216</v>
      </c>
      <c r="AX96" s="157"/>
      <c r="AY96" s="191" cm="1">
        <f t="array" aca="1" ref="AY96" ca="1">IF(TblConstr[[#This Row],[Hour]:[Hour]]&gt;12,OFFSET(TblConstr[[#This Row],[Hom]],-12,0),0)+OFFSET(TblConstr[[#This Row],[Tot Hom]],-1,0)-TblConstr[[#This Row],[Dest Hom]]</f>
        <v>40</v>
      </c>
      <c r="AZ96" s="192" cm="1">
        <f t="array" aca="1" ref="AZ96" ca="1">IF(TblConstr[[#This Row],[Hour]:[Hour]]&gt;12,OFFSET(TblConstr[[#This Row],[Alc]],-12,0),0)+OFFSET(TblConstr[[#This Row],[Tot Alc]],-1,0)-TblConstr[[#This Row],[Dest Alc]]</f>
        <v>275</v>
      </c>
      <c r="BA96" s="192" cm="1">
        <f t="array" aca="1" ref="BA96" ca="1">IF(TblConstr[[#This Row],[Hour]:[Hour]]&gt;12,OFFSET(TblConstr[[#This Row],[Far]],-12,0),0)+OFFSET(TblConstr[[#This Row],[Tot Farm]],-1,0)-TblConstr[[#This Row],[Dest Farm]]</f>
        <v>29</v>
      </c>
      <c r="BB96" s="192" cm="1">
        <f t="array" aca="1" ref="BB96" ca="1">IF(TblConstr[[#This Row],[Hour]:[Hour]]&gt;12,OFFSET(TblConstr[[#This Row],[Smi]],-12,0),0)+OFFSET(TblConstr[[#This Row],[Tot Smi]],-1,0)-TblConstr[[#This Row],[Dest Smi]]</f>
        <v>126</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25</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55</v>
      </c>
      <c r="BJ96" s="391" cm="1">
        <f t="array" aca="1" ref="BJ96" ca="1">IF(TblConstr[[#This Row],[Hour]:[Hour]]&gt;12,OFFSET(TblConstr[[#This Row],[Bar]],-12,0),0)+OFFSET(TblConstr[[#This Row],[Tot Bar]],-1,0)-TblConstr[[#This Row],[Dest Bar]]</f>
        <v>50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29</v>
      </c>
      <c r="BM96" s="395" cm="1">
        <f t="array" aca="1" ref="BM96" ca="1">IF(TblConstr[[#This Row],[Hour]:[Hour]]&gt;12,OFFSET(TblConstr[[#This Row],[Tem]],-12,0),0)+OFFSET(TblConstr[[#This Row],[Tot Tem]],-1,0)-TblConstr[[#This Row],[Dest Tem]]</f>
        <v>47</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24</v>
      </c>
      <c r="BR96" s="145"/>
      <c r="BS96" s="157"/>
      <c r="BT96" s="97">
        <f ca="1">TblConstr[[#This Row],[Land]]</f>
        <v>700</v>
      </c>
      <c r="BU96" s="162">
        <f ca="1">TblImps[[#This Row],[Time]]</f>
        <v>45433.58333333311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430</v>
      </c>
      <c r="DA96" s="97">
        <f t="shared" ca="1" si="24"/>
        <v>25</v>
      </c>
      <c r="DB96" s="45">
        <f t="shared" ca="1" si="25"/>
        <v>0</v>
      </c>
      <c r="DC96" s="97">
        <f t="shared" ca="1" si="26"/>
        <v>55</v>
      </c>
      <c r="DD96" s="97">
        <f t="shared" ca="1" si="27"/>
        <v>76</v>
      </c>
      <c r="DE96" s="45">
        <f t="shared" ca="1" si="28"/>
        <v>0</v>
      </c>
      <c r="DF96" s="97">
        <f t="shared" ca="1" si="29"/>
        <v>24</v>
      </c>
      <c r="DG96" s="97" cm="1">
        <f t="array" aca="1" ref="DG96" ca="1">INDEX(TblConstr[[Total Plain]:[Total Water]],ROW()-ROW(TblConstr[#Headers]),MATCH("Total "&amp;home_land,TblConstr[[#Headers],[Total Plain]:[Total Water]],0))+TblConstr[[#This Row],[Homes]]</f>
        <v>40</v>
      </c>
      <c r="DH96" s="45">
        <f t="shared" ca="1" si="22"/>
        <v>40</v>
      </c>
      <c r="DI96" s="45">
        <f t="shared" ca="1" si="19"/>
        <v>0</v>
      </c>
      <c r="DJ96" s="45">
        <f t="shared" ca="1" si="20"/>
        <v>0</v>
      </c>
    </row>
    <row r="97" spans="1:114" x14ac:dyDescent="0.2">
      <c r="A97" s="178">
        <f>TblRezone[[#This Row],[Hour]]</f>
        <v>94</v>
      </c>
      <c r="B97" s="179">
        <f ca="1">SUM(TblConstr[[#This Row],[Plain]:[Water]])</f>
        <v>0</v>
      </c>
      <c r="C97" s="180">
        <f ca="1">SUM(TblConstr[[#This Row],[Tot Hom]:[Tot Doc]])</f>
        <v>700</v>
      </c>
      <c r="D97" s="180">
        <f t="shared" si="21"/>
        <v>0</v>
      </c>
      <c r="E97" s="181"/>
      <c r="F97" s="62">
        <f ca="1">TblConstr[[#This Row],[Barren]]+TblConstr[[#This Row],[Buildings]]+TblConstr[[#This Row],[Incoming]]</f>
        <v>700</v>
      </c>
      <c r="G97" s="190">
        <f ca="1">OFFSET(TblConstr[[#This Row],[Plain]],-1,0)+TblConstr[[#This Row],[Ch_Plain]]</f>
        <v>0</v>
      </c>
      <c r="H97" s="185">
        <f ca="1">OFFSET(TblConstr[[#This Row],[Forest]],-1,0)+TblConstr[[#This Row],[Ch_Forest]]</f>
        <v>0</v>
      </c>
      <c r="I97" s="385">
        <f ca="1">OFFSET(TblConstr[[#This Row],[Mountain]],-1,0)+TblConstr[[#This Row],[Ch_Mountain]]</f>
        <v>0</v>
      </c>
      <c r="J97" s="389">
        <f ca="1">OFFSET(TblConstr[[#This Row],[Hill]],-1,0)+TblConstr[[#This Row],[Ch_Hill]]</f>
        <v>0</v>
      </c>
      <c r="K97" s="393">
        <f ca="1">OFFSET(TblConstr[[#This Row],[Swamp]],-1,0)+TblConstr[[#This Row],[Ch_Swamp]]</f>
        <v>0</v>
      </c>
      <c r="L97" s="188">
        <f ca="1">OFFSET(TblConstr[[#This Row],[Cavern]],-1,0)+TblConstr[[#This Row],[Ch_Cavern]]</f>
        <v>0</v>
      </c>
      <c r="M97" s="189">
        <f ca="1">OFFSET(TblConstr[[#This Row],[Water]],-1,0)+TblConstr[[#This Row],[Ch_Water]]</f>
        <v>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45433.624999999774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900677</v>
      </c>
      <c r="AL97" s="97">
        <f ca="1">TblProd[[#This Row],[Lumber]]</f>
        <v>32778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7" s="97">
        <f ca="1">ROUNDDOWN( MAX(1 - MIN(facs_constr_factor*TblConstr[[#This Row],[Facs -DB]],facs_constr_max) + tech_1_11*TblTech[[#This Row],[11-1]] + tech_6_3_2*TblTech[[#This Row],[6-3]] + tech_5_2_3*TblTech[[#This Row],[5-2]], 1-global_constr_cap) * TblConstr[[#This Row],[RCPA Lumber]],0)</f>
        <v>216</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7" s="97">
        <f ca="1">ROUNDDOWN( MAX(1 - MIN(facs_constr_factor*TblConstr[[#This Row],[Facs DB]],facs_constr_max) + tech_1_11*TblTech[[#This Row],[1-11]] + tech_6_3_2*TblTech[[#This Row],[6-3]] + tech_5_2_3*TblTech[[#This Row],[5-2]], 1-global_constr_cap) * ROUND((TblConstr[[#This Row],[Land]]-250)*0.285 + 87.5 + 0/4.25,0),0)</f>
        <v>216</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1413</v>
      </c>
      <c r="AW97" s="97">
        <f ca="1">ROUND((TblConstr[[#This Row],[Land]]-250 - IF(TblExplore[[#This Row],[Land Bonus]]&lt;&gt;0,20,0))*0.285 + 87.5 + 0/4.25,0)</f>
        <v>216</v>
      </c>
      <c r="AX97" s="157"/>
      <c r="AY97" s="191" cm="1">
        <f t="array" aca="1" ref="AY97" ca="1">IF(TblConstr[[#This Row],[Hour]:[Hour]]&gt;12,OFFSET(TblConstr[[#This Row],[Hom]],-12,0),0)+OFFSET(TblConstr[[#This Row],[Tot Hom]],-1,0)-TblConstr[[#This Row],[Dest Hom]]</f>
        <v>40</v>
      </c>
      <c r="AZ97" s="192" cm="1">
        <f t="array" aca="1" ref="AZ97" ca="1">IF(TblConstr[[#This Row],[Hour]:[Hour]]&gt;12,OFFSET(TblConstr[[#This Row],[Alc]],-12,0),0)+OFFSET(TblConstr[[#This Row],[Tot Alc]],-1,0)-TblConstr[[#This Row],[Dest Alc]]</f>
        <v>275</v>
      </c>
      <c r="BA97" s="192" cm="1">
        <f t="array" aca="1" ref="BA97" ca="1">IF(TblConstr[[#This Row],[Hour]:[Hour]]&gt;12,OFFSET(TblConstr[[#This Row],[Far]],-12,0),0)+OFFSET(TblConstr[[#This Row],[Tot Farm]],-1,0)-TblConstr[[#This Row],[Dest Farm]]</f>
        <v>29</v>
      </c>
      <c r="BB97" s="192" cm="1">
        <f t="array" aca="1" ref="BB97" ca="1">IF(TblConstr[[#This Row],[Hour]:[Hour]]&gt;12,OFFSET(TblConstr[[#This Row],[Smi]],-12,0),0)+OFFSET(TblConstr[[#This Row],[Tot Smi]],-1,0)-TblConstr[[#This Row],[Dest Smi]]</f>
        <v>126</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25</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55</v>
      </c>
      <c r="BJ97" s="391" cm="1">
        <f t="array" aca="1" ref="BJ97" ca="1">IF(TblConstr[[#This Row],[Hour]:[Hour]]&gt;12,OFFSET(TblConstr[[#This Row],[Bar]],-12,0),0)+OFFSET(TblConstr[[#This Row],[Tot Bar]],-1,0)-TblConstr[[#This Row],[Dest Bar]]</f>
        <v>50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29</v>
      </c>
      <c r="BM97" s="395" cm="1">
        <f t="array" aca="1" ref="BM97" ca="1">IF(TblConstr[[#This Row],[Hour]:[Hour]]&gt;12,OFFSET(TblConstr[[#This Row],[Tem]],-12,0),0)+OFFSET(TblConstr[[#This Row],[Tot Tem]],-1,0)-TblConstr[[#This Row],[Dest Tem]]</f>
        <v>47</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24</v>
      </c>
      <c r="BR97" s="145"/>
      <c r="BS97" s="157"/>
      <c r="BT97" s="97">
        <f ca="1">TblConstr[[#This Row],[Land]]</f>
        <v>700</v>
      </c>
      <c r="BU97" s="162">
        <f ca="1">TblImps[[#This Row],[Time]]</f>
        <v>45433.624999999774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430</v>
      </c>
      <c r="DA97" s="97">
        <f t="shared" ca="1" si="24"/>
        <v>25</v>
      </c>
      <c r="DB97" s="45">
        <f t="shared" ca="1" si="25"/>
        <v>0</v>
      </c>
      <c r="DC97" s="97">
        <f t="shared" ca="1" si="26"/>
        <v>55</v>
      </c>
      <c r="DD97" s="97">
        <f t="shared" ca="1" si="27"/>
        <v>76</v>
      </c>
      <c r="DE97" s="45">
        <f t="shared" ca="1" si="28"/>
        <v>0</v>
      </c>
      <c r="DF97" s="97">
        <f t="shared" ca="1" si="29"/>
        <v>24</v>
      </c>
      <c r="DG97" s="97" cm="1">
        <f t="array" aca="1" ref="DG97" ca="1">INDEX(TblConstr[[Total Plain]:[Total Water]],ROW()-ROW(TblConstr[#Headers]),MATCH("Total "&amp;home_land,TblConstr[[#Headers],[Total Plain]:[Total Water]],0))+TblConstr[[#This Row],[Homes]]</f>
        <v>40</v>
      </c>
      <c r="DH97" s="45">
        <f t="shared" ca="1" si="22"/>
        <v>40</v>
      </c>
      <c r="DI97" s="45">
        <f t="shared" ca="1" si="19"/>
        <v>0</v>
      </c>
      <c r="DJ97" s="45">
        <f t="shared" ca="1" si="20"/>
        <v>0</v>
      </c>
    </row>
    <row r="98" spans="1:114" x14ac:dyDescent="0.2">
      <c r="A98" s="178">
        <f>TblRezone[[#This Row],[Hour]]</f>
        <v>95</v>
      </c>
      <c r="B98" s="179">
        <f ca="1">SUM(TblConstr[[#This Row],[Plain]:[Water]])</f>
        <v>0</v>
      </c>
      <c r="C98" s="180">
        <f ca="1">SUM(TblConstr[[#This Row],[Tot Hom]:[Tot Doc]])</f>
        <v>700</v>
      </c>
      <c r="D98" s="180">
        <f t="shared" si="21"/>
        <v>0</v>
      </c>
      <c r="E98" s="181"/>
      <c r="F98" s="62">
        <f ca="1">TblConstr[[#This Row],[Barren]]+TblConstr[[#This Row],[Buildings]]+TblConstr[[#This Row],[Incoming]]</f>
        <v>700</v>
      </c>
      <c r="G98" s="190">
        <f ca="1">OFFSET(TblConstr[[#This Row],[Plain]],-1,0)+TblConstr[[#This Row],[Ch_Plain]]</f>
        <v>0</v>
      </c>
      <c r="H98" s="185">
        <f ca="1">OFFSET(TblConstr[[#This Row],[Forest]],-1,0)+TblConstr[[#This Row],[Ch_Forest]]</f>
        <v>0</v>
      </c>
      <c r="I98" s="385">
        <f ca="1">OFFSET(TblConstr[[#This Row],[Mountain]],-1,0)+TblConstr[[#This Row],[Ch_Mountain]]</f>
        <v>0</v>
      </c>
      <c r="J98" s="389">
        <f ca="1">OFFSET(TblConstr[[#This Row],[Hill]],-1,0)+TblConstr[[#This Row],[Ch_Hill]]</f>
        <v>0</v>
      </c>
      <c r="K98" s="393">
        <f ca="1">OFFSET(TblConstr[[#This Row],[Swamp]],-1,0)+TblConstr[[#This Row],[Ch_Swamp]]</f>
        <v>0</v>
      </c>
      <c r="L98" s="188">
        <f ca="1">OFFSET(TblConstr[[#This Row],[Cavern]],-1,0)+TblConstr[[#This Row],[Ch_Cavern]]</f>
        <v>0</v>
      </c>
      <c r="M98" s="189">
        <f ca="1">OFFSET(TblConstr[[#This Row],[Water]],-1,0)+TblConstr[[#This Row],[Ch_Water]]</f>
        <v>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45433.666666666439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942302</v>
      </c>
      <c r="AL98" s="97">
        <f ca="1">TblProd[[#This Row],[Lumber]]</f>
        <v>33575</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8" s="97">
        <f ca="1">ROUNDDOWN( MAX(1 - MIN(facs_constr_factor*TblConstr[[#This Row],[Facs -DB]],facs_constr_max) + tech_1_11*TblTech[[#This Row],[11-1]] + tech_6_3_2*TblTech[[#This Row],[6-3]] + tech_5_2_3*TblTech[[#This Row],[5-2]], 1-global_constr_cap) * TblConstr[[#This Row],[RCPA Lumber]],0)</f>
        <v>216</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8" s="97">
        <f ca="1">ROUNDDOWN( MAX(1 - MIN(facs_constr_factor*TblConstr[[#This Row],[Facs DB]],facs_constr_max) + tech_1_11*TblTech[[#This Row],[1-11]] + tech_6_3_2*TblTech[[#This Row],[6-3]] + tech_5_2_3*TblTech[[#This Row],[5-2]], 1-global_constr_cap) * ROUND((TblConstr[[#This Row],[Land]]-250)*0.285 + 87.5 + 0/4.25,0),0)</f>
        <v>216</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1413</v>
      </c>
      <c r="AW98" s="97">
        <f ca="1">ROUND((TblConstr[[#This Row],[Land]]-250 - IF(TblExplore[[#This Row],[Land Bonus]]&lt;&gt;0,20,0))*0.285 + 87.5 + 0/4.25,0)</f>
        <v>216</v>
      </c>
      <c r="AX98" s="157"/>
      <c r="AY98" s="191" cm="1">
        <f t="array" aca="1" ref="AY98" ca="1">IF(TblConstr[[#This Row],[Hour]:[Hour]]&gt;12,OFFSET(TblConstr[[#This Row],[Hom]],-12,0),0)+OFFSET(TblConstr[[#This Row],[Tot Hom]],-1,0)-TblConstr[[#This Row],[Dest Hom]]</f>
        <v>40</v>
      </c>
      <c r="AZ98" s="192" cm="1">
        <f t="array" aca="1" ref="AZ98" ca="1">IF(TblConstr[[#This Row],[Hour]:[Hour]]&gt;12,OFFSET(TblConstr[[#This Row],[Alc]],-12,0),0)+OFFSET(TblConstr[[#This Row],[Tot Alc]],-1,0)-TblConstr[[#This Row],[Dest Alc]]</f>
        <v>275</v>
      </c>
      <c r="BA98" s="192" cm="1">
        <f t="array" aca="1" ref="BA98" ca="1">IF(TblConstr[[#This Row],[Hour]:[Hour]]&gt;12,OFFSET(TblConstr[[#This Row],[Far]],-12,0),0)+OFFSET(TblConstr[[#This Row],[Tot Farm]],-1,0)-TblConstr[[#This Row],[Dest Farm]]</f>
        <v>29</v>
      </c>
      <c r="BB98" s="192" cm="1">
        <f t="array" aca="1" ref="BB98" ca="1">IF(TblConstr[[#This Row],[Hour]:[Hour]]&gt;12,OFFSET(TblConstr[[#This Row],[Smi]],-12,0),0)+OFFSET(TblConstr[[#This Row],[Tot Smi]],-1,0)-TblConstr[[#This Row],[Dest Smi]]</f>
        <v>126</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25</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55</v>
      </c>
      <c r="BJ98" s="391" cm="1">
        <f t="array" aca="1" ref="BJ98" ca="1">IF(TblConstr[[#This Row],[Hour]:[Hour]]&gt;12,OFFSET(TblConstr[[#This Row],[Bar]],-12,0),0)+OFFSET(TblConstr[[#This Row],[Tot Bar]],-1,0)-TblConstr[[#This Row],[Dest Bar]]</f>
        <v>50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29</v>
      </c>
      <c r="BM98" s="395" cm="1">
        <f t="array" aca="1" ref="BM98" ca="1">IF(TblConstr[[#This Row],[Hour]:[Hour]]&gt;12,OFFSET(TblConstr[[#This Row],[Tem]],-12,0),0)+OFFSET(TblConstr[[#This Row],[Tot Tem]],-1,0)-TblConstr[[#This Row],[Dest Tem]]</f>
        <v>47</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24</v>
      </c>
      <c r="BR98" s="145"/>
      <c r="BS98" s="157"/>
      <c r="BT98" s="97">
        <f ca="1">TblConstr[[#This Row],[Land]]</f>
        <v>700</v>
      </c>
      <c r="BU98" s="162">
        <f ca="1">TblImps[[#This Row],[Time]]</f>
        <v>45433.666666666439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430</v>
      </c>
      <c r="DA98" s="97">
        <f t="shared" ca="1" si="24"/>
        <v>25</v>
      </c>
      <c r="DB98" s="45">
        <f t="shared" ca="1" si="25"/>
        <v>0</v>
      </c>
      <c r="DC98" s="97">
        <f t="shared" ca="1" si="26"/>
        <v>55</v>
      </c>
      <c r="DD98" s="97">
        <f t="shared" ca="1" si="27"/>
        <v>76</v>
      </c>
      <c r="DE98" s="45">
        <f t="shared" ca="1" si="28"/>
        <v>0</v>
      </c>
      <c r="DF98" s="97">
        <f t="shared" ca="1" si="29"/>
        <v>24</v>
      </c>
      <c r="DG98" s="97" cm="1">
        <f t="array" aca="1" ref="DG98" ca="1">INDEX(TblConstr[[Total Plain]:[Total Water]],ROW()-ROW(TblConstr[#Headers]),MATCH("Total "&amp;home_land,TblConstr[[#Headers],[Total Plain]:[Total Water]],0))+TblConstr[[#This Row],[Homes]]</f>
        <v>40</v>
      </c>
      <c r="DH98" s="45">
        <f t="shared" ca="1" si="22"/>
        <v>40</v>
      </c>
      <c r="DI98" s="45">
        <f t="shared" ca="1" si="19"/>
        <v>0</v>
      </c>
      <c r="DJ98" s="45">
        <f t="shared" ca="1" si="20"/>
        <v>0</v>
      </c>
    </row>
    <row r="99" spans="1:114" x14ac:dyDescent="0.2">
      <c r="A99" s="178">
        <f>TblRezone[[#This Row],[Hour]]</f>
        <v>96</v>
      </c>
      <c r="B99" s="179">
        <f ca="1">SUM(TblConstr[[#This Row],[Plain]:[Water]])</f>
        <v>0</v>
      </c>
      <c r="C99" s="180">
        <f ca="1">SUM(TblConstr[[#This Row],[Tot Hom]:[Tot Doc]])</f>
        <v>700</v>
      </c>
      <c r="D99" s="180">
        <f t="shared" si="21"/>
        <v>0</v>
      </c>
      <c r="E99" s="181"/>
      <c r="F99" s="62">
        <f ca="1">TblConstr[[#This Row],[Barren]]+TblConstr[[#This Row],[Buildings]]+TblConstr[[#This Row],[Incoming]]</f>
        <v>700</v>
      </c>
      <c r="G99" s="190">
        <f ca="1">OFFSET(TblConstr[[#This Row],[Plain]],-1,0)+TblConstr[[#This Row],[Ch_Plain]]</f>
        <v>0</v>
      </c>
      <c r="H99" s="185">
        <f ca="1">OFFSET(TblConstr[[#This Row],[Forest]],-1,0)+TblConstr[[#This Row],[Ch_Forest]]</f>
        <v>0</v>
      </c>
      <c r="I99" s="385">
        <f ca="1">OFFSET(TblConstr[[#This Row],[Mountain]],-1,0)+TblConstr[[#This Row],[Ch_Mountain]]</f>
        <v>0</v>
      </c>
      <c r="J99" s="389">
        <f ca="1">OFFSET(TblConstr[[#This Row],[Hill]],-1,0)+TblConstr[[#This Row],[Ch_Hill]]</f>
        <v>0</v>
      </c>
      <c r="K99" s="393">
        <f ca="1">OFFSET(TblConstr[[#This Row],[Swamp]],-1,0)+TblConstr[[#This Row],[Ch_Swamp]]</f>
        <v>0</v>
      </c>
      <c r="L99" s="188">
        <f ca="1">OFFSET(TblConstr[[#This Row],[Cavern]],-1,0)+TblConstr[[#This Row],[Ch_Cavern]]</f>
        <v>0</v>
      </c>
      <c r="M99" s="189">
        <f ca="1">OFFSET(TblConstr[[#This Row],[Water]],-1,0)+TblConstr[[#This Row],[Ch_Water]]</f>
        <v>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45433.708333333103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983687</v>
      </c>
      <c r="AL99" s="97">
        <f ca="1">TblProd[[#This Row],[Lumber]]</f>
        <v>34364</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9" s="97">
        <f ca="1">ROUNDDOWN( MAX(1 - MIN(facs_constr_factor*TblConstr[[#This Row],[Facs -DB]],facs_constr_max) + tech_1_11*TblTech[[#This Row],[11-1]] + tech_6_3_2*TblTech[[#This Row],[6-3]] + tech_5_2_3*TblTech[[#This Row],[5-2]], 1-global_constr_cap) * TblConstr[[#This Row],[RCPA Lumber]],0)</f>
        <v>216</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9" s="97">
        <f ca="1">ROUNDDOWN( MAX(1 - MIN(facs_constr_factor*TblConstr[[#This Row],[Facs DB]],facs_constr_max) + tech_1_11*TblTech[[#This Row],[1-11]] + tech_6_3_2*TblTech[[#This Row],[6-3]] + tech_5_2_3*TblTech[[#This Row],[5-2]], 1-global_constr_cap) * ROUND((TblConstr[[#This Row],[Land]]-250)*0.285 + 87.5 + 0/4.25,0),0)</f>
        <v>216</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1413</v>
      </c>
      <c r="AW99" s="97">
        <f ca="1">ROUND((TblConstr[[#This Row],[Land]]-250 - IF(TblExplore[[#This Row],[Land Bonus]]&lt;&gt;0,20,0))*0.285 + 87.5 + 0/4.25,0)</f>
        <v>216</v>
      </c>
      <c r="AX99" s="157"/>
      <c r="AY99" s="191" cm="1">
        <f t="array" aca="1" ref="AY99" ca="1">IF(TblConstr[[#This Row],[Hour]:[Hour]]&gt;12,OFFSET(TblConstr[[#This Row],[Hom]],-12,0),0)+OFFSET(TblConstr[[#This Row],[Tot Hom]],-1,0)-TblConstr[[#This Row],[Dest Hom]]</f>
        <v>40</v>
      </c>
      <c r="AZ99" s="192" cm="1">
        <f t="array" aca="1" ref="AZ99" ca="1">IF(TblConstr[[#This Row],[Hour]:[Hour]]&gt;12,OFFSET(TblConstr[[#This Row],[Alc]],-12,0),0)+OFFSET(TblConstr[[#This Row],[Tot Alc]],-1,0)-TblConstr[[#This Row],[Dest Alc]]</f>
        <v>275</v>
      </c>
      <c r="BA99" s="192" cm="1">
        <f t="array" aca="1" ref="BA99" ca="1">IF(TblConstr[[#This Row],[Hour]:[Hour]]&gt;12,OFFSET(TblConstr[[#This Row],[Far]],-12,0),0)+OFFSET(TblConstr[[#This Row],[Tot Farm]],-1,0)-TblConstr[[#This Row],[Dest Farm]]</f>
        <v>29</v>
      </c>
      <c r="BB99" s="192" cm="1">
        <f t="array" aca="1" ref="BB99" ca="1">IF(TblConstr[[#This Row],[Hour]:[Hour]]&gt;12,OFFSET(TblConstr[[#This Row],[Smi]],-12,0),0)+OFFSET(TblConstr[[#This Row],[Tot Smi]],-1,0)-TblConstr[[#This Row],[Dest Smi]]</f>
        <v>126</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25</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55</v>
      </c>
      <c r="BJ99" s="391" cm="1">
        <f t="array" aca="1" ref="BJ99" ca="1">IF(TblConstr[[#This Row],[Hour]:[Hour]]&gt;12,OFFSET(TblConstr[[#This Row],[Bar]],-12,0),0)+OFFSET(TblConstr[[#This Row],[Tot Bar]],-1,0)-TblConstr[[#This Row],[Dest Bar]]</f>
        <v>50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29</v>
      </c>
      <c r="BM99" s="395" cm="1">
        <f t="array" aca="1" ref="BM99" ca="1">IF(TblConstr[[#This Row],[Hour]:[Hour]]&gt;12,OFFSET(TblConstr[[#This Row],[Tem]],-12,0),0)+OFFSET(TblConstr[[#This Row],[Tot Tem]],-1,0)-TblConstr[[#This Row],[Dest Tem]]</f>
        <v>47</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24</v>
      </c>
      <c r="BR99" s="145"/>
      <c r="BS99" s="157"/>
      <c r="BT99" s="97">
        <f ca="1">TblConstr[[#This Row],[Land]]</f>
        <v>700</v>
      </c>
      <c r="BU99" s="162">
        <f ca="1">TblImps[[#This Row],[Time]]</f>
        <v>45433.708333333103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430</v>
      </c>
      <c r="DA99" s="97">
        <f t="shared" ca="1" si="24"/>
        <v>25</v>
      </c>
      <c r="DB99" s="45">
        <f t="shared" ca="1" si="25"/>
        <v>0</v>
      </c>
      <c r="DC99" s="97">
        <f t="shared" ca="1" si="26"/>
        <v>55</v>
      </c>
      <c r="DD99" s="97">
        <f t="shared" ca="1" si="27"/>
        <v>76</v>
      </c>
      <c r="DE99" s="45">
        <f t="shared" ca="1" si="28"/>
        <v>0</v>
      </c>
      <c r="DF99" s="97">
        <f t="shared" ca="1" si="29"/>
        <v>24</v>
      </c>
      <c r="DG99" s="97" cm="1">
        <f t="array" aca="1" ref="DG99" ca="1">INDEX(TblConstr[[Total Plain]:[Total Water]],ROW()-ROW(TblConstr[#Headers]),MATCH("Total "&amp;home_land,TblConstr[[#Headers],[Total Plain]:[Total Water]],0))+TblConstr[[#This Row],[Homes]]</f>
        <v>40</v>
      </c>
      <c r="DH99" s="45">
        <f t="shared" ca="1" si="22"/>
        <v>40</v>
      </c>
      <c r="DI99" s="45">
        <f t="shared" ca="1" si="19"/>
        <v>0</v>
      </c>
      <c r="DJ99" s="45">
        <f t="shared" ca="1" si="20"/>
        <v>0</v>
      </c>
    </row>
    <row r="100" spans="1:114" x14ac:dyDescent="0.2">
      <c r="A100" s="178">
        <f>TblRezone[[#This Row],[Hour]]</f>
        <v>97</v>
      </c>
      <c r="B100" s="179">
        <f ca="1">SUM(TblConstr[[#This Row],[Plain]:[Water]])</f>
        <v>0</v>
      </c>
      <c r="C100" s="180">
        <f ca="1">SUM(TblConstr[[#This Row],[Tot Hom]:[Tot Doc]])</f>
        <v>700</v>
      </c>
      <c r="D100" s="180">
        <f t="shared" si="21"/>
        <v>0</v>
      </c>
      <c r="E100" s="181"/>
      <c r="F100" s="62">
        <f ca="1">TblConstr[[#This Row],[Barren]]+TblConstr[[#This Row],[Buildings]]+TblConstr[[#This Row],[Incoming]]</f>
        <v>700</v>
      </c>
      <c r="G100" s="190">
        <f ca="1">OFFSET(TblConstr[[#This Row],[Plain]],-1,0)+TblConstr[[#This Row],[Ch_Plain]]</f>
        <v>0</v>
      </c>
      <c r="H100" s="185">
        <f ca="1">OFFSET(TblConstr[[#This Row],[Forest]],-1,0)+TblConstr[[#This Row],[Ch_Forest]]</f>
        <v>0</v>
      </c>
      <c r="I100" s="385">
        <f ca="1">OFFSET(TblConstr[[#This Row],[Mountain]],-1,0)+TblConstr[[#This Row],[Ch_Mountain]]</f>
        <v>0</v>
      </c>
      <c r="J100" s="389">
        <f ca="1">OFFSET(TblConstr[[#This Row],[Hill]],-1,0)+TblConstr[[#This Row],[Ch_Hill]]</f>
        <v>0</v>
      </c>
      <c r="K100" s="393">
        <f ca="1">OFFSET(TblConstr[[#This Row],[Swamp]],-1,0)+TblConstr[[#This Row],[Ch_Swamp]]</f>
        <v>0</v>
      </c>
      <c r="L100" s="188">
        <f ca="1">OFFSET(TblConstr[[#This Row],[Cavern]],-1,0)+TblConstr[[#This Row],[Ch_Cavern]]</f>
        <v>0</v>
      </c>
      <c r="M100" s="189">
        <f ca="1">OFFSET(TblConstr[[#This Row],[Water]],-1,0)+TblConstr[[#This Row],[Ch_Water]]</f>
        <v>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45433.749999999767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1024834</v>
      </c>
      <c r="AL100" s="97">
        <f ca="1">TblProd[[#This Row],[Lumber]]</f>
        <v>35145</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0" s="97">
        <f ca="1">ROUNDDOWN( MAX(1 - MIN(facs_constr_factor*TblConstr[[#This Row],[Facs -DB]],facs_constr_max) + tech_1_11*TblTech[[#This Row],[11-1]] + tech_6_3_2*TblTech[[#This Row],[6-3]] + tech_5_2_3*TblTech[[#This Row],[5-2]], 1-global_constr_cap) * TblConstr[[#This Row],[RCPA Lumber]],0)</f>
        <v>216</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0" s="97">
        <f ca="1">ROUNDDOWN( MAX(1 - MIN(facs_constr_factor*TblConstr[[#This Row],[Facs DB]],facs_constr_max) + tech_1_11*TblTech[[#This Row],[1-11]] + tech_6_3_2*TblTech[[#This Row],[6-3]] + tech_5_2_3*TblTech[[#This Row],[5-2]], 1-global_constr_cap) * ROUND((TblConstr[[#This Row],[Land]]-250)*0.285 + 87.5 + 0/4.25,0),0)</f>
        <v>216</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1413</v>
      </c>
      <c r="AW100" s="97">
        <f ca="1">ROUND((TblConstr[[#This Row],[Land]]-250 - IF(TblExplore[[#This Row],[Land Bonus]]&lt;&gt;0,20,0))*0.285 + 87.5 + 0/4.25,0)</f>
        <v>216</v>
      </c>
      <c r="AX100" s="157"/>
      <c r="AY100" s="191" cm="1">
        <f t="array" aca="1" ref="AY100" ca="1">IF(TblConstr[[#This Row],[Hour]:[Hour]]&gt;12,OFFSET(TblConstr[[#This Row],[Hom]],-12,0),0)+OFFSET(TblConstr[[#This Row],[Tot Hom]],-1,0)-TblConstr[[#This Row],[Dest Hom]]</f>
        <v>40</v>
      </c>
      <c r="AZ100" s="192" cm="1">
        <f t="array" aca="1" ref="AZ100" ca="1">IF(TblConstr[[#This Row],[Hour]:[Hour]]&gt;12,OFFSET(TblConstr[[#This Row],[Alc]],-12,0),0)+OFFSET(TblConstr[[#This Row],[Tot Alc]],-1,0)-TblConstr[[#This Row],[Dest Alc]]</f>
        <v>275</v>
      </c>
      <c r="BA100" s="192" cm="1">
        <f t="array" aca="1" ref="BA100" ca="1">IF(TblConstr[[#This Row],[Hour]:[Hour]]&gt;12,OFFSET(TblConstr[[#This Row],[Far]],-12,0),0)+OFFSET(TblConstr[[#This Row],[Tot Farm]],-1,0)-TblConstr[[#This Row],[Dest Farm]]</f>
        <v>29</v>
      </c>
      <c r="BB100" s="192" cm="1">
        <f t="array" aca="1" ref="BB100" ca="1">IF(TblConstr[[#This Row],[Hour]:[Hour]]&gt;12,OFFSET(TblConstr[[#This Row],[Smi]],-12,0),0)+OFFSET(TblConstr[[#This Row],[Tot Smi]],-1,0)-TblConstr[[#This Row],[Dest Smi]]</f>
        <v>126</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25</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55</v>
      </c>
      <c r="BJ100" s="391" cm="1">
        <f t="array" aca="1" ref="BJ100" ca="1">IF(TblConstr[[#This Row],[Hour]:[Hour]]&gt;12,OFFSET(TblConstr[[#This Row],[Bar]],-12,0),0)+OFFSET(TblConstr[[#This Row],[Tot Bar]],-1,0)-TblConstr[[#This Row],[Dest Bar]]</f>
        <v>50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29</v>
      </c>
      <c r="BM100" s="395" cm="1">
        <f t="array" aca="1" ref="BM100" ca="1">IF(TblConstr[[#This Row],[Hour]:[Hour]]&gt;12,OFFSET(TblConstr[[#This Row],[Tem]],-12,0),0)+OFFSET(TblConstr[[#This Row],[Tot Tem]],-1,0)-TblConstr[[#This Row],[Dest Tem]]</f>
        <v>47</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24</v>
      </c>
      <c r="BR100" s="145"/>
      <c r="BS100" s="157"/>
      <c r="BT100" s="97">
        <f ca="1">TblConstr[[#This Row],[Land]]</f>
        <v>700</v>
      </c>
      <c r="BU100" s="162">
        <f ca="1">TblImps[[#This Row],[Time]]</f>
        <v>45433.749999999767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430</v>
      </c>
      <c r="DA100" s="97">
        <f t="shared" ca="1" si="24"/>
        <v>25</v>
      </c>
      <c r="DB100" s="45">
        <f t="shared" ca="1" si="25"/>
        <v>0</v>
      </c>
      <c r="DC100" s="97">
        <f t="shared" ca="1" si="26"/>
        <v>55</v>
      </c>
      <c r="DD100" s="97">
        <f t="shared" ca="1" si="27"/>
        <v>76</v>
      </c>
      <c r="DE100" s="45">
        <f t="shared" ca="1" si="28"/>
        <v>0</v>
      </c>
      <c r="DF100" s="97">
        <f t="shared" ca="1" si="29"/>
        <v>24</v>
      </c>
      <c r="DG100" s="97" cm="1">
        <f t="array" aca="1" ref="DG100" ca="1">INDEX(TblConstr[[Total Plain]:[Total Water]],ROW()-ROW(TblConstr[#Headers]),MATCH("Total "&amp;home_land,TblConstr[[#Headers],[Total Plain]:[Total Water]],0))+TblConstr[[#This Row],[Homes]]</f>
        <v>40</v>
      </c>
      <c r="DH100" s="45">
        <f t="shared" ca="1" si="22"/>
        <v>40</v>
      </c>
      <c r="DI100" s="45">
        <f t="shared" ca="1" si="19"/>
        <v>0</v>
      </c>
      <c r="DJ100" s="45">
        <f t="shared" ca="1" si="20"/>
        <v>0</v>
      </c>
    </row>
    <row r="101" spans="1:114" x14ac:dyDescent="0.2">
      <c r="A101" s="178">
        <f>TblRezone[[#This Row],[Hour]]</f>
        <v>98</v>
      </c>
      <c r="B101" s="179">
        <f ca="1">SUM(TblConstr[[#This Row],[Plain]:[Water]])</f>
        <v>0</v>
      </c>
      <c r="C101" s="180">
        <f ca="1">SUM(TblConstr[[#This Row],[Tot Hom]:[Tot Doc]])</f>
        <v>700</v>
      </c>
      <c r="D101" s="180">
        <f t="shared" si="21"/>
        <v>0</v>
      </c>
      <c r="E101" s="181"/>
      <c r="F101" s="62">
        <f ca="1">TblConstr[[#This Row],[Barren]]+TblConstr[[#This Row],[Buildings]]+TblConstr[[#This Row],[Incoming]]</f>
        <v>700</v>
      </c>
      <c r="G101" s="190">
        <f ca="1">OFFSET(TblConstr[[#This Row],[Plain]],-1,0)+TblConstr[[#This Row],[Ch_Plain]]</f>
        <v>0</v>
      </c>
      <c r="H101" s="185">
        <f ca="1">OFFSET(TblConstr[[#This Row],[Forest]],-1,0)+TblConstr[[#This Row],[Ch_Forest]]</f>
        <v>0</v>
      </c>
      <c r="I101" s="385">
        <f ca="1">OFFSET(TblConstr[[#This Row],[Mountain]],-1,0)+TblConstr[[#This Row],[Ch_Mountain]]</f>
        <v>0</v>
      </c>
      <c r="J101" s="389">
        <f ca="1">OFFSET(TblConstr[[#This Row],[Hill]],-1,0)+TblConstr[[#This Row],[Ch_Hill]]</f>
        <v>0</v>
      </c>
      <c r="K101" s="393">
        <f ca="1">OFFSET(TblConstr[[#This Row],[Swamp]],-1,0)+TblConstr[[#This Row],[Ch_Swamp]]</f>
        <v>0</v>
      </c>
      <c r="L101" s="188">
        <f ca="1">OFFSET(TblConstr[[#This Row],[Cavern]],-1,0)+TblConstr[[#This Row],[Ch_Cavern]]</f>
        <v>0</v>
      </c>
      <c r="M101" s="189">
        <f ca="1">OFFSET(TblConstr[[#This Row],[Water]],-1,0)+TblConstr[[#This Row],[Ch_Water]]</f>
        <v>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45433.791666666431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1065746</v>
      </c>
      <c r="AL101" s="97">
        <f ca="1">TblProd[[#This Row],[Lumber]]</f>
        <v>35919</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1" s="97">
        <f ca="1">ROUNDDOWN( MAX(1 - MIN(facs_constr_factor*TblConstr[[#This Row],[Facs -DB]],facs_constr_max) + tech_1_11*TblTech[[#This Row],[11-1]] + tech_6_3_2*TblTech[[#This Row],[6-3]] + tech_5_2_3*TblTech[[#This Row],[5-2]], 1-global_constr_cap) * TblConstr[[#This Row],[RCPA Lumber]],0)</f>
        <v>216</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1" s="97">
        <f ca="1">ROUNDDOWN( MAX(1 - MIN(facs_constr_factor*TblConstr[[#This Row],[Facs DB]],facs_constr_max) + tech_1_11*TblTech[[#This Row],[1-11]] + tech_6_3_2*TblTech[[#This Row],[6-3]] + tech_5_2_3*TblTech[[#This Row],[5-2]], 1-global_constr_cap) * ROUND((TblConstr[[#This Row],[Land]]-250)*0.285 + 87.5 + 0/4.25,0),0)</f>
        <v>216</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1413</v>
      </c>
      <c r="AW101" s="97">
        <f ca="1">ROUND((TblConstr[[#This Row],[Land]]-250 - IF(TblExplore[[#This Row],[Land Bonus]]&lt;&gt;0,20,0))*0.285 + 87.5 + 0/4.25,0)</f>
        <v>216</v>
      </c>
      <c r="AX101" s="157"/>
      <c r="AY101" s="191" cm="1">
        <f t="array" aca="1" ref="AY101" ca="1">IF(TblConstr[[#This Row],[Hour]:[Hour]]&gt;12,OFFSET(TblConstr[[#This Row],[Hom]],-12,0),0)+OFFSET(TblConstr[[#This Row],[Tot Hom]],-1,0)-TblConstr[[#This Row],[Dest Hom]]</f>
        <v>40</v>
      </c>
      <c r="AZ101" s="192" cm="1">
        <f t="array" aca="1" ref="AZ101" ca="1">IF(TblConstr[[#This Row],[Hour]:[Hour]]&gt;12,OFFSET(TblConstr[[#This Row],[Alc]],-12,0),0)+OFFSET(TblConstr[[#This Row],[Tot Alc]],-1,0)-TblConstr[[#This Row],[Dest Alc]]</f>
        <v>275</v>
      </c>
      <c r="BA101" s="192" cm="1">
        <f t="array" aca="1" ref="BA101" ca="1">IF(TblConstr[[#This Row],[Hour]:[Hour]]&gt;12,OFFSET(TblConstr[[#This Row],[Far]],-12,0),0)+OFFSET(TblConstr[[#This Row],[Tot Farm]],-1,0)-TblConstr[[#This Row],[Dest Farm]]</f>
        <v>29</v>
      </c>
      <c r="BB101" s="192" cm="1">
        <f t="array" aca="1" ref="BB101" ca="1">IF(TblConstr[[#This Row],[Hour]:[Hour]]&gt;12,OFFSET(TblConstr[[#This Row],[Smi]],-12,0),0)+OFFSET(TblConstr[[#This Row],[Tot Smi]],-1,0)-TblConstr[[#This Row],[Dest Smi]]</f>
        <v>126</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25</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55</v>
      </c>
      <c r="BJ101" s="391" cm="1">
        <f t="array" aca="1" ref="BJ101" ca="1">IF(TblConstr[[#This Row],[Hour]:[Hour]]&gt;12,OFFSET(TblConstr[[#This Row],[Bar]],-12,0),0)+OFFSET(TblConstr[[#This Row],[Tot Bar]],-1,0)-TblConstr[[#This Row],[Dest Bar]]</f>
        <v>50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29</v>
      </c>
      <c r="BM101" s="395" cm="1">
        <f t="array" aca="1" ref="BM101" ca="1">IF(TblConstr[[#This Row],[Hour]:[Hour]]&gt;12,OFFSET(TblConstr[[#This Row],[Tem]],-12,0),0)+OFFSET(TblConstr[[#This Row],[Tot Tem]],-1,0)-TblConstr[[#This Row],[Dest Tem]]</f>
        <v>47</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24</v>
      </c>
      <c r="BR101" s="145"/>
      <c r="BS101" s="157"/>
      <c r="BT101" s="97">
        <f ca="1">TblConstr[[#This Row],[Land]]</f>
        <v>700</v>
      </c>
      <c r="BU101" s="162">
        <f ca="1">TblImps[[#This Row],[Time]]</f>
        <v>45433.791666666431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430</v>
      </c>
      <c r="DA101" s="97">
        <f t="shared" ca="1" si="24"/>
        <v>25</v>
      </c>
      <c r="DB101" s="45">
        <f t="shared" ca="1" si="25"/>
        <v>0</v>
      </c>
      <c r="DC101" s="97">
        <f t="shared" ca="1" si="26"/>
        <v>55</v>
      </c>
      <c r="DD101" s="97">
        <f t="shared" ca="1" si="27"/>
        <v>76</v>
      </c>
      <c r="DE101" s="45">
        <f t="shared" ca="1" si="28"/>
        <v>0</v>
      </c>
      <c r="DF101" s="97">
        <f t="shared" ca="1" si="29"/>
        <v>24</v>
      </c>
      <c r="DG101" s="97" cm="1">
        <f t="array" aca="1" ref="DG101" ca="1">INDEX(TblConstr[[Total Plain]:[Total Water]],ROW()-ROW(TblConstr[#Headers]),MATCH("Total "&amp;home_land,TblConstr[[#Headers],[Total Plain]:[Total Water]],0))+TblConstr[[#This Row],[Homes]]</f>
        <v>40</v>
      </c>
      <c r="DH101" s="45">
        <f t="shared" ca="1" si="22"/>
        <v>40</v>
      </c>
      <c r="DI101" s="45">
        <f t="shared" ca="1" si="19"/>
        <v>0</v>
      </c>
      <c r="DJ101" s="45">
        <f t="shared" ca="1" si="20"/>
        <v>0</v>
      </c>
    </row>
    <row r="102" spans="1:114" x14ac:dyDescent="0.2">
      <c r="A102" s="178">
        <f>TblRezone[[#This Row],[Hour]]</f>
        <v>99</v>
      </c>
      <c r="B102" s="179">
        <f ca="1">SUM(TblConstr[[#This Row],[Plain]:[Water]])</f>
        <v>0</v>
      </c>
      <c r="C102" s="180">
        <f ca="1">SUM(TblConstr[[#This Row],[Tot Hom]:[Tot Doc]])</f>
        <v>700</v>
      </c>
      <c r="D102" s="180">
        <f t="shared" si="21"/>
        <v>0</v>
      </c>
      <c r="E102" s="181"/>
      <c r="F102" s="62">
        <f ca="1">TblConstr[[#This Row],[Barren]]+TblConstr[[#This Row],[Buildings]]+TblConstr[[#This Row],[Incoming]]</f>
        <v>700</v>
      </c>
      <c r="G102" s="190">
        <f ca="1">OFFSET(TblConstr[[#This Row],[Plain]],-1,0)+TblConstr[[#This Row],[Ch_Plain]]</f>
        <v>0</v>
      </c>
      <c r="H102" s="185">
        <f ca="1">OFFSET(TblConstr[[#This Row],[Forest]],-1,0)+TblConstr[[#This Row],[Ch_Forest]]</f>
        <v>0</v>
      </c>
      <c r="I102" s="385">
        <f ca="1">OFFSET(TblConstr[[#This Row],[Mountain]],-1,0)+TblConstr[[#This Row],[Ch_Mountain]]</f>
        <v>0</v>
      </c>
      <c r="J102" s="389">
        <f ca="1">OFFSET(TblConstr[[#This Row],[Hill]],-1,0)+TblConstr[[#This Row],[Ch_Hill]]</f>
        <v>0</v>
      </c>
      <c r="K102" s="393">
        <f ca="1">OFFSET(TblConstr[[#This Row],[Swamp]],-1,0)+TblConstr[[#This Row],[Ch_Swamp]]</f>
        <v>0</v>
      </c>
      <c r="L102" s="188">
        <f ca="1">OFFSET(TblConstr[[#This Row],[Cavern]],-1,0)+TblConstr[[#This Row],[Ch_Cavern]]</f>
        <v>0</v>
      </c>
      <c r="M102" s="189">
        <f ca="1">OFFSET(TblConstr[[#This Row],[Water]],-1,0)+TblConstr[[#This Row],[Ch_Water]]</f>
        <v>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45433.833333333096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1106424</v>
      </c>
      <c r="AL102" s="97">
        <f ca="1">TblProd[[#This Row],[Lumber]]</f>
        <v>36685</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2" s="97">
        <f ca="1">ROUNDDOWN( MAX(1 - MIN(facs_constr_factor*TblConstr[[#This Row],[Facs -DB]],facs_constr_max) + tech_1_11*TblTech[[#This Row],[11-1]] + tech_6_3_2*TblTech[[#This Row],[6-3]] + tech_5_2_3*TblTech[[#This Row],[5-2]], 1-global_constr_cap) * TblConstr[[#This Row],[RCPA Lumber]],0)</f>
        <v>216</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2" s="97">
        <f ca="1">ROUNDDOWN( MAX(1 - MIN(facs_constr_factor*TblConstr[[#This Row],[Facs DB]],facs_constr_max) + tech_1_11*TblTech[[#This Row],[1-11]] + tech_6_3_2*TblTech[[#This Row],[6-3]] + tech_5_2_3*TblTech[[#This Row],[5-2]], 1-global_constr_cap) * ROUND((TblConstr[[#This Row],[Land]]-250)*0.285 + 87.5 + 0/4.25,0),0)</f>
        <v>216</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1413</v>
      </c>
      <c r="AW102" s="97">
        <f ca="1">ROUND((TblConstr[[#This Row],[Land]]-250 - IF(TblExplore[[#This Row],[Land Bonus]]&lt;&gt;0,20,0))*0.285 + 87.5 + 0/4.25,0)</f>
        <v>216</v>
      </c>
      <c r="AX102" s="157"/>
      <c r="AY102" s="191" cm="1">
        <f t="array" aca="1" ref="AY102" ca="1">IF(TblConstr[[#This Row],[Hour]:[Hour]]&gt;12,OFFSET(TblConstr[[#This Row],[Hom]],-12,0),0)+OFFSET(TblConstr[[#This Row],[Tot Hom]],-1,0)-TblConstr[[#This Row],[Dest Hom]]</f>
        <v>40</v>
      </c>
      <c r="AZ102" s="192" cm="1">
        <f t="array" aca="1" ref="AZ102" ca="1">IF(TblConstr[[#This Row],[Hour]:[Hour]]&gt;12,OFFSET(TblConstr[[#This Row],[Alc]],-12,0),0)+OFFSET(TblConstr[[#This Row],[Tot Alc]],-1,0)-TblConstr[[#This Row],[Dest Alc]]</f>
        <v>275</v>
      </c>
      <c r="BA102" s="192" cm="1">
        <f t="array" aca="1" ref="BA102" ca="1">IF(TblConstr[[#This Row],[Hour]:[Hour]]&gt;12,OFFSET(TblConstr[[#This Row],[Far]],-12,0),0)+OFFSET(TblConstr[[#This Row],[Tot Farm]],-1,0)-TblConstr[[#This Row],[Dest Farm]]</f>
        <v>29</v>
      </c>
      <c r="BB102" s="192" cm="1">
        <f t="array" aca="1" ref="BB102" ca="1">IF(TblConstr[[#This Row],[Hour]:[Hour]]&gt;12,OFFSET(TblConstr[[#This Row],[Smi]],-12,0),0)+OFFSET(TblConstr[[#This Row],[Tot Smi]],-1,0)-TblConstr[[#This Row],[Dest Smi]]</f>
        <v>126</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25</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55</v>
      </c>
      <c r="BJ102" s="391" cm="1">
        <f t="array" aca="1" ref="BJ102" ca="1">IF(TblConstr[[#This Row],[Hour]:[Hour]]&gt;12,OFFSET(TblConstr[[#This Row],[Bar]],-12,0),0)+OFFSET(TblConstr[[#This Row],[Tot Bar]],-1,0)-TblConstr[[#This Row],[Dest Bar]]</f>
        <v>50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29</v>
      </c>
      <c r="BM102" s="395" cm="1">
        <f t="array" aca="1" ref="BM102" ca="1">IF(TblConstr[[#This Row],[Hour]:[Hour]]&gt;12,OFFSET(TblConstr[[#This Row],[Tem]],-12,0),0)+OFFSET(TblConstr[[#This Row],[Tot Tem]],-1,0)-TblConstr[[#This Row],[Dest Tem]]</f>
        <v>47</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24</v>
      </c>
      <c r="BR102" s="145"/>
      <c r="BS102" s="157"/>
      <c r="BT102" s="97">
        <f ca="1">TblConstr[[#This Row],[Land]]</f>
        <v>700</v>
      </c>
      <c r="BU102" s="162">
        <f ca="1">TblImps[[#This Row],[Time]]</f>
        <v>45433.833333333096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430</v>
      </c>
      <c r="DA102" s="97">
        <f t="shared" ca="1" si="24"/>
        <v>25</v>
      </c>
      <c r="DB102" s="45">
        <f t="shared" ca="1" si="25"/>
        <v>0</v>
      </c>
      <c r="DC102" s="97">
        <f t="shared" ca="1" si="26"/>
        <v>55</v>
      </c>
      <c r="DD102" s="97">
        <f t="shared" ca="1" si="27"/>
        <v>76</v>
      </c>
      <c r="DE102" s="45">
        <f t="shared" ca="1" si="28"/>
        <v>0</v>
      </c>
      <c r="DF102" s="97">
        <f t="shared" ca="1" si="29"/>
        <v>24</v>
      </c>
      <c r="DG102" s="97" cm="1">
        <f t="array" aca="1" ref="DG102" ca="1">INDEX(TblConstr[[Total Plain]:[Total Water]],ROW()-ROW(TblConstr[#Headers]),MATCH("Total "&amp;home_land,TblConstr[[#Headers],[Total Plain]:[Total Water]],0))+TblConstr[[#This Row],[Homes]]</f>
        <v>40</v>
      </c>
      <c r="DH102" s="45">
        <f t="shared" ca="1" si="22"/>
        <v>40</v>
      </c>
      <c r="DI102" s="45">
        <f t="shared" ca="1" si="19"/>
        <v>0</v>
      </c>
      <c r="DJ102" s="45">
        <f t="shared" ca="1" si="20"/>
        <v>0</v>
      </c>
    </row>
    <row r="103" spans="1:114" x14ac:dyDescent="0.2">
      <c r="A103" s="178">
        <f>TblRezone[[#This Row],[Hour]]</f>
        <v>100</v>
      </c>
      <c r="B103" s="179">
        <f ca="1">SUM(TblConstr[[#This Row],[Plain]:[Water]])</f>
        <v>0</v>
      </c>
      <c r="C103" s="180">
        <f ca="1">SUM(TblConstr[[#This Row],[Tot Hom]:[Tot Doc]])</f>
        <v>700</v>
      </c>
      <c r="D103" s="180">
        <f t="shared" si="21"/>
        <v>0</v>
      </c>
      <c r="E103" s="181"/>
      <c r="F103" s="62">
        <f ca="1">TblConstr[[#This Row],[Barren]]+TblConstr[[#This Row],[Buildings]]+TblConstr[[#This Row],[Incoming]]</f>
        <v>700</v>
      </c>
      <c r="G103" s="190">
        <f ca="1">OFFSET(TblConstr[[#This Row],[Plain]],-1,0)+TblConstr[[#This Row],[Ch_Plain]]</f>
        <v>0</v>
      </c>
      <c r="H103" s="185">
        <f ca="1">OFFSET(TblConstr[[#This Row],[Forest]],-1,0)+TblConstr[[#This Row],[Ch_Forest]]</f>
        <v>0</v>
      </c>
      <c r="I103" s="385">
        <f ca="1">OFFSET(TblConstr[[#This Row],[Mountain]],-1,0)+TblConstr[[#This Row],[Ch_Mountain]]</f>
        <v>0</v>
      </c>
      <c r="J103" s="389">
        <f ca="1">OFFSET(TblConstr[[#This Row],[Hill]],-1,0)+TblConstr[[#This Row],[Ch_Hill]]</f>
        <v>0</v>
      </c>
      <c r="K103" s="393">
        <f ca="1">OFFSET(TblConstr[[#This Row],[Swamp]],-1,0)+TblConstr[[#This Row],[Ch_Swamp]]</f>
        <v>0</v>
      </c>
      <c r="L103" s="188">
        <f ca="1">OFFSET(TblConstr[[#This Row],[Cavern]],-1,0)+TblConstr[[#This Row],[Ch_Cavern]]</f>
        <v>0</v>
      </c>
      <c r="M103" s="189">
        <f ca="1">OFFSET(TblConstr[[#This Row],[Water]],-1,0)+TblConstr[[#This Row],[Ch_Water]]</f>
        <v>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45433.87499999976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1146870</v>
      </c>
      <c r="AL103" s="97">
        <f ca="1">TblProd[[#This Row],[Lumber]]</f>
        <v>37443</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3" s="97">
        <f ca="1">ROUNDDOWN( MAX(1 - MIN(facs_constr_factor*TblConstr[[#This Row],[Facs -DB]],facs_constr_max) + tech_1_11*TblTech[[#This Row],[11-1]] + tech_6_3_2*TblTech[[#This Row],[6-3]] + tech_5_2_3*TblTech[[#This Row],[5-2]], 1-global_constr_cap) * TblConstr[[#This Row],[RCPA Lumber]],0)</f>
        <v>216</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3" s="97">
        <f ca="1">ROUNDDOWN( MAX(1 - MIN(facs_constr_factor*TblConstr[[#This Row],[Facs DB]],facs_constr_max) + tech_1_11*TblTech[[#This Row],[1-11]] + tech_6_3_2*TblTech[[#This Row],[6-3]] + tech_5_2_3*TblTech[[#This Row],[5-2]], 1-global_constr_cap) * ROUND((TblConstr[[#This Row],[Land]]-250)*0.285 + 87.5 + 0/4.25,0),0)</f>
        <v>216</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1413</v>
      </c>
      <c r="AW103" s="97">
        <f ca="1">ROUND((TblConstr[[#This Row],[Land]]-250 - IF(TblExplore[[#This Row],[Land Bonus]]&lt;&gt;0,20,0))*0.285 + 87.5 + 0/4.25,0)</f>
        <v>216</v>
      </c>
      <c r="AX103" s="157"/>
      <c r="AY103" s="191" cm="1">
        <f t="array" aca="1" ref="AY103" ca="1">IF(TblConstr[[#This Row],[Hour]:[Hour]]&gt;12,OFFSET(TblConstr[[#This Row],[Hom]],-12,0),0)+OFFSET(TblConstr[[#This Row],[Tot Hom]],-1,0)-TblConstr[[#This Row],[Dest Hom]]</f>
        <v>40</v>
      </c>
      <c r="AZ103" s="192" cm="1">
        <f t="array" aca="1" ref="AZ103" ca="1">IF(TblConstr[[#This Row],[Hour]:[Hour]]&gt;12,OFFSET(TblConstr[[#This Row],[Alc]],-12,0),0)+OFFSET(TblConstr[[#This Row],[Tot Alc]],-1,0)-TblConstr[[#This Row],[Dest Alc]]</f>
        <v>275</v>
      </c>
      <c r="BA103" s="192" cm="1">
        <f t="array" aca="1" ref="BA103" ca="1">IF(TblConstr[[#This Row],[Hour]:[Hour]]&gt;12,OFFSET(TblConstr[[#This Row],[Far]],-12,0),0)+OFFSET(TblConstr[[#This Row],[Tot Farm]],-1,0)-TblConstr[[#This Row],[Dest Farm]]</f>
        <v>29</v>
      </c>
      <c r="BB103" s="192" cm="1">
        <f t="array" aca="1" ref="BB103" ca="1">IF(TblConstr[[#This Row],[Hour]:[Hour]]&gt;12,OFFSET(TblConstr[[#This Row],[Smi]],-12,0),0)+OFFSET(TblConstr[[#This Row],[Tot Smi]],-1,0)-TblConstr[[#This Row],[Dest Smi]]</f>
        <v>126</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25</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55</v>
      </c>
      <c r="BJ103" s="391" cm="1">
        <f t="array" aca="1" ref="BJ103" ca="1">IF(TblConstr[[#This Row],[Hour]:[Hour]]&gt;12,OFFSET(TblConstr[[#This Row],[Bar]],-12,0),0)+OFFSET(TblConstr[[#This Row],[Tot Bar]],-1,0)-TblConstr[[#This Row],[Dest Bar]]</f>
        <v>50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29</v>
      </c>
      <c r="BM103" s="395" cm="1">
        <f t="array" aca="1" ref="BM103" ca="1">IF(TblConstr[[#This Row],[Hour]:[Hour]]&gt;12,OFFSET(TblConstr[[#This Row],[Tem]],-12,0),0)+OFFSET(TblConstr[[#This Row],[Tot Tem]],-1,0)-TblConstr[[#This Row],[Dest Tem]]</f>
        <v>47</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24</v>
      </c>
      <c r="BR103" s="145"/>
      <c r="BS103" s="157"/>
      <c r="BT103" s="97">
        <f ca="1">TblConstr[[#This Row],[Land]]</f>
        <v>700</v>
      </c>
      <c r="BU103" s="162">
        <f ca="1">TblImps[[#This Row],[Time]]</f>
        <v>45433.87499999976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430</v>
      </c>
      <c r="DA103" s="97">
        <f t="shared" ca="1" si="24"/>
        <v>25</v>
      </c>
      <c r="DB103" s="45">
        <f t="shared" ca="1" si="25"/>
        <v>0</v>
      </c>
      <c r="DC103" s="97">
        <f t="shared" ca="1" si="26"/>
        <v>55</v>
      </c>
      <c r="DD103" s="97">
        <f t="shared" ca="1" si="27"/>
        <v>76</v>
      </c>
      <c r="DE103" s="45">
        <f t="shared" ca="1" si="28"/>
        <v>0</v>
      </c>
      <c r="DF103" s="97">
        <f t="shared" ca="1" si="29"/>
        <v>24</v>
      </c>
      <c r="DG103" s="97" cm="1">
        <f t="array" aca="1" ref="DG103" ca="1">INDEX(TblConstr[[Total Plain]:[Total Water]],ROW()-ROW(TblConstr[#Headers]),MATCH("Total "&amp;home_land,TblConstr[[#Headers],[Total Plain]:[Total Water]],0))+TblConstr[[#This Row],[Homes]]</f>
        <v>40</v>
      </c>
      <c r="DH103" s="45">
        <f t="shared" ca="1" si="22"/>
        <v>40</v>
      </c>
      <c r="DI103" s="45">
        <f t="shared" ca="1" si="19"/>
        <v>0</v>
      </c>
      <c r="DJ103" s="45">
        <f t="shared" ca="1" si="20"/>
        <v>0</v>
      </c>
    </row>
    <row r="104" spans="1:114" x14ac:dyDescent="0.2">
      <c r="A104" s="178">
        <f>TblRezone[[#This Row],[Hour]]</f>
        <v>101</v>
      </c>
      <c r="B104" s="179">
        <f ca="1">SUM(TblConstr[[#This Row],[Plain]:[Water]])</f>
        <v>0</v>
      </c>
      <c r="C104" s="180">
        <f ca="1">SUM(TblConstr[[#This Row],[Tot Hom]:[Tot Doc]])</f>
        <v>700</v>
      </c>
      <c r="D104" s="180">
        <f t="shared" si="21"/>
        <v>0</v>
      </c>
      <c r="E104" s="181"/>
      <c r="F104" s="62">
        <f ca="1">TblConstr[[#This Row],[Barren]]+TblConstr[[#This Row],[Buildings]]+TblConstr[[#This Row],[Incoming]]</f>
        <v>700</v>
      </c>
      <c r="G104" s="190">
        <f ca="1">OFFSET(TblConstr[[#This Row],[Plain]],-1,0)+TblConstr[[#This Row],[Ch_Plain]]</f>
        <v>0</v>
      </c>
      <c r="H104" s="185">
        <f ca="1">OFFSET(TblConstr[[#This Row],[Forest]],-1,0)+TblConstr[[#This Row],[Ch_Forest]]</f>
        <v>0</v>
      </c>
      <c r="I104" s="385">
        <f ca="1">OFFSET(TblConstr[[#This Row],[Mountain]],-1,0)+TblConstr[[#This Row],[Ch_Mountain]]</f>
        <v>0</v>
      </c>
      <c r="J104" s="389">
        <f ca="1">OFFSET(TblConstr[[#This Row],[Hill]],-1,0)+TblConstr[[#This Row],[Ch_Hill]]</f>
        <v>0</v>
      </c>
      <c r="K104" s="393">
        <f ca="1">OFFSET(TblConstr[[#This Row],[Swamp]],-1,0)+TblConstr[[#This Row],[Ch_Swamp]]</f>
        <v>0</v>
      </c>
      <c r="L104" s="188">
        <f ca="1">OFFSET(TblConstr[[#This Row],[Cavern]],-1,0)+TblConstr[[#This Row],[Ch_Cavern]]</f>
        <v>0</v>
      </c>
      <c r="M104" s="189">
        <f ca="1">OFFSET(TblConstr[[#This Row],[Water]],-1,0)+TblConstr[[#This Row],[Ch_Water]]</f>
        <v>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45433.916666666424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1187087</v>
      </c>
      <c r="AL104" s="97">
        <f ca="1">TblProd[[#This Row],[Lumber]]</f>
        <v>38194</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4" s="97">
        <f ca="1">ROUNDDOWN( MAX(1 - MIN(facs_constr_factor*TblConstr[[#This Row],[Facs -DB]],facs_constr_max) + tech_1_11*TblTech[[#This Row],[11-1]] + tech_6_3_2*TblTech[[#This Row],[6-3]] + tech_5_2_3*TblTech[[#This Row],[5-2]], 1-global_constr_cap) * TblConstr[[#This Row],[RCPA Lumber]],0)</f>
        <v>216</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4" s="97">
        <f ca="1">ROUNDDOWN( MAX(1 - MIN(facs_constr_factor*TblConstr[[#This Row],[Facs DB]],facs_constr_max) + tech_1_11*TblTech[[#This Row],[1-11]] + tech_6_3_2*TblTech[[#This Row],[6-3]] + tech_5_2_3*TblTech[[#This Row],[5-2]], 1-global_constr_cap) * ROUND((TblConstr[[#This Row],[Land]]-250)*0.285 + 87.5 + 0/4.25,0),0)</f>
        <v>216</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1413</v>
      </c>
      <c r="AW104" s="97">
        <f ca="1">ROUND((TblConstr[[#This Row],[Land]]-250 - IF(TblExplore[[#This Row],[Land Bonus]]&lt;&gt;0,20,0))*0.285 + 87.5 + 0/4.25,0)</f>
        <v>216</v>
      </c>
      <c r="AX104" s="157"/>
      <c r="AY104" s="191" cm="1">
        <f t="array" aca="1" ref="AY104" ca="1">IF(TblConstr[[#This Row],[Hour]:[Hour]]&gt;12,OFFSET(TblConstr[[#This Row],[Hom]],-12,0),0)+OFFSET(TblConstr[[#This Row],[Tot Hom]],-1,0)-TblConstr[[#This Row],[Dest Hom]]</f>
        <v>40</v>
      </c>
      <c r="AZ104" s="192" cm="1">
        <f t="array" aca="1" ref="AZ104" ca="1">IF(TblConstr[[#This Row],[Hour]:[Hour]]&gt;12,OFFSET(TblConstr[[#This Row],[Alc]],-12,0),0)+OFFSET(TblConstr[[#This Row],[Tot Alc]],-1,0)-TblConstr[[#This Row],[Dest Alc]]</f>
        <v>275</v>
      </c>
      <c r="BA104" s="192" cm="1">
        <f t="array" aca="1" ref="BA104" ca="1">IF(TblConstr[[#This Row],[Hour]:[Hour]]&gt;12,OFFSET(TblConstr[[#This Row],[Far]],-12,0),0)+OFFSET(TblConstr[[#This Row],[Tot Farm]],-1,0)-TblConstr[[#This Row],[Dest Farm]]</f>
        <v>29</v>
      </c>
      <c r="BB104" s="192" cm="1">
        <f t="array" aca="1" ref="BB104" ca="1">IF(TblConstr[[#This Row],[Hour]:[Hour]]&gt;12,OFFSET(TblConstr[[#This Row],[Smi]],-12,0),0)+OFFSET(TblConstr[[#This Row],[Tot Smi]],-1,0)-TblConstr[[#This Row],[Dest Smi]]</f>
        <v>126</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25</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55</v>
      </c>
      <c r="BJ104" s="391" cm="1">
        <f t="array" aca="1" ref="BJ104" ca="1">IF(TblConstr[[#This Row],[Hour]:[Hour]]&gt;12,OFFSET(TblConstr[[#This Row],[Bar]],-12,0),0)+OFFSET(TblConstr[[#This Row],[Tot Bar]],-1,0)-TblConstr[[#This Row],[Dest Bar]]</f>
        <v>50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29</v>
      </c>
      <c r="BM104" s="395" cm="1">
        <f t="array" aca="1" ref="BM104" ca="1">IF(TblConstr[[#This Row],[Hour]:[Hour]]&gt;12,OFFSET(TblConstr[[#This Row],[Tem]],-12,0),0)+OFFSET(TblConstr[[#This Row],[Tot Tem]],-1,0)-TblConstr[[#This Row],[Dest Tem]]</f>
        <v>47</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24</v>
      </c>
      <c r="BR104" s="145"/>
      <c r="BS104" s="157"/>
      <c r="BT104" s="97">
        <f ca="1">TblConstr[[#This Row],[Land]]</f>
        <v>700</v>
      </c>
      <c r="BU104" s="162">
        <f ca="1">TblImps[[#This Row],[Time]]</f>
        <v>45433.916666666424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430</v>
      </c>
      <c r="DA104" s="97">
        <f t="shared" ca="1" si="24"/>
        <v>25</v>
      </c>
      <c r="DB104" s="45">
        <f t="shared" ca="1" si="25"/>
        <v>0</v>
      </c>
      <c r="DC104" s="97">
        <f t="shared" ca="1" si="26"/>
        <v>55</v>
      </c>
      <c r="DD104" s="97">
        <f t="shared" ca="1" si="27"/>
        <v>76</v>
      </c>
      <c r="DE104" s="45">
        <f t="shared" ca="1" si="28"/>
        <v>0</v>
      </c>
      <c r="DF104" s="97">
        <f t="shared" ca="1" si="29"/>
        <v>24</v>
      </c>
      <c r="DG104" s="97" cm="1">
        <f t="array" aca="1" ref="DG104" ca="1">INDEX(TblConstr[[Total Plain]:[Total Water]],ROW()-ROW(TblConstr[#Headers]),MATCH("Total "&amp;home_land,TblConstr[[#Headers],[Total Plain]:[Total Water]],0))+TblConstr[[#This Row],[Homes]]</f>
        <v>40</v>
      </c>
      <c r="DH104" s="45">
        <f t="shared" ca="1" si="22"/>
        <v>40</v>
      </c>
      <c r="DI104" s="45">
        <f t="shared" ca="1" si="19"/>
        <v>0</v>
      </c>
      <c r="DJ104" s="45">
        <f t="shared" ca="1" si="20"/>
        <v>0</v>
      </c>
    </row>
    <row r="105" spans="1:114" x14ac:dyDescent="0.2">
      <c r="A105" s="178">
        <f>TblRezone[[#This Row],[Hour]]</f>
        <v>102</v>
      </c>
      <c r="B105" s="179">
        <f ca="1">SUM(TblConstr[[#This Row],[Plain]:[Water]])</f>
        <v>0</v>
      </c>
      <c r="C105" s="180">
        <f ca="1">SUM(TblConstr[[#This Row],[Tot Hom]:[Tot Doc]])</f>
        <v>700</v>
      </c>
      <c r="D105" s="180">
        <f t="shared" si="21"/>
        <v>0</v>
      </c>
      <c r="E105" s="181"/>
      <c r="F105" s="62">
        <f ca="1">TblConstr[[#This Row],[Barren]]+TblConstr[[#This Row],[Buildings]]+TblConstr[[#This Row],[Incoming]]</f>
        <v>700</v>
      </c>
      <c r="G105" s="190">
        <f ca="1">OFFSET(TblConstr[[#This Row],[Plain]],-1,0)+TblConstr[[#This Row],[Ch_Plain]]</f>
        <v>0</v>
      </c>
      <c r="H105" s="185">
        <f ca="1">OFFSET(TblConstr[[#This Row],[Forest]],-1,0)+TblConstr[[#This Row],[Ch_Forest]]</f>
        <v>0</v>
      </c>
      <c r="I105" s="385">
        <f ca="1">OFFSET(TblConstr[[#This Row],[Mountain]],-1,0)+TblConstr[[#This Row],[Ch_Mountain]]</f>
        <v>0</v>
      </c>
      <c r="J105" s="389">
        <f ca="1">OFFSET(TblConstr[[#This Row],[Hill]],-1,0)+TblConstr[[#This Row],[Ch_Hill]]</f>
        <v>0</v>
      </c>
      <c r="K105" s="393">
        <f ca="1">OFFSET(TblConstr[[#This Row],[Swamp]],-1,0)+TblConstr[[#This Row],[Ch_Swamp]]</f>
        <v>0</v>
      </c>
      <c r="L105" s="188">
        <f ca="1">OFFSET(TblConstr[[#This Row],[Cavern]],-1,0)+TblConstr[[#This Row],[Ch_Cavern]]</f>
        <v>0</v>
      </c>
      <c r="M105" s="189">
        <f ca="1">OFFSET(TblConstr[[#This Row],[Water]],-1,0)+TblConstr[[#This Row],[Ch_Water]]</f>
        <v>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45433.958333333088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1227079</v>
      </c>
      <c r="AL105" s="97">
        <f ca="1">TblProd[[#This Row],[Lumber]]</f>
        <v>38937</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5" s="97">
        <f ca="1">ROUNDDOWN( MAX(1 - MIN(facs_constr_factor*TblConstr[[#This Row],[Facs -DB]],facs_constr_max) + tech_1_11*TblTech[[#This Row],[11-1]] + tech_6_3_2*TblTech[[#This Row],[6-3]] + tech_5_2_3*TblTech[[#This Row],[5-2]], 1-global_constr_cap) * TblConstr[[#This Row],[RCPA Lumber]],0)</f>
        <v>216</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5" s="97">
        <f ca="1">ROUNDDOWN( MAX(1 - MIN(facs_constr_factor*TblConstr[[#This Row],[Facs DB]],facs_constr_max) + tech_1_11*TblTech[[#This Row],[1-11]] + tech_6_3_2*TblTech[[#This Row],[6-3]] + tech_5_2_3*TblTech[[#This Row],[5-2]], 1-global_constr_cap) * ROUND((TblConstr[[#This Row],[Land]]-250)*0.285 + 87.5 + 0/4.25,0),0)</f>
        <v>216</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1413</v>
      </c>
      <c r="AW105" s="97">
        <f ca="1">ROUND((TblConstr[[#This Row],[Land]]-250 - IF(TblExplore[[#This Row],[Land Bonus]]&lt;&gt;0,20,0))*0.285 + 87.5 + 0/4.25,0)</f>
        <v>216</v>
      </c>
      <c r="AX105" s="157"/>
      <c r="AY105" s="191" cm="1">
        <f t="array" aca="1" ref="AY105" ca="1">IF(TblConstr[[#This Row],[Hour]:[Hour]]&gt;12,OFFSET(TblConstr[[#This Row],[Hom]],-12,0),0)+OFFSET(TblConstr[[#This Row],[Tot Hom]],-1,0)-TblConstr[[#This Row],[Dest Hom]]</f>
        <v>40</v>
      </c>
      <c r="AZ105" s="192" cm="1">
        <f t="array" aca="1" ref="AZ105" ca="1">IF(TblConstr[[#This Row],[Hour]:[Hour]]&gt;12,OFFSET(TblConstr[[#This Row],[Alc]],-12,0),0)+OFFSET(TblConstr[[#This Row],[Tot Alc]],-1,0)-TblConstr[[#This Row],[Dest Alc]]</f>
        <v>275</v>
      </c>
      <c r="BA105" s="192" cm="1">
        <f t="array" aca="1" ref="BA105" ca="1">IF(TblConstr[[#This Row],[Hour]:[Hour]]&gt;12,OFFSET(TblConstr[[#This Row],[Far]],-12,0),0)+OFFSET(TblConstr[[#This Row],[Tot Farm]],-1,0)-TblConstr[[#This Row],[Dest Farm]]</f>
        <v>29</v>
      </c>
      <c r="BB105" s="192" cm="1">
        <f t="array" aca="1" ref="BB105" ca="1">IF(TblConstr[[#This Row],[Hour]:[Hour]]&gt;12,OFFSET(TblConstr[[#This Row],[Smi]],-12,0),0)+OFFSET(TblConstr[[#This Row],[Tot Smi]],-1,0)-TblConstr[[#This Row],[Dest Smi]]</f>
        <v>126</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25</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55</v>
      </c>
      <c r="BJ105" s="391" cm="1">
        <f t="array" aca="1" ref="BJ105" ca="1">IF(TblConstr[[#This Row],[Hour]:[Hour]]&gt;12,OFFSET(TblConstr[[#This Row],[Bar]],-12,0),0)+OFFSET(TblConstr[[#This Row],[Tot Bar]],-1,0)-TblConstr[[#This Row],[Dest Bar]]</f>
        <v>50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29</v>
      </c>
      <c r="BM105" s="395" cm="1">
        <f t="array" aca="1" ref="BM105" ca="1">IF(TblConstr[[#This Row],[Hour]:[Hour]]&gt;12,OFFSET(TblConstr[[#This Row],[Tem]],-12,0),0)+OFFSET(TblConstr[[#This Row],[Tot Tem]],-1,0)-TblConstr[[#This Row],[Dest Tem]]</f>
        <v>47</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24</v>
      </c>
      <c r="BR105" s="145"/>
      <c r="BS105" s="157"/>
      <c r="BT105" s="97">
        <f ca="1">TblConstr[[#This Row],[Land]]</f>
        <v>700</v>
      </c>
      <c r="BU105" s="162">
        <f ca="1">TblImps[[#This Row],[Time]]</f>
        <v>45433.958333333088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430</v>
      </c>
      <c r="DA105" s="97">
        <f t="shared" ca="1" si="24"/>
        <v>25</v>
      </c>
      <c r="DB105" s="45">
        <f t="shared" ca="1" si="25"/>
        <v>0</v>
      </c>
      <c r="DC105" s="97">
        <f t="shared" ca="1" si="26"/>
        <v>55</v>
      </c>
      <c r="DD105" s="97">
        <f t="shared" ca="1" si="27"/>
        <v>76</v>
      </c>
      <c r="DE105" s="45">
        <f t="shared" ca="1" si="28"/>
        <v>0</v>
      </c>
      <c r="DF105" s="97">
        <f t="shared" ca="1" si="29"/>
        <v>24</v>
      </c>
      <c r="DG105" s="97" cm="1">
        <f t="array" aca="1" ref="DG105" ca="1">INDEX(TblConstr[[Total Plain]:[Total Water]],ROW()-ROW(TblConstr[#Headers]),MATCH("Total "&amp;home_land,TblConstr[[#Headers],[Total Plain]:[Total Water]],0))+TblConstr[[#This Row],[Homes]]</f>
        <v>40</v>
      </c>
      <c r="DH105" s="45">
        <f t="shared" ca="1" si="22"/>
        <v>40</v>
      </c>
      <c r="DI105" s="45">
        <f t="shared" ca="1" si="19"/>
        <v>0</v>
      </c>
      <c r="DJ105" s="45">
        <f t="shared" ca="1" si="20"/>
        <v>0</v>
      </c>
    </row>
    <row r="106" spans="1:114" x14ac:dyDescent="0.2">
      <c r="A106" s="178">
        <f>TblRezone[[#This Row],[Hour]]</f>
        <v>103</v>
      </c>
      <c r="B106" s="179">
        <f ca="1">SUM(TblConstr[[#This Row],[Plain]:[Water]])</f>
        <v>0</v>
      </c>
      <c r="C106" s="180">
        <f ca="1">SUM(TblConstr[[#This Row],[Tot Hom]:[Tot Doc]])</f>
        <v>700</v>
      </c>
      <c r="D106" s="180">
        <f t="shared" si="21"/>
        <v>0</v>
      </c>
      <c r="E106" s="181"/>
      <c r="F106" s="62">
        <f ca="1">TblConstr[[#This Row],[Barren]]+TblConstr[[#This Row],[Buildings]]+TblConstr[[#This Row],[Incoming]]</f>
        <v>700</v>
      </c>
      <c r="G106" s="190">
        <f ca="1">OFFSET(TblConstr[[#This Row],[Plain]],-1,0)+TblConstr[[#This Row],[Ch_Plain]]</f>
        <v>0</v>
      </c>
      <c r="H106" s="185">
        <f ca="1">OFFSET(TblConstr[[#This Row],[Forest]],-1,0)+TblConstr[[#This Row],[Ch_Forest]]</f>
        <v>0</v>
      </c>
      <c r="I106" s="385">
        <f ca="1">OFFSET(TblConstr[[#This Row],[Mountain]],-1,0)+TblConstr[[#This Row],[Ch_Mountain]]</f>
        <v>0</v>
      </c>
      <c r="J106" s="389">
        <f ca="1">OFFSET(TblConstr[[#This Row],[Hill]],-1,0)+TblConstr[[#This Row],[Ch_Hill]]</f>
        <v>0</v>
      </c>
      <c r="K106" s="393">
        <f ca="1">OFFSET(TblConstr[[#This Row],[Swamp]],-1,0)+TblConstr[[#This Row],[Ch_Swamp]]</f>
        <v>0</v>
      </c>
      <c r="L106" s="188">
        <f ca="1">OFFSET(TblConstr[[#This Row],[Cavern]],-1,0)+TblConstr[[#This Row],[Ch_Cavern]]</f>
        <v>0</v>
      </c>
      <c r="M106" s="189">
        <f ca="1">OFFSET(TblConstr[[#This Row],[Water]],-1,0)+TblConstr[[#This Row],[Ch_Water]]</f>
        <v>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45433.999999999753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1266845</v>
      </c>
      <c r="AL106" s="97">
        <f ca="1">TblProd[[#This Row],[Lumber]]</f>
        <v>39673</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6" s="97">
        <f ca="1">ROUNDDOWN( MAX(1 - MIN(facs_constr_factor*TblConstr[[#This Row],[Facs -DB]],facs_constr_max) + tech_1_11*TblTech[[#This Row],[11-1]] + tech_6_3_2*TblTech[[#This Row],[6-3]] + tech_5_2_3*TblTech[[#This Row],[5-2]], 1-global_constr_cap) * TblConstr[[#This Row],[RCPA Lumber]],0)</f>
        <v>216</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6" s="97">
        <f ca="1">ROUNDDOWN( MAX(1 - MIN(facs_constr_factor*TblConstr[[#This Row],[Facs DB]],facs_constr_max) + tech_1_11*TblTech[[#This Row],[1-11]] + tech_6_3_2*TblTech[[#This Row],[6-3]] + tech_5_2_3*TblTech[[#This Row],[5-2]], 1-global_constr_cap) * ROUND((TblConstr[[#This Row],[Land]]-250)*0.285 + 87.5 + 0/4.25,0),0)</f>
        <v>216</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1413</v>
      </c>
      <c r="AW106" s="97">
        <f ca="1">ROUND((TblConstr[[#This Row],[Land]]-250 - IF(TblExplore[[#This Row],[Land Bonus]]&lt;&gt;0,20,0))*0.285 + 87.5 + 0/4.25,0)</f>
        <v>216</v>
      </c>
      <c r="AX106" s="157"/>
      <c r="AY106" s="191" cm="1">
        <f t="array" aca="1" ref="AY106" ca="1">IF(TblConstr[[#This Row],[Hour]:[Hour]]&gt;12,OFFSET(TblConstr[[#This Row],[Hom]],-12,0),0)+OFFSET(TblConstr[[#This Row],[Tot Hom]],-1,0)-TblConstr[[#This Row],[Dest Hom]]</f>
        <v>40</v>
      </c>
      <c r="AZ106" s="192" cm="1">
        <f t="array" aca="1" ref="AZ106" ca="1">IF(TblConstr[[#This Row],[Hour]:[Hour]]&gt;12,OFFSET(TblConstr[[#This Row],[Alc]],-12,0),0)+OFFSET(TblConstr[[#This Row],[Tot Alc]],-1,0)-TblConstr[[#This Row],[Dest Alc]]</f>
        <v>275</v>
      </c>
      <c r="BA106" s="192" cm="1">
        <f t="array" aca="1" ref="BA106" ca="1">IF(TblConstr[[#This Row],[Hour]:[Hour]]&gt;12,OFFSET(TblConstr[[#This Row],[Far]],-12,0),0)+OFFSET(TblConstr[[#This Row],[Tot Farm]],-1,0)-TblConstr[[#This Row],[Dest Farm]]</f>
        <v>29</v>
      </c>
      <c r="BB106" s="192" cm="1">
        <f t="array" aca="1" ref="BB106" ca="1">IF(TblConstr[[#This Row],[Hour]:[Hour]]&gt;12,OFFSET(TblConstr[[#This Row],[Smi]],-12,0),0)+OFFSET(TblConstr[[#This Row],[Tot Smi]],-1,0)-TblConstr[[#This Row],[Dest Smi]]</f>
        <v>126</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25</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55</v>
      </c>
      <c r="BJ106" s="391" cm="1">
        <f t="array" aca="1" ref="BJ106" ca="1">IF(TblConstr[[#This Row],[Hour]:[Hour]]&gt;12,OFFSET(TblConstr[[#This Row],[Bar]],-12,0),0)+OFFSET(TblConstr[[#This Row],[Tot Bar]],-1,0)-TblConstr[[#This Row],[Dest Bar]]</f>
        <v>50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29</v>
      </c>
      <c r="BM106" s="395" cm="1">
        <f t="array" aca="1" ref="BM106" ca="1">IF(TblConstr[[#This Row],[Hour]:[Hour]]&gt;12,OFFSET(TblConstr[[#This Row],[Tem]],-12,0),0)+OFFSET(TblConstr[[#This Row],[Tot Tem]],-1,0)-TblConstr[[#This Row],[Dest Tem]]</f>
        <v>47</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24</v>
      </c>
      <c r="BR106" s="145"/>
      <c r="BS106" s="157"/>
      <c r="BT106" s="97">
        <f ca="1">TblConstr[[#This Row],[Land]]</f>
        <v>700</v>
      </c>
      <c r="BU106" s="162">
        <f ca="1">TblImps[[#This Row],[Time]]</f>
        <v>45433.999999999753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430</v>
      </c>
      <c r="DA106" s="97">
        <f t="shared" ca="1" si="24"/>
        <v>25</v>
      </c>
      <c r="DB106" s="45">
        <f t="shared" ca="1" si="25"/>
        <v>0</v>
      </c>
      <c r="DC106" s="97">
        <f t="shared" ca="1" si="26"/>
        <v>55</v>
      </c>
      <c r="DD106" s="97">
        <f t="shared" ca="1" si="27"/>
        <v>76</v>
      </c>
      <c r="DE106" s="45">
        <f t="shared" ca="1" si="28"/>
        <v>0</v>
      </c>
      <c r="DF106" s="97">
        <f t="shared" ca="1" si="29"/>
        <v>24</v>
      </c>
      <c r="DG106" s="97" cm="1">
        <f t="array" aca="1" ref="DG106" ca="1">INDEX(TblConstr[[Total Plain]:[Total Water]],ROW()-ROW(TblConstr[#Headers]),MATCH("Total "&amp;home_land,TblConstr[[#Headers],[Total Plain]:[Total Water]],0))+TblConstr[[#This Row],[Homes]]</f>
        <v>40</v>
      </c>
      <c r="DH106" s="45">
        <f t="shared" ca="1" si="22"/>
        <v>40</v>
      </c>
      <c r="DI106" s="45">
        <f t="shared" ca="1" si="19"/>
        <v>0</v>
      </c>
      <c r="DJ106" s="45">
        <f t="shared" ca="1" si="20"/>
        <v>0</v>
      </c>
    </row>
    <row r="107" spans="1:114" x14ac:dyDescent="0.2">
      <c r="A107" s="178">
        <f>TblRezone[[#This Row],[Hour]]</f>
        <v>104</v>
      </c>
      <c r="B107" s="179">
        <f ca="1">SUM(TblConstr[[#This Row],[Plain]:[Water]])</f>
        <v>0</v>
      </c>
      <c r="C107" s="180">
        <f ca="1">SUM(TblConstr[[#This Row],[Tot Hom]:[Tot Doc]])</f>
        <v>700</v>
      </c>
      <c r="D107" s="180">
        <f t="shared" si="21"/>
        <v>0</v>
      </c>
      <c r="E107" s="181"/>
      <c r="F107" s="62">
        <f ca="1">TblConstr[[#This Row],[Barren]]+TblConstr[[#This Row],[Buildings]]+TblConstr[[#This Row],[Incoming]]</f>
        <v>700</v>
      </c>
      <c r="G107" s="190">
        <f ca="1">OFFSET(TblConstr[[#This Row],[Plain]],-1,0)+TblConstr[[#This Row],[Ch_Plain]]</f>
        <v>0</v>
      </c>
      <c r="H107" s="185">
        <f ca="1">OFFSET(TblConstr[[#This Row],[Forest]],-1,0)+TblConstr[[#This Row],[Ch_Forest]]</f>
        <v>0</v>
      </c>
      <c r="I107" s="385">
        <f ca="1">OFFSET(TblConstr[[#This Row],[Mountain]],-1,0)+TblConstr[[#This Row],[Ch_Mountain]]</f>
        <v>0</v>
      </c>
      <c r="J107" s="389">
        <f ca="1">OFFSET(TblConstr[[#This Row],[Hill]],-1,0)+TblConstr[[#This Row],[Ch_Hill]]</f>
        <v>0</v>
      </c>
      <c r="K107" s="393">
        <f ca="1">OFFSET(TblConstr[[#This Row],[Swamp]],-1,0)+TblConstr[[#This Row],[Ch_Swamp]]</f>
        <v>0</v>
      </c>
      <c r="L107" s="188">
        <f ca="1">OFFSET(TblConstr[[#This Row],[Cavern]],-1,0)+TblConstr[[#This Row],[Ch_Cavern]]</f>
        <v>0</v>
      </c>
      <c r="M107" s="189">
        <f ca="1">OFFSET(TblConstr[[#This Row],[Water]],-1,0)+TblConstr[[#This Row],[Ch_Water]]</f>
        <v>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45434.041666666417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1306388</v>
      </c>
      <c r="AL107" s="97">
        <f ca="1">TblProd[[#This Row],[Lumber]]</f>
        <v>40401</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7" s="97">
        <f ca="1">ROUNDDOWN( MAX(1 - MIN(facs_constr_factor*TblConstr[[#This Row],[Facs -DB]],facs_constr_max) + tech_1_11*TblTech[[#This Row],[11-1]] + tech_6_3_2*TblTech[[#This Row],[6-3]] + tech_5_2_3*TblTech[[#This Row],[5-2]], 1-global_constr_cap) * TblConstr[[#This Row],[RCPA Lumber]],0)</f>
        <v>216</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7" s="97">
        <f ca="1">ROUNDDOWN( MAX(1 - MIN(facs_constr_factor*TblConstr[[#This Row],[Facs DB]],facs_constr_max) + tech_1_11*TblTech[[#This Row],[1-11]] + tech_6_3_2*TblTech[[#This Row],[6-3]] + tech_5_2_3*TblTech[[#This Row],[5-2]], 1-global_constr_cap) * ROUND((TblConstr[[#This Row],[Land]]-250)*0.285 + 87.5 + 0/4.25,0),0)</f>
        <v>216</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1413</v>
      </c>
      <c r="AW107" s="97">
        <f ca="1">ROUND((TblConstr[[#This Row],[Land]]-250 - IF(TblExplore[[#This Row],[Land Bonus]]&lt;&gt;0,20,0))*0.285 + 87.5 + 0/4.25,0)</f>
        <v>216</v>
      </c>
      <c r="AX107" s="157"/>
      <c r="AY107" s="191" cm="1">
        <f t="array" aca="1" ref="AY107" ca="1">IF(TblConstr[[#This Row],[Hour]:[Hour]]&gt;12,OFFSET(TblConstr[[#This Row],[Hom]],-12,0),0)+OFFSET(TblConstr[[#This Row],[Tot Hom]],-1,0)-TblConstr[[#This Row],[Dest Hom]]</f>
        <v>40</v>
      </c>
      <c r="AZ107" s="192" cm="1">
        <f t="array" aca="1" ref="AZ107" ca="1">IF(TblConstr[[#This Row],[Hour]:[Hour]]&gt;12,OFFSET(TblConstr[[#This Row],[Alc]],-12,0),0)+OFFSET(TblConstr[[#This Row],[Tot Alc]],-1,0)-TblConstr[[#This Row],[Dest Alc]]</f>
        <v>275</v>
      </c>
      <c r="BA107" s="192" cm="1">
        <f t="array" aca="1" ref="BA107" ca="1">IF(TblConstr[[#This Row],[Hour]:[Hour]]&gt;12,OFFSET(TblConstr[[#This Row],[Far]],-12,0),0)+OFFSET(TblConstr[[#This Row],[Tot Farm]],-1,0)-TblConstr[[#This Row],[Dest Farm]]</f>
        <v>29</v>
      </c>
      <c r="BB107" s="192" cm="1">
        <f t="array" aca="1" ref="BB107" ca="1">IF(TblConstr[[#This Row],[Hour]:[Hour]]&gt;12,OFFSET(TblConstr[[#This Row],[Smi]],-12,0),0)+OFFSET(TblConstr[[#This Row],[Tot Smi]],-1,0)-TblConstr[[#This Row],[Dest Smi]]</f>
        <v>126</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25</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55</v>
      </c>
      <c r="BJ107" s="391" cm="1">
        <f t="array" aca="1" ref="BJ107" ca="1">IF(TblConstr[[#This Row],[Hour]:[Hour]]&gt;12,OFFSET(TblConstr[[#This Row],[Bar]],-12,0),0)+OFFSET(TblConstr[[#This Row],[Tot Bar]],-1,0)-TblConstr[[#This Row],[Dest Bar]]</f>
        <v>50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29</v>
      </c>
      <c r="BM107" s="395" cm="1">
        <f t="array" aca="1" ref="BM107" ca="1">IF(TblConstr[[#This Row],[Hour]:[Hour]]&gt;12,OFFSET(TblConstr[[#This Row],[Tem]],-12,0),0)+OFFSET(TblConstr[[#This Row],[Tot Tem]],-1,0)-TblConstr[[#This Row],[Dest Tem]]</f>
        <v>47</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24</v>
      </c>
      <c r="BR107" s="145"/>
      <c r="BS107" s="157"/>
      <c r="BT107" s="97">
        <f ca="1">TblConstr[[#This Row],[Land]]</f>
        <v>700</v>
      </c>
      <c r="BU107" s="162">
        <f ca="1">TblImps[[#This Row],[Time]]</f>
        <v>45434.041666666417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430</v>
      </c>
      <c r="DA107" s="97">
        <f t="shared" ca="1" si="24"/>
        <v>25</v>
      </c>
      <c r="DB107" s="45">
        <f t="shared" ca="1" si="25"/>
        <v>0</v>
      </c>
      <c r="DC107" s="97">
        <f t="shared" ca="1" si="26"/>
        <v>55</v>
      </c>
      <c r="DD107" s="97">
        <f t="shared" ca="1" si="27"/>
        <v>76</v>
      </c>
      <c r="DE107" s="45">
        <f t="shared" ca="1" si="28"/>
        <v>0</v>
      </c>
      <c r="DF107" s="97">
        <f t="shared" ca="1" si="29"/>
        <v>24</v>
      </c>
      <c r="DG107" s="97" cm="1">
        <f t="array" aca="1" ref="DG107" ca="1">INDEX(TblConstr[[Total Plain]:[Total Water]],ROW()-ROW(TblConstr[#Headers]),MATCH("Total "&amp;home_land,TblConstr[[#Headers],[Total Plain]:[Total Water]],0))+TblConstr[[#This Row],[Homes]]</f>
        <v>40</v>
      </c>
      <c r="DH107" s="45">
        <f t="shared" ca="1" si="22"/>
        <v>40</v>
      </c>
      <c r="DI107" s="45">
        <f t="shared" ca="1" si="19"/>
        <v>0</v>
      </c>
      <c r="DJ107" s="45">
        <f t="shared" ca="1" si="20"/>
        <v>0</v>
      </c>
    </row>
    <row r="108" spans="1:114" x14ac:dyDescent="0.2">
      <c r="A108" s="178">
        <f>TblRezone[[#This Row],[Hour]]</f>
        <v>105</v>
      </c>
      <c r="B108" s="179">
        <f ca="1">SUM(TblConstr[[#This Row],[Plain]:[Water]])</f>
        <v>0</v>
      </c>
      <c r="C108" s="180">
        <f ca="1">SUM(TblConstr[[#This Row],[Tot Hom]:[Tot Doc]])</f>
        <v>700</v>
      </c>
      <c r="D108" s="180">
        <f t="shared" si="21"/>
        <v>0</v>
      </c>
      <c r="E108" s="181"/>
      <c r="F108" s="62">
        <f ca="1">TblConstr[[#This Row],[Barren]]+TblConstr[[#This Row],[Buildings]]+TblConstr[[#This Row],[Incoming]]</f>
        <v>700</v>
      </c>
      <c r="G108" s="190">
        <f ca="1">OFFSET(TblConstr[[#This Row],[Plain]],-1,0)+TblConstr[[#This Row],[Ch_Plain]]</f>
        <v>0</v>
      </c>
      <c r="H108" s="185">
        <f ca="1">OFFSET(TblConstr[[#This Row],[Forest]],-1,0)+TblConstr[[#This Row],[Ch_Forest]]</f>
        <v>0</v>
      </c>
      <c r="I108" s="385">
        <f ca="1">OFFSET(TblConstr[[#This Row],[Mountain]],-1,0)+TblConstr[[#This Row],[Ch_Mountain]]</f>
        <v>0</v>
      </c>
      <c r="J108" s="389">
        <f ca="1">OFFSET(TblConstr[[#This Row],[Hill]],-1,0)+TblConstr[[#This Row],[Ch_Hill]]</f>
        <v>0</v>
      </c>
      <c r="K108" s="393">
        <f ca="1">OFFSET(TblConstr[[#This Row],[Swamp]],-1,0)+TblConstr[[#This Row],[Ch_Swamp]]</f>
        <v>0</v>
      </c>
      <c r="L108" s="188">
        <f ca="1">OFFSET(TblConstr[[#This Row],[Cavern]],-1,0)+TblConstr[[#This Row],[Ch_Cavern]]</f>
        <v>0</v>
      </c>
      <c r="M108" s="189">
        <f ca="1">OFFSET(TblConstr[[#This Row],[Water]],-1,0)+TblConstr[[#This Row],[Ch_Water]]</f>
        <v>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45434.083333333081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1345712</v>
      </c>
      <c r="AL108" s="97">
        <f ca="1">TblProd[[#This Row],[Lumber]]</f>
        <v>41122</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8" s="97">
        <f ca="1">ROUNDDOWN( MAX(1 - MIN(facs_constr_factor*TblConstr[[#This Row],[Facs -DB]],facs_constr_max) + tech_1_11*TblTech[[#This Row],[11-1]] + tech_6_3_2*TblTech[[#This Row],[6-3]] + tech_5_2_3*TblTech[[#This Row],[5-2]], 1-global_constr_cap) * TblConstr[[#This Row],[RCPA Lumber]],0)</f>
        <v>216</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8" s="97">
        <f ca="1">ROUNDDOWN( MAX(1 - MIN(facs_constr_factor*TblConstr[[#This Row],[Facs DB]],facs_constr_max) + tech_1_11*TblTech[[#This Row],[1-11]] + tech_6_3_2*TblTech[[#This Row],[6-3]] + tech_5_2_3*TblTech[[#This Row],[5-2]], 1-global_constr_cap) * ROUND((TblConstr[[#This Row],[Land]]-250)*0.285 + 87.5 + 0/4.25,0),0)</f>
        <v>216</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1413</v>
      </c>
      <c r="AW108" s="97">
        <f ca="1">ROUND((TblConstr[[#This Row],[Land]]-250 - IF(TblExplore[[#This Row],[Land Bonus]]&lt;&gt;0,20,0))*0.285 + 87.5 + 0/4.25,0)</f>
        <v>216</v>
      </c>
      <c r="AX108" s="157"/>
      <c r="AY108" s="191" cm="1">
        <f t="array" aca="1" ref="AY108" ca="1">IF(TblConstr[[#This Row],[Hour]:[Hour]]&gt;12,OFFSET(TblConstr[[#This Row],[Hom]],-12,0),0)+OFFSET(TblConstr[[#This Row],[Tot Hom]],-1,0)-TblConstr[[#This Row],[Dest Hom]]</f>
        <v>40</v>
      </c>
      <c r="AZ108" s="192" cm="1">
        <f t="array" aca="1" ref="AZ108" ca="1">IF(TblConstr[[#This Row],[Hour]:[Hour]]&gt;12,OFFSET(TblConstr[[#This Row],[Alc]],-12,0),0)+OFFSET(TblConstr[[#This Row],[Tot Alc]],-1,0)-TblConstr[[#This Row],[Dest Alc]]</f>
        <v>275</v>
      </c>
      <c r="BA108" s="192" cm="1">
        <f t="array" aca="1" ref="BA108" ca="1">IF(TblConstr[[#This Row],[Hour]:[Hour]]&gt;12,OFFSET(TblConstr[[#This Row],[Far]],-12,0),0)+OFFSET(TblConstr[[#This Row],[Tot Farm]],-1,0)-TblConstr[[#This Row],[Dest Farm]]</f>
        <v>29</v>
      </c>
      <c r="BB108" s="192" cm="1">
        <f t="array" aca="1" ref="BB108" ca="1">IF(TblConstr[[#This Row],[Hour]:[Hour]]&gt;12,OFFSET(TblConstr[[#This Row],[Smi]],-12,0),0)+OFFSET(TblConstr[[#This Row],[Tot Smi]],-1,0)-TblConstr[[#This Row],[Dest Smi]]</f>
        <v>126</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25</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55</v>
      </c>
      <c r="BJ108" s="391" cm="1">
        <f t="array" aca="1" ref="BJ108" ca="1">IF(TblConstr[[#This Row],[Hour]:[Hour]]&gt;12,OFFSET(TblConstr[[#This Row],[Bar]],-12,0),0)+OFFSET(TblConstr[[#This Row],[Tot Bar]],-1,0)-TblConstr[[#This Row],[Dest Bar]]</f>
        <v>50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29</v>
      </c>
      <c r="BM108" s="395" cm="1">
        <f t="array" aca="1" ref="BM108" ca="1">IF(TblConstr[[#This Row],[Hour]:[Hour]]&gt;12,OFFSET(TblConstr[[#This Row],[Tem]],-12,0),0)+OFFSET(TblConstr[[#This Row],[Tot Tem]],-1,0)-TblConstr[[#This Row],[Dest Tem]]</f>
        <v>47</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24</v>
      </c>
      <c r="BR108" s="145"/>
      <c r="BS108" s="157"/>
      <c r="BT108" s="97">
        <f ca="1">TblConstr[[#This Row],[Land]]</f>
        <v>700</v>
      </c>
      <c r="BU108" s="162">
        <f ca="1">TblImps[[#This Row],[Time]]</f>
        <v>45434.083333333081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430</v>
      </c>
      <c r="DA108" s="97">
        <f t="shared" ca="1" si="24"/>
        <v>25</v>
      </c>
      <c r="DB108" s="45">
        <f t="shared" ca="1" si="25"/>
        <v>0</v>
      </c>
      <c r="DC108" s="97">
        <f t="shared" ca="1" si="26"/>
        <v>55</v>
      </c>
      <c r="DD108" s="97">
        <f t="shared" ca="1" si="27"/>
        <v>76</v>
      </c>
      <c r="DE108" s="45">
        <f t="shared" ca="1" si="28"/>
        <v>0</v>
      </c>
      <c r="DF108" s="97">
        <f t="shared" ca="1" si="29"/>
        <v>24</v>
      </c>
      <c r="DG108" s="97" cm="1">
        <f t="array" aca="1" ref="DG108" ca="1">INDEX(TblConstr[[Total Plain]:[Total Water]],ROW()-ROW(TblConstr[#Headers]),MATCH("Total "&amp;home_land,TblConstr[[#Headers],[Total Plain]:[Total Water]],0))+TblConstr[[#This Row],[Homes]]</f>
        <v>40</v>
      </c>
      <c r="DH108" s="45">
        <f t="shared" ca="1" si="22"/>
        <v>40</v>
      </c>
      <c r="DI108" s="45">
        <f t="shared" ca="1" si="19"/>
        <v>0</v>
      </c>
      <c r="DJ108" s="45">
        <f t="shared" ca="1" si="20"/>
        <v>0</v>
      </c>
    </row>
    <row r="109" spans="1:114" x14ac:dyDescent="0.2">
      <c r="A109" s="178">
        <f>TblRezone[[#This Row],[Hour]]</f>
        <v>106</v>
      </c>
      <c r="B109" s="179">
        <f ca="1">SUM(TblConstr[[#This Row],[Plain]:[Water]])</f>
        <v>0</v>
      </c>
      <c r="C109" s="180">
        <f ca="1">SUM(TblConstr[[#This Row],[Tot Hom]:[Tot Doc]])</f>
        <v>700</v>
      </c>
      <c r="D109" s="180">
        <f t="shared" si="21"/>
        <v>0</v>
      </c>
      <c r="E109" s="181"/>
      <c r="F109" s="62">
        <f ca="1">TblConstr[[#This Row],[Barren]]+TblConstr[[#This Row],[Buildings]]+TblConstr[[#This Row],[Incoming]]</f>
        <v>700</v>
      </c>
      <c r="G109" s="190">
        <f ca="1">OFFSET(TblConstr[[#This Row],[Plain]],-1,0)+TblConstr[[#This Row],[Ch_Plain]]</f>
        <v>0</v>
      </c>
      <c r="H109" s="185">
        <f ca="1">OFFSET(TblConstr[[#This Row],[Forest]],-1,0)+TblConstr[[#This Row],[Ch_Forest]]</f>
        <v>0</v>
      </c>
      <c r="I109" s="385">
        <f ca="1">OFFSET(TblConstr[[#This Row],[Mountain]],-1,0)+TblConstr[[#This Row],[Ch_Mountain]]</f>
        <v>0</v>
      </c>
      <c r="J109" s="389">
        <f ca="1">OFFSET(TblConstr[[#This Row],[Hill]],-1,0)+TblConstr[[#This Row],[Ch_Hill]]</f>
        <v>0</v>
      </c>
      <c r="K109" s="393">
        <f ca="1">OFFSET(TblConstr[[#This Row],[Swamp]],-1,0)+TblConstr[[#This Row],[Ch_Swamp]]</f>
        <v>0</v>
      </c>
      <c r="L109" s="188">
        <f ca="1">OFFSET(TblConstr[[#This Row],[Cavern]],-1,0)+TblConstr[[#This Row],[Ch_Cavern]]</f>
        <v>0</v>
      </c>
      <c r="M109" s="189">
        <f ca="1">OFFSET(TblConstr[[#This Row],[Water]],-1,0)+TblConstr[[#This Row],[Ch_Water]]</f>
        <v>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45434.124999999745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1384819</v>
      </c>
      <c r="AL109" s="97">
        <f ca="1">TblProd[[#This Row],[Lumber]]</f>
        <v>41836</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9" s="97">
        <f ca="1">ROUNDDOWN( MAX(1 - MIN(facs_constr_factor*TblConstr[[#This Row],[Facs -DB]],facs_constr_max) + tech_1_11*TblTech[[#This Row],[11-1]] + tech_6_3_2*TblTech[[#This Row],[6-3]] + tech_5_2_3*TblTech[[#This Row],[5-2]], 1-global_constr_cap) * TblConstr[[#This Row],[RCPA Lumber]],0)</f>
        <v>216</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9" s="97">
        <f ca="1">ROUNDDOWN( MAX(1 - MIN(facs_constr_factor*TblConstr[[#This Row],[Facs DB]],facs_constr_max) + tech_1_11*TblTech[[#This Row],[1-11]] + tech_6_3_2*TblTech[[#This Row],[6-3]] + tech_5_2_3*TblTech[[#This Row],[5-2]], 1-global_constr_cap) * ROUND((TblConstr[[#This Row],[Land]]-250)*0.285 + 87.5 + 0/4.25,0),0)</f>
        <v>216</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1413</v>
      </c>
      <c r="AW109" s="97">
        <f ca="1">ROUND((TblConstr[[#This Row],[Land]]-250 - IF(TblExplore[[#This Row],[Land Bonus]]&lt;&gt;0,20,0))*0.285 + 87.5 + 0/4.25,0)</f>
        <v>216</v>
      </c>
      <c r="AX109" s="157"/>
      <c r="AY109" s="191" cm="1">
        <f t="array" aca="1" ref="AY109" ca="1">IF(TblConstr[[#This Row],[Hour]:[Hour]]&gt;12,OFFSET(TblConstr[[#This Row],[Hom]],-12,0),0)+OFFSET(TblConstr[[#This Row],[Tot Hom]],-1,0)-TblConstr[[#This Row],[Dest Hom]]</f>
        <v>40</v>
      </c>
      <c r="AZ109" s="192" cm="1">
        <f t="array" aca="1" ref="AZ109" ca="1">IF(TblConstr[[#This Row],[Hour]:[Hour]]&gt;12,OFFSET(TblConstr[[#This Row],[Alc]],-12,0),0)+OFFSET(TblConstr[[#This Row],[Tot Alc]],-1,0)-TblConstr[[#This Row],[Dest Alc]]</f>
        <v>275</v>
      </c>
      <c r="BA109" s="192" cm="1">
        <f t="array" aca="1" ref="BA109" ca="1">IF(TblConstr[[#This Row],[Hour]:[Hour]]&gt;12,OFFSET(TblConstr[[#This Row],[Far]],-12,0),0)+OFFSET(TblConstr[[#This Row],[Tot Farm]],-1,0)-TblConstr[[#This Row],[Dest Farm]]</f>
        <v>29</v>
      </c>
      <c r="BB109" s="192" cm="1">
        <f t="array" aca="1" ref="BB109" ca="1">IF(TblConstr[[#This Row],[Hour]:[Hour]]&gt;12,OFFSET(TblConstr[[#This Row],[Smi]],-12,0),0)+OFFSET(TblConstr[[#This Row],[Tot Smi]],-1,0)-TblConstr[[#This Row],[Dest Smi]]</f>
        <v>126</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25</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55</v>
      </c>
      <c r="BJ109" s="391" cm="1">
        <f t="array" aca="1" ref="BJ109" ca="1">IF(TblConstr[[#This Row],[Hour]:[Hour]]&gt;12,OFFSET(TblConstr[[#This Row],[Bar]],-12,0),0)+OFFSET(TblConstr[[#This Row],[Tot Bar]],-1,0)-TblConstr[[#This Row],[Dest Bar]]</f>
        <v>50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29</v>
      </c>
      <c r="BM109" s="395" cm="1">
        <f t="array" aca="1" ref="BM109" ca="1">IF(TblConstr[[#This Row],[Hour]:[Hour]]&gt;12,OFFSET(TblConstr[[#This Row],[Tem]],-12,0),0)+OFFSET(TblConstr[[#This Row],[Tot Tem]],-1,0)-TblConstr[[#This Row],[Dest Tem]]</f>
        <v>47</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24</v>
      </c>
      <c r="BR109" s="145"/>
      <c r="BS109" s="157"/>
      <c r="BT109" s="97">
        <f ca="1">TblConstr[[#This Row],[Land]]</f>
        <v>700</v>
      </c>
      <c r="BU109" s="162">
        <f ca="1">TblImps[[#This Row],[Time]]</f>
        <v>45434.124999999745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430</v>
      </c>
      <c r="DA109" s="97">
        <f t="shared" ca="1" si="24"/>
        <v>25</v>
      </c>
      <c r="DB109" s="45">
        <f t="shared" ca="1" si="25"/>
        <v>0</v>
      </c>
      <c r="DC109" s="97">
        <f t="shared" ca="1" si="26"/>
        <v>55</v>
      </c>
      <c r="DD109" s="97">
        <f t="shared" ca="1" si="27"/>
        <v>76</v>
      </c>
      <c r="DE109" s="45">
        <f t="shared" ca="1" si="28"/>
        <v>0</v>
      </c>
      <c r="DF109" s="97">
        <f t="shared" ca="1" si="29"/>
        <v>24</v>
      </c>
      <c r="DG109" s="97" cm="1">
        <f t="array" aca="1" ref="DG109" ca="1">INDEX(TblConstr[[Total Plain]:[Total Water]],ROW()-ROW(TblConstr[#Headers]),MATCH("Total "&amp;home_land,TblConstr[[#Headers],[Total Plain]:[Total Water]],0))+TblConstr[[#This Row],[Homes]]</f>
        <v>40</v>
      </c>
      <c r="DH109" s="45">
        <f t="shared" ca="1" si="22"/>
        <v>40</v>
      </c>
      <c r="DI109" s="45">
        <f t="shared" ca="1" si="19"/>
        <v>0</v>
      </c>
      <c r="DJ109" s="45">
        <f t="shared" ca="1" si="20"/>
        <v>0</v>
      </c>
    </row>
    <row r="110" spans="1:114" x14ac:dyDescent="0.2">
      <c r="A110" s="178">
        <f>TblRezone[[#This Row],[Hour]]</f>
        <v>107</v>
      </c>
      <c r="B110" s="179">
        <f ca="1">SUM(TblConstr[[#This Row],[Plain]:[Water]])</f>
        <v>0</v>
      </c>
      <c r="C110" s="180">
        <f ca="1">SUM(TblConstr[[#This Row],[Tot Hom]:[Tot Doc]])</f>
        <v>700</v>
      </c>
      <c r="D110" s="180">
        <f t="shared" si="21"/>
        <v>0</v>
      </c>
      <c r="E110" s="181"/>
      <c r="F110" s="62">
        <f ca="1">TblConstr[[#This Row],[Barren]]+TblConstr[[#This Row],[Buildings]]+TblConstr[[#This Row],[Incoming]]</f>
        <v>700</v>
      </c>
      <c r="G110" s="190">
        <f ca="1">OFFSET(TblConstr[[#This Row],[Plain]],-1,0)+TblConstr[[#This Row],[Ch_Plain]]</f>
        <v>0</v>
      </c>
      <c r="H110" s="185">
        <f ca="1">OFFSET(TblConstr[[#This Row],[Forest]],-1,0)+TblConstr[[#This Row],[Ch_Forest]]</f>
        <v>0</v>
      </c>
      <c r="I110" s="385">
        <f ca="1">OFFSET(TblConstr[[#This Row],[Mountain]],-1,0)+TblConstr[[#This Row],[Ch_Mountain]]</f>
        <v>0</v>
      </c>
      <c r="J110" s="389">
        <f ca="1">OFFSET(TblConstr[[#This Row],[Hill]],-1,0)+TblConstr[[#This Row],[Ch_Hill]]</f>
        <v>0</v>
      </c>
      <c r="K110" s="393">
        <f ca="1">OFFSET(TblConstr[[#This Row],[Swamp]],-1,0)+TblConstr[[#This Row],[Ch_Swamp]]</f>
        <v>0</v>
      </c>
      <c r="L110" s="188">
        <f ca="1">OFFSET(TblConstr[[#This Row],[Cavern]],-1,0)+TblConstr[[#This Row],[Ch_Cavern]]</f>
        <v>0</v>
      </c>
      <c r="M110" s="189">
        <f ca="1">OFFSET(TblConstr[[#This Row],[Water]],-1,0)+TblConstr[[#This Row],[Ch_Water]]</f>
        <v>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45434.16666666641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1423709</v>
      </c>
      <c r="AL110" s="97">
        <f ca="1">TblProd[[#This Row],[Lumber]]</f>
        <v>42543</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0" s="97">
        <f ca="1">ROUNDDOWN( MAX(1 - MIN(facs_constr_factor*TblConstr[[#This Row],[Facs -DB]],facs_constr_max) + tech_1_11*TblTech[[#This Row],[11-1]] + tech_6_3_2*TblTech[[#This Row],[6-3]] + tech_5_2_3*TblTech[[#This Row],[5-2]], 1-global_constr_cap) * TblConstr[[#This Row],[RCPA Lumber]],0)</f>
        <v>216</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0" s="97">
        <f ca="1">ROUNDDOWN( MAX(1 - MIN(facs_constr_factor*TblConstr[[#This Row],[Facs DB]],facs_constr_max) + tech_1_11*TblTech[[#This Row],[1-11]] + tech_6_3_2*TblTech[[#This Row],[6-3]] + tech_5_2_3*TblTech[[#This Row],[5-2]], 1-global_constr_cap) * ROUND((TblConstr[[#This Row],[Land]]-250)*0.285 + 87.5 + 0/4.25,0),0)</f>
        <v>216</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1413</v>
      </c>
      <c r="AW110" s="97">
        <f ca="1">ROUND((TblConstr[[#This Row],[Land]]-250 - IF(TblExplore[[#This Row],[Land Bonus]]&lt;&gt;0,20,0))*0.285 + 87.5 + 0/4.25,0)</f>
        <v>216</v>
      </c>
      <c r="AX110" s="157"/>
      <c r="AY110" s="191" cm="1">
        <f t="array" aca="1" ref="AY110" ca="1">IF(TblConstr[[#This Row],[Hour]:[Hour]]&gt;12,OFFSET(TblConstr[[#This Row],[Hom]],-12,0),0)+OFFSET(TblConstr[[#This Row],[Tot Hom]],-1,0)-TblConstr[[#This Row],[Dest Hom]]</f>
        <v>40</v>
      </c>
      <c r="AZ110" s="192" cm="1">
        <f t="array" aca="1" ref="AZ110" ca="1">IF(TblConstr[[#This Row],[Hour]:[Hour]]&gt;12,OFFSET(TblConstr[[#This Row],[Alc]],-12,0),0)+OFFSET(TblConstr[[#This Row],[Tot Alc]],-1,0)-TblConstr[[#This Row],[Dest Alc]]</f>
        <v>275</v>
      </c>
      <c r="BA110" s="192" cm="1">
        <f t="array" aca="1" ref="BA110" ca="1">IF(TblConstr[[#This Row],[Hour]:[Hour]]&gt;12,OFFSET(TblConstr[[#This Row],[Far]],-12,0),0)+OFFSET(TblConstr[[#This Row],[Tot Farm]],-1,0)-TblConstr[[#This Row],[Dest Farm]]</f>
        <v>29</v>
      </c>
      <c r="BB110" s="192" cm="1">
        <f t="array" aca="1" ref="BB110" ca="1">IF(TblConstr[[#This Row],[Hour]:[Hour]]&gt;12,OFFSET(TblConstr[[#This Row],[Smi]],-12,0),0)+OFFSET(TblConstr[[#This Row],[Tot Smi]],-1,0)-TblConstr[[#This Row],[Dest Smi]]</f>
        <v>126</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25</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55</v>
      </c>
      <c r="BJ110" s="391" cm="1">
        <f t="array" aca="1" ref="BJ110" ca="1">IF(TblConstr[[#This Row],[Hour]:[Hour]]&gt;12,OFFSET(TblConstr[[#This Row],[Bar]],-12,0),0)+OFFSET(TblConstr[[#This Row],[Tot Bar]],-1,0)-TblConstr[[#This Row],[Dest Bar]]</f>
        <v>50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29</v>
      </c>
      <c r="BM110" s="395" cm="1">
        <f t="array" aca="1" ref="BM110" ca="1">IF(TblConstr[[#This Row],[Hour]:[Hour]]&gt;12,OFFSET(TblConstr[[#This Row],[Tem]],-12,0),0)+OFFSET(TblConstr[[#This Row],[Tot Tem]],-1,0)-TblConstr[[#This Row],[Dest Tem]]</f>
        <v>47</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24</v>
      </c>
      <c r="BR110" s="145"/>
      <c r="BS110" s="157"/>
      <c r="BT110" s="97">
        <f ca="1">TblConstr[[#This Row],[Land]]</f>
        <v>700</v>
      </c>
      <c r="BU110" s="162">
        <f ca="1">TblImps[[#This Row],[Time]]</f>
        <v>45434.16666666641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430</v>
      </c>
      <c r="DA110" s="97">
        <f t="shared" ca="1" si="24"/>
        <v>25</v>
      </c>
      <c r="DB110" s="45">
        <f t="shared" ca="1" si="25"/>
        <v>0</v>
      </c>
      <c r="DC110" s="97">
        <f t="shared" ca="1" si="26"/>
        <v>55</v>
      </c>
      <c r="DD110" s="97">
        <f t="shared" ca="1" si="27"/>
        <v>76</v>
      </c>
      <c r="DE110" s="45">
        <f t="shared" ca="1" si="28"/>
        <v>0</v>
      </c>
      <c r="DF110" s="97">
        <f t="shared" ca="1" si="29"/>
        <v>24</v>
      </c>
      <c r="DG110" s="97" cm="1">
        <f t="array" aca="1" ref="DG110" ca="1">INDEX(TblConstr[[Total Plain]:[Total Water]],ROW()-ROW(TblConstr[#Headers]),MATCH("Total "&amp;home_land,TblConstr[[#Headers],[Total Plain]:[Total Water]],0))+TblConstr[[#This Row],[Homes]]</f>
        <v>40</v>
      </c>
      <c r="DH110" s="45">
        <f t="shared" ca="1" si="22"/>
        <v>40</v>
      </c>
      <c r="DI110" s="45">
        <f t="shared" ca="1" si="19"/>
        <v>0</v>
      </c>
      <c r="DJ110" s="45">
        <f t="shared" ca="1" si="20"/>
        <v>0</v>
      </c>
    </row>
    <row r="111" spans="1:114" x14ac:dyDescent="0.2">
      <c r="A111" s="178">
        <f>TblRezone[[#This Row],[Hour]]</f>
        <v>108</v>
      </c>
      <c r="B111" s="179">
        <f ca="1">SUM(TblConstr[[#This Row],[Plain]:[Water]])</f>
        <v>0</v>
      </c>
      <c r="C111" s="180">
        <f ca="1">SUM(TblConstr[[#This Row],[Tot Hom]:[Tot Doc]])</f>
        <v>700</v>
      </c>
      <c r="D111" s="180">
        <f t="shared" si="21"/>
        <v>0</v>
      </c>
      <c r="E111" s="181"/>
      <c r="F111" s="62">
        <f ca="1">TblConstr[[#This Row],[Barren]]+TblConstr[[#This Row],[Buildings]]+TblConstr[[#This Row],[Incoming]]</f>
        <v>700</v>
      </c>
      <c r="G111" s="190">
        <f ca="1">OFFSET(TblConstr[[#This Row],[Plain]],-1,0)+TblConstr[[#This Row],[Ch_Plain]]</f>
        <v>0</v>
      </c>
      <c r="H111" s="185">
        <f ca="1">OFFSET(TblConstr[[#This Row],[Forest]],-1,0)+TblConstr[[#This Row],[Ch_Forest]]</f>
        <v>0</v>
      </c>
      <c r="I111" s="385">
        <f ca="1">OFFSET(TblConstr[[#This Row],[Mountain]],-1,0)+TblConstr[[#This Row],[Ch_Mountain]]</f>
        <v>0</v>
      </c>
      <c r="J111" s="389">
        <f ca="1">OFFSET(TblConstr[[#This Row],[Hill]],-1,0)+TblConstr[[#This Row],[Ch_Hill]]</f>
        <v>0</v>
      </c>
      <c r="K111" s="393">
        <f ca="1">OFFSET(TblConstr[[#This Row],[Swamp]],-1,0)+TblConstr[[#This Row],[Ch_Swamp]]</f>
        <v>0</v>
      </c>
      <c r="L111" s="188">
        <f ca="1">OFFSET(TblConstr[[#This Row],[Cavern]],-1,0)+TblConstr[[#This Row],[Ch_Cavern]]</f>
        <v>0</v>
      </c>
      <c r="M111" s="189">
        <f ca="1">OFFSET(TblConstr[[#This Row],[Water]],-1,0)+TblConstr[[#This Row],[Ch_Water]]</f>
        <v>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45434.208333333074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1462385</v>
      </c>
      <c r="AL111" s="97">
        <f ca="1">TblProd[[#This Row],[Lumber]]</f>
        <v>43243</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1" s="97">
        <f ca="1">ROUNDDOWN( MAX(1 - MIN(facs_constr_factor*TblConstr[[#This Row],[Facs -DB]],facs_constr_max) + tech_1_11*TblTech[[#This Row],[11-1]] + tech_6_3_2*TblTech[[#This Row],[6-3]] + tech_5_2_3*TblTech[[#This Row],[5-2]], 1-global_constr_cap) * TblConstr[[#This Row],[RCPA Lumber]],0)</f>
        <v>216</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1" s="97">
        <f ca="1">ROUNDDOWN( MAX(1 - MIN(facs_constr_factor*TblConstr[[#This Row],[Facs DB]],facs_constr_max) + tech_1_11*TblTech[[#This Row],[1-11]] + tech_6_3_2*TblTech[[#This Row],[6-3]] + tech_5_2_3*TblTech[[#This Row],[5-2]], 1-global_constr_cap) * ROUND((TblConstr[[#This Row],[Land]]-250)*0.285 + 87.5 + 0/4.25,0),0)</f>
        <v>216</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1413</v>
      </c>
      <c r="AW111" s="97">
        <f ca="1">ROUND((TblConstr[[#This Row],[Land]]-250 - IF(TblExplore[[#This Row],[Land Bonus]]&lt;&gt;0,20,0))*0.285 + 87.5 + 0/4.25,0)</f>
        <v>216</v>
      </c>
      <c r="AX111" s="157"/>
      <c r="AY111" s="191" cm="1">
        <f t="array" aca="1" ref="AY111" ca="1">IF(TblConstr[[#This Row],[Hour]:[Hour]]&gt;12,OFFSET(TblConstr[[#This Row],[Hom]],-12,0),0)+OFFSET(TblConstr[[#This Row],[Tot Hom]],-1,0)-TblConstr[[#This Row],[Dest Hom]]</f>
        <v>40</v>
      </c>
      <c r="AZ111" s="192" cm="1">
        <f t="array" aca="1" ref="AZ111" ca="1">IF(TblConstr[[#This Row],[Hour]:[Hour]]&gt;12,OFFSET(TblConstr[[#This Row],[Alc]],-12,0),0)+OFFSET(TblConstr[[#This Row],[Tot Alc]],-1,0)-TblConstr[[#This Row],[Dest Alc]]</f>
        <v>275</v>
      </c>
      <c r="BA111" s="192" cm="1">
        <f t="array" aca="1" ref="BA111" ca="1">IF(TblConstr[[#This Row],[Hour]:[Hour]]&gt;12,OFFSET(TblConstr[[#This Row],[Far]],-12,0),0)+OFFSET(TblConstr[[#This Row],[Tot Farm]],-1,0)-TblConstr[[#This Row],[Dest Farm]]</f>
        <v>29</v>
      </c>
      <c r="BB111" s="192" cm="1">
        <f t="array" aca="1" ref="BB111" ca="1">IF(TblConstr[[#This Row],[Hour]:[Hour]]&gt;12,OFFSET(TblConstr[[#This Row],[Smi]],-12,0),0)+OFFSET(TblConstr[[#This Row],[Tot Smi]],-1,0)-TblConstr[[#This Row],[Dest Smi]]</f>
        <v>126</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25</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55</v>
      </c>
      <c r="BJ111" s="391" cm="1">
        <f t="array" aca="1" ref="BJ111" ca="1">IF(TblConstr[[#This Row],[Hour]:[Hour]]&gt;12,OFFSET(TblConstr[[#This Row],[Bar]],-12,0),0)+OFFSET(TblConstr[[#This Row],[Tot Bar]],-1,0)-TblConstr[[#This Row],[Dest Bar]]</f>
        <v>50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29</v>
      </c>
      <c r="BM111" s="395" cm="1">
        <f t="array" aca="1" ref="BM111" ca="1">IF(TblConstr[[#This Row],[Hour]:[Hour]]&gt;12,OFFSET(TblConstr[[#This Row],[Tem]],-12,0),0)+OFFSET(TblConstr[[#This Row],[Tot Tem]],-1,0)-TblConstr[[#This Row],[Dest Tem]]</f>
        <v>47</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24</v>
      </c>
      <c r="BR111" s="145"/>
      <c r="BS111" s="157"/>
      <c r="BT111" s="97">
        <f ca="1">TblConstr[[#This Row],[Land]]</f>
        <v>700</v>
      </c>
      <c r="BU111" s="162">
        <f ca="1">TblImps[[#This Row],[Time]]</f>
        <v>45434.208333333074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430</v>
      </c>
      <c r="DA111" s="97">
        <f t="shared" ca="1" si="24"/>
        <v>25</v>
      </c>
      <c r="DB111" s="45">
        <f t="shared" ca="1" si="25"/>
        <v>0</v>
      </c>
      <c r="DC111" s="97">
        <f t="shared" ca="1" si="26"/>
        <v>55</v>
      </c>
      <c r="DD111" s="97">
        <f t="shared" ca="1" si="27"/>
        <v>76</v>
      </c>
      <c r="DE111" s="45">
        <f t="shared" ca="1" si="28"/>
        <v>0</v>
      </c>
      <c r="DF111" s="97">
        <f t="shared" ca="1" si="29"/>
        <v>24</v>
      </c>
      <c r="DG111" s="97" cm="1">
        <f t="array" aca="1" ref="DG111" ca="1">INDEX(TblConstr[[Total Plain]:[Total Water]],ROW()-ROW(TblConstr[#Headers]),MATCH("Total "&amp;home_land,TblConstr[[#Headers],[Total Plain]:[Total Water]],0))+TblConstr[[#This Row],[Homes]]</f>
        <v>40</v>
      </c>
      <c r="DH111" s="45">
        <f t="shared" ca="1" si="22"/>
        <v>40</v>
      </c>
      <c r="DI111" s="45">
        <f t="shared" ca="1" si="19"/>
        <v>0</v>
      </c>
      <c r="DJ111" s="45">
        <f t="shared" ca="1" si="20"/>
        <v>0</v>
      </c>
    </row>
    <row r="112" spans="1:114" x14ac:dyDescent="0.2">
      <c r="A112" s="178">
        <f>TblRezone[[#This Row],[Hour]]</f>
        <v>109</v>
      </c>
      <c r="B112" s="179">
        <f ca="1">SUM(TblConstr[[#This Row],[Plain]:[Water]])</f>
        <v>0</v>
      </c>
      <c r="C112" s="180">
        <f ca="1">SUM(TblConstr[[#This Row],[Tot Hom]:[Tot Doc]])</f>
        <v>700</v>
      </c>
      <c r="D112" s="180">
        <f t="shared" si="21"/>
        <v>0</v>
      </c>
      <c r="E112" s="181"/>
      <c r="F112" s="62">
        <f ca="1">TblConstr[[#This Row],[Barren]]+TblConstr[[#This Row],[Buildings]]+TblConstr[[#This Row],[Incoming]]</f>
        <v>700</v>
      </c>
      <c r="G112" s="190">
        <f ca="1">OFFSET(TblConstr[[#This Row],[Plain]],-1,0)+TblConstr[[#This Row],[Ch_Plain]]</f>
        <v>0</v>
      </c>
      <c r="H112" s="185">
        <f ca="1">OFFSET(TblConstr[[#This Row],[Forest]],-1,0)+TblConstr[[#This Row],[Ch_Forest]]</f>
        <v>0</v>
      </c>
      <c r="I112" s="385">
        <f ca="1">OFFSET(TblConstr[[#This Row],[Mountain]],-1,0)+TblConstr[[#This Row],[Ch_Mountain]]</f>
        <v>0</v>
      </c>
      <c r="J112" s="389">
        <f ca="1">OFFSET(TblConstr[[#This Row],[Hill]],-1,0)+TblConstr[[#This Row],[Ch_Hill]]</f>
        <v>0</v>
      </c>
      <c r="K112" s="393">
        <f ca="1">OFFSET(TblConstr[[#This Row],[Swamp]],-1,0)+TblConstr[[#This Row],[Ch_Swamp]]</f>
        <v>0</v>
      </c>
      <c r="L112" s="188">
        <f ca="1">OFFSET(TblConstr[[#This Row],[Cavern]],-1,0)+TblConstr[[#This Row],[Ch_Cavern]]</f>
        <v>0</v>
      </c>
      <c r="M112" s="189">
        <f ca="1">OFFSET(TblConstr[[#This Row],[Water]],-1,0)+TblConstr[[#This Row],[Ch_Water]]</f>
        <v>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45434.249999999738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1500850</v>
      </c>
      <c r="AL112" s="97">
        <f ca="1">TblProd[[#This Row],[Lumber]]</f>
        <v>43936</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2" s="97">
        <f ca="1">ROUNDDOWN( MAX(1 - MIN(facs_constr_factor*TblConstr[[#This Row],[Facs -DB]],facs_constr_max) + tech_1_11*TblTech[[#This Row],[11-1]] + tech_6_3_2*TblTech[[#This Row],[6-3]] + tech_5_2_3*TblTech[[#This Row],[5-2]], 1-global_constr_cap) * TblConstr[[#This Row],[RCPA Lumber]],0)</f>
        <v>216</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2" s="97">
        <f ca="1">ROUNDDOWN( MAX(1 - MIN(facs_constr_factor*TblConstr[[#This Row],[Facs DB]],facs_constr_max) + tech_1_11*TblTech[[#This Row],[1-11]] + tech_6_3_2*TblTech[[#This Row],[6-3]] + tech_5_2_3*TblTech[[#This Row],[5-2]], 1-global_constr_cap) * ROUND((TblConstr[[#This Row],[Land]]-250)*0.285 + 87.5 + 0/4.25,0),0)</f>
        <v>216</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1413</v>
      </c>
      <c r="AW112" s="97">
        <f ca="1">ROUND((TblConstr[[#This Row],[Land]]-250 - IF(TblExplore[[#This Row],[Land Bonus]]&lt;&gt;0,20,0))*0.285 + 87.5 + 0/4.25,0)</f>
        <v>216</v>
      </c>
      <c r="AX112" s="157"/>
      <c r="AY112" s="191" cm="1">
        <f t="array" aca="1" ref="AY112" ca="1">IF(TblConstr[[#This Row],[Hour]:[Hour]]&gt;12,OFFSET(TblConstr[[#This Row],[Hom]],-12,0),0)+OFFSET(TblConstr[[#This Row],[Tot Hom]],-1,0)-TblConstr[[#This Row],[Dest Hom]]</f>
        <v>40</v>
      </c>
      <c r="AZ112" s="192" cm="1">
        <f t="array" aca="1" ref="AZ112" ca="1">IF(TblConstr[[#This Row],[Hour]:[Hour]]&gt;12,OFFSET(TblConstr[[#This Row],[Alc]],-12,0),0)+OFFSET(TblConstr[[#This Row],[Tot Alc]],-1,0)-TblConstr[[#This Row],[Dest Alc]]</f>
        <v>275</v>
      </c>
      <c r="BA112" s="192" cm="1">
        <f t="array" aca="1" ref="BA112" ca="1">IF(TblConstr[[#This Row],[Hour]:[Hour]]&gt;12,OFFSET(TblConstr[[#This Row],[Far]],-12,0),0)+OFFSET(TblConstr[[#This Row],[Tot Farm]],-1,0)-TblConstr[[#This Row],[Dest Farm]]</f>
        <v>29</v>
      </c>
      <c r="BB112" s="192" cm="1">
        <f t="array" aca="1" ref="BB112" ca="1">IF(TblConstr[[#This Row],[Hour]:[Hour]]&gt;12,OFFSET(TblConstr[[#This Row],[Smi]],-12,0),0)+OFFSET(TblConstr[[#This Row],[Tot Smi]],-1,0)-TblConstr[[#This Row],[Dest Smi]]</f>
        <v>126</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25</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55</v>
      </c>
      <c r="BJ112" s="391" cm="1">
        <f t="array" aca="1" ref="BJ112" ca="1">IF(TblConstr[[#This Row],[Hour]:[Hour]]&gt;12,OFFSET(TblConstr[[#This Row],[Bar]],-12,0),0)+OFFSET(TblConstr[[#This Row],[Tot Bar]],-1,0)-TblConstr[[#This Row],[Dest Bar]]</f>
        <v>50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29</v>
      </c>
      <c r="BM112" s="395" cm="1">
        <f t="array" aca="1" ref="BM112" ca="1">IF(TblConstr[[#This Row],[Hour]:[Hour]]&gt;12,OFFSET(TblConstr[[#This Row],[Tem]],-12,0),0)+OFFSET(TblConstr[[#This Row],[Tot Tem]],-1,0)-TblConstr[[#This Row],[Dest Tem]]</f>
        <v>47</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24</v>
      </c>
      <c r="BR112" s="145"/>
      <c r="BS112" s="157"/>
      <c r="BT112" s="97">
        <f ca="1">TblConstr[[#This Row],[Land]]</f>
        <v>700</v>
      </c>
      <c r="BU112" s="162">
        <f ca="1">TblImps[[#This Row],[Time]]</f>
        <v>45434.249999999738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430</v>
      </c>
      <c r="DA112" s="97">
        <f t="shared" ref="DA112:DA131" ca="1" si="31">H112+SUM(T101:U112)+SUM(BD112:BE112)</f>
        <v>25</v>
      </c>
      <c r="DB112" s="45">
        <f t="shared" ref="DB112:DB131" ca="1" si="32">I112+SUM(V101:W112)+SUM(BF112:BG112)</f>
        <v>0</v>
      </c>
      <c r="DC112" s="97">
        <f t="shared" ref="DC112:DC131" ca="1" si="33">J112+SUM(X101:Y112)+SUM(BH112:BI112)</f>
        <v>55</v>
      </c>
      <c r="DD112" s="97">
        <f t="shared" ref="DD112:DD131" ca="1" si="34">K112+SUM(AB101:AD112)+SUM(BL112:BN112)</f>
        <v>76</v>
      </c>
      <c r="DE112" s="45">
        <f t="shared" ref="DE112:DE131" ca="1" si="35">L112+SUM(AE101:AE112)+BO112</f>
        <v>0</v>
      </c>
      <c r="DF112" s="97">
        <f t="shared" ref="DF112:DF131" ca="1" si="36">M112+SUM(AG101:AG112)+BQ112</f>
        <v>24</v>
      </c>
      <c r="DG112" s="97" cm="1">
        <f t="array" aca="1" ref="DG112" ca="1">INDEX(TblConstr[[Total Plain]:[Total Water]],ROW()-ROW(TblConstr[#Headers]),MATCH("Total "&amp;home_land,TblConstr[[#Headers],[Total Plain]:[Total Water]],0))+TblConstr[[#This Row],[Homes]]</f>
        <v>40</v>
      </c>
      <c r="DH112" s="45">
        <f t="shared" ca="1" si="22"/>
        <v>40</v>
      </c>
      <c r="DI112" s="45">
        <f t="shared" ca="1" si="19"/>
        <v>0</v>
      </c>
      <c r="DJ112" s="45">
        <f t="shared" ca="1" si="20"/>
        <v>0</v>
      </c>
    </row>
    <row r="113" spans="1:114" x14ac:dyDescent="0.2">
      <c r="A113" s="178">
        <f>TblRezone[[#This Row],[Hour]]</f>
        <v>110</v>
      </c>
      <c r="B113" s="179">
        <f ca="1">SUM(TblConstr[[#This Row],[Plain]:[Water]])</f>
        <v>0</v>
      </c>
      <c r="C113" s="180">
        <f ca="1">SUM(TblConstr[[#This Row],[Tot Hom]:[Tot Doc]])</f>
        <v>700</v>
      </c>
      <c r="D113" s="180">
        <f t="shared" si="21"/>
        <v>0</v>
      </c>
      <c r="E113" s="181"/>
      <c r="F113" s="62">
        <f ca="1">TblConstr[[#This Row],[Barren]]+TblConstr[[#This Row],[Buildings]]+TblConstr[[#This Row],[Incoming]]</f>
        <v>700</v>
      </c>
      <c r="G113" s="190">
        <f ca="1">OFFSET(TblConstr[[#This Row],[Plain]],-1,0)+TblConstr[[#This Row],[Ch_Plain]]</f>
        <v>0</v>
      </c>
      <c r="H113" s="185">
        <f ca="1">OFFSET(TblConstr[[#This Row],[Forest]],-1,0)+TblConstr[[#This Row],[Ch_Forest]]</f>
        <v>0</v>
      </c>
      <c r="I113" s="385">
        <f ca="1">OFFSET(TblConstr[[#This Row],[Mountain]],-1,0)+TblConstr[[#This Row],[Ch_Mountain]]</f>
        <v>0</v>
      </c>
      <c r="J113" s="389">
        <f ca="1">OFFSET(TblConstr[[#This Row],[Hill]],-1,0)+TblConstr[[#This Row],[Ch_Hill]]</f>
        <v>0</v>
      </c>
      <c r="K113" s="393">
        <f ca="1">OFFSET(TblConstr[[#This Row],[Swamp]],-1,0)+TblConstr[[#This Row],[Ch_Swamp]]</f>
        <v>0</v>
      </c>
      <c r="L113" s="188">
        <f ca="1">OFFSET(TblConstr[[#This Row],[Cavern]],-1,0)+TblConstr[[#This Row],[Ch_Cavern]]</f>
        <v>0</v>
      </c>
      <c r="M113" s="189">
        <f ca="1">OFFSET(TblConstr[[#This Row],[Water]],-1,0)+TblConstr[[#This Row],[Ch_Water]]</f>
        <v>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45434.291666666402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1532054</v>
      </c>
      <c r="AL113" s="97">
        <f ca="1">TblProd[[#This Row],[Lumber]]</f>
        <v>44622</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3" s="97">
        <f ca="1">ROUNDDOWN( MAX(1 - MIN(facs_constr_factor*TblConstr[[#This Row],[Facs -DB]],facs_constr_max) + tech_1_11*TblTech[[#This Row],[11-1]] + tech_6_3_2*TblTech[[#This Row],[6-3]] + tech_5_2_3*TblTech[[#This Row],[5-2]], 1-global_constr_cap) * TblConstr[[#This Row],[RCPA Lumber]],0)</f>
        <v>216</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3" s="97">
        <f ca="1">ROUNDDOWN( MAX(1 - MIN(facs_constr_factor*TblConstr[[#This Row],[Facs DB]],facs_constr_max) + tech_1_11*TblTech[[#This Row],[1-11]] + tech_6_3_2*TblTech[[#This Row],[6-3]] + tech_5_2_3*TblTech[[#This Row],[5-2]], 1-global_constr_cap) * ROUND((TblConstr[[#This Row],[Land]]-250)*0.285 + 87.5 + 0/4.25,0),0)</f>
        <v>216</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1413</v>
      </c>
      <c r="AW113" s="97">
        <f ca="1">ROUND((TblConstr[[#This Row],[Land]]-250 - IF(TblExplore[[#This Row],[Land Bonus]]&lt;&gt;0,20,0))*0.285 + 87.5 + 0/4.25,0)</f>
        <v>216</v>
      </c>
      <c r="AX113" s="157"/>
      <c r="AY113" s="191" cm="1">
        <f t="array" aca="1" ref="AY113" ca="1">IF(TblConstr[[#This Row],[Hour]:[Hour]]&gt;12,OFFSET(TblConstr[[#This Row],[Hom]],-12,0),0)+OFFSET(TblConstr[[#This Row],[Tot Hom]],-1,0)-TblConstr[[#This Row],[Dest Hom]]</f>
        <v>40</v>
      </c>
      <c r="AZ113" s="192" cm="1">
        <f t="array" aca="1" ref="AZ113" ca="1">IF(TblConstr[[#This Row],[Hour]:[Hour]]&gt;12,OFFSET(TblConstr[[#This Row],[Alc]],-12,0),0)+OFFSET(TblConstr[[#This Row],[Tot Alc]],-1,0)-TblConstr[[#This Row],[Dest Alc]]</f>
        <v>275</v>
      </c>
      <c r="BA113" s="192" cm="1">
        <f t="array" aca="1" ref="BA113" ca="1">IF(TblConstr[[#This Row],[Hour]:[Hour]]&gt;12,OFFSET(TblConstr[[#This Row],[Far]],-12,0),0)+OFFSET(TblConstr[[#This Row],[Tot Farm]],-1,0)-TblConstr[[#This Row],[Dest Farm]]</f>
        <v>29</v>
      </c>
      <c r="BB113" s="192" cm="1">
        <f t="array" aca="1" ref="BB113" ca="1">IF(TblConstr[[#This Row],[Hour]:[Hour]]&gt;12,OFFSET(TblConstr[[#This Row],[Smi]],-12,0),0)+OFFSET(TblConstr[[#This Row],[Tot Smi]],-1,0)-TblConstr[[#This Row],[Dest Smi]]</f>
        <v>126</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25</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55</v>
      </c>
      <c r="BJ113" s="391" cm="1">
        <f t="array" aca="1" ref="BJ113" ca="1">IF(TblConstr[[#This Row],[Hour]:[Hour]]&gt;12,OFFSET(TblConstr[[#This Row],[Bar]],-12,0),0)+OFFSET(TblConstr[[#This Row],[Tot Bar]],-1,0)-TblConstr[[#This Row],[Dest Bar]]</f>
        <v>50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29</v>
      </c>
      <c r="BM113" s="395" cm="1">
        <f t="array" aca="1" ref="BM113" ca="1">IF(TblConstr[[#This Row],[Hour]:[Hour]]&gt;12,OFFSET(TblConstr[[#This Row],[Tem]],-12,0),0)+OFFSET(TblConstr[[#This Row],[Tot Tem]],-1,0)-TblConstr[[#This Row],[Dest Tem]]</f>
        <v>47</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24</v>
      </c>
      <c r="BR113" s="145"/>
      <c r="BS113" s="157"/>
      <c r="BT113" s="97">
        <f ca="1">TblConstr[[#This Row],[Land]]</f>
        <v>700</v>
      </c>
      <c r="BU113" s="162">
        <f ca="1">TblImps[[#This Row],[Time]]</f>
        <v>45434.291666666402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430</v>
      </c>
      <c r="DA113" s="97">
        <f t="shared" ca="1" si="31"/>
        <v>25</v>
      </c>
      <c r="DB113" s="45">
        <f t="shared" ca="1" si="32"/>
        <v>0</v>
      </c>
      <c r="DC113" s="97">
        <f t="shared" ca="1" si="33"/>
        <v>55</v>
      </c>
      <c r="DD113" s="97">
        <f t="shared" ca="1" si="34"/>
        <v>76</v>
      </c>
      <c r="DE113" s="45">
        <f t="shared" ca="1" si="35"/>
        <v>0</v>
      </c>
      <c r="DF113" s="97">
        <f t="shared" ca="1" si="36"/>
        <v>24</v>
      </c>
      <c r="DG113" s="97" cm="1">
        <f t="array" aca="1" ref="DG113" ca="1">INDEX(TblConstr[[Total Plain]:[Total Water]],ROW()-ROW(TblConstr[#Headers]),MATCH("Total "&amp;home_land,TblConstr[[#Headers],[Total Plain]:[Total Water]],0))+TblConstr[[#This Row],[Homes]]</f>
        <v>40</v>
      </c>
      <c r="DH113" s="45">
        <f t="shared" ca="1" si="22"/>
        <v>40</v>
      </c>
      <c r="DI113" s="45">
        <f t="shared" ca="1" si="19"/>
        <v>0</v>
      </c>
      <c r="DJ113" s="45">
        <f t="shared" ca="1" si="20"/>
        <v>0</v>
      </c>
    </row>
    <row r="114" spans="1:114" x14ac:dyDescent="0.2">
      <c r="A114" s="178">
        <f>TblRezone[[#This Row],[Hour]]</f>
        <v>111</v>
      </c>
      <c r="B114" s="179">
        <f ca="1">SUM(TblConstr[[#This Row],[Plain]:[Water]])</f>
        <v>0</v>
      </c>
      <c r="C114" s="180">
        <f ca="1">SUM(TblConstr[[#This Row],[Tot Hom]:[Tot Doc]])</f>
        <v>700</v>
      </c>
      <c r="D114" s="180">
        <f t="shared" si="21"/>
        <v>0</v>
      </c>
      <c r="E114" s="181"/>
      <c r="F114" s="62">
        <f ca="1">TblConstr[[#This Row],[Barren]]+TblConstr[[#This Row],[Buildings]]+TblConstr[[#This Row],[Incoming]]</f>
        <v>700</v>
      </c>
      <c r="G114" s="190">
        <f ca="1">OFFSET(TblConstr[[#This Row],[Plain]],-1,0)+TblConstr[[#This Row],[Ch_Plain]]</f>
        <v>0</v>
      </c>
      <c r="H114" s="185">
        <f ca="1">OFFSET(TblConstr[[#This Row],[Forest]],-1,0)+TblConstr[[#This Row],[Ch_Forest]]</f>
        <v>0</v>
      </c>
      <c r="I114" s="385">
        <f ca="1">OFFSET(TblConstr[[#This Row],[Mountain]],-1,0)+TblConstr[[#This Row],[Ch_Mountain]]</f>
        <v>0</v>
      </c>
      <c r="J114" s="389">
        <f ca="1">OFFSET(TblConstr[[#This Row],[Hill]],-1,0)+TblConstr[[#This Row],[Ch_Hill]]</f>
        <v>0</v>
      </c>
      <c r="K114" s="393">
        <f ca="1">OFFSET(TblConstr[[#This Row],[Swamp]],-1,0)+TblConstr[[#This Row],[Ch_Swamp]]</f>
        <v>0</v>
      </c>
      <c r="L114" s="188">
        <f ca="1">OFFSET(TblConstr[[#This Row],[Cavern]],-1,0)+TblConstr[[#This Row],[Ch_Cavern]]</f>
        <v>0</v>
      </c>
      <c r="M114" s="189">
        <f ca="1">OFFSET(TblConstr[[#This Row],[Water]],-1,0)+TblConstr[[#This Row],[Ch_Water]]</f>
        <v>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45434.333333333067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1563069</v>
      </c>
      <c r="AL114" s="97">
        <f ca="1">TblProd[[#This Row],[Lumber]]</f>
        <v>45301</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4" s="97">
        <f ca="1">ROUNDDOWN( MAX(1 - MIN(facs_constr_factor*TblConstr[[#This Row],[Facs -DB]],facs_constr_max) + tech_1_11*TblTech[[#This Row],[11-1]] + tech_6_3_2*TblTech[[#This Row],[6-3]] + tech_5_2_3*TblTech[[#This Row],[5-2]], 1-global_constr_cap) * TblConstr[[#This Row],[RCPA Lumber]],0)</f>
        <v>216</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4" s="97">
        <f ca="1">ROUNDDOWN( MAX(1 - MIN(facs_constr_factor*TblConstr[[#This Row],[Facs DB]],facs_constr_max) + tech_1_11*TblTech[[#This Row],[1-11]] + tech_6_3_2*TblTech[[#This Row],[6-3]] + tech_5_2_3*TblTech[[#This Row],[5-2]], 1-global_constr_cap) * ROUND((TblConstr[[#This Row],[Land]]-250)*0.285 + 87.5 + 0/4.25,0),0)</f>
        <v>216</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1413</v>
      </c>
      <c r="AW114" s="97">
        <f ca="1">ROUND((TblConstr[[#This Row],[Land]]-250 - IF(TblExplore[[#This Row],[Land Bonus]]&lt;&gt;0,20,0))*0.285 + 87.5 + 0/4.25,0)</f>
        <v>216</v>
      </c>
      <c r="AX114" s="157"/>
      <c r="AY114" s="191" cm="1">
        <f t="array" aca="1" ref="AY114" ca="1">IF(TblConstr[[#This Row],[Hour]:[Hour]]&gt;12,OFFSET(TblConstr[[#This Row],[Hom]],-12,0),0)+OFFSET(TblConstr[[#This Row],[Tot Hom]],-1,0)-TblConstr[[#This Row],[Dest Hom]]</f>
        <v>40</v>
      </c>
      <c r="AZ114" s="192" cm="1">
        <f t="array" aca="1" ref="AZ114" ca="1">IF(TblConstr[[#This Row],[Hour]:[Hour]]&gt;12,OFFSET(TblConstr[[#This Row],[Alc]],-12,0),0)+OFFSET(TblConstr[[#This Row],[Tot Alc]],-1,0)-TblConstr[[#This Row],[Dest Alc]]</f>
        <v>275</v>
      </c>
      <c r="BA114" s="192" cm="1">
        <f t="array" aca="1" ref="BA114" ca="1">IF(TblConstr[[#This Row],[Hour]:[Hour]]&gt;12,OFFSET(TblConstr[[#This Row],[Far]],-12,0),0)+OFFSET(TblConstr[[#This Row],[Tot Farm]],-1,0)-TblConstr[[#This Row],[Dest Farm]]</f>
        <v>29</v>
      </c>
      <c r="BB114" s="192" cm="1">
        <f t="array" aca="1" ref="BB114" ca="1">IF(TblConstr[[#This Row],[Hour]:[Hour]]&gt;12,OFFSET(TblConstr[[#This Row],[Smi]],-12,0),0)+OFFSET(TblConstr[[#This Row],[Tot Smi]],-1,0)-TblConstr[[#This Row],[Dest Smi]]</f>
        <v>126</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25</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55</v>
      </c>
      <c r="BJ114" s="391" cm="1">
        <f t="array" aca="1" ref="BJ114" ca="1">IF(TblConstr[[#This Row],[Hour]:[Hour]]&gt;12,OFFSET(TblConstr[[#This Row],[Bar]],-12,0),0)+OFFSET(TblConstr[[#This Row],[Tot Bar]],-1,0)-TblConstr[[#This Row],[Dest Bar]]</f>
        <v>50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29</v>
      </c>
      <c r="BM114" s="395" cm="1">
        <f t="array" aca="1" ref="BM114" ca="1">IF(TblConstr[[#This Row],[Hour]:[Hour]]&gt;12,OFFSET(TblConstr[[#This Row],[Tem]],-12,0),0)+OFFSET(TblConstr[[#This Row],[Tot Tem]],-1,0)-TblConstr[[#This Row],[Dest Tem]]</f>
        <v>47</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24</v>
      </c>
      <c r="BR114" s="145"/>
      <c r="BS114" s="157"/>
      <c r="BT114" s="97">
        <f ca="1">TblConstr[[#This Row],[Land]]</f>
        <v>700</v>
      </c>
      <c r="BU114" s="162">
        <f ca="1">TblImps[[#This Row],[Time]]</f>
        <v>45434.333333333067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430</v>
      </c>
      <c r="DA114" s="97">
        <f t="shared" ca="1" si="31"/>
        <v>25</v>
      </c>
      <c r="DB114" s="45">
        <f t="shared" ca="1" si="32"/>
        <v>0</v>
      </c>
      <c r="DC114" s="97">
        <f t="shared" ca="1" si="33"/>
        <v>55</v>
      </c>
      <c r="DD114" s="97">
        <f t="shared" ca="1" si="34"/>
        <v>76</v>
      </c>
      <c r="DE114" s="45">
        <f t="shared" ca="1" si="35"/>
        <v>0</v>
      </c>
      <c r="DF114" s="97">
        <f t="shared" ca="1" si="36"/>
        <v>24</v>
      </c>
      <c r="DG114" s="97" cm="1">
        <f t="array" aca="1" ref="DG114" ca="1">INDEX(TblConstr[[Total Plain]:[Total Water]],ROW()-ROW(TblConstr[#Headers]),MATCH("Total "&amp;home_land,TblConstr[[#Headers],[Total Plain]:[Total Water]],0))+TblConstr[[#This Row],[Homes]]</f>
        <v>40</v>
      </c>
      <c r="DH114" s="45">
        <f t="shared" ca="1" si="22"/>
        <v>40</v>
      </c>
      <c r="DI114" s="45">
        <f t="shared" ca="1" si="19"/>
        <v>0</v>
      </c>
      <c r="DJ114" s="45">
        <f t="shared" ca="1" si="20"/>
        <v>0</v>
      </c>
    </row>
    <row r="115" spans="1:114" x14ac:dyDescent="0.2">
      <c r="A115" s="178">
        <f>TblRezone[[#This Row],[Hour]]</f>
        <v>112</v>
      </c>
      <c r="B115" s="179">
        <f ca="1">SUM(TblConstr[[#This Row],[Plain]:[Water]])</f>
        <v>0</v>
      </c>
      <c r="C115" s="180">
        <f ca="1">SUM(TblConstr[[#This Row],[Tot Hom]:[Tot Doc]])</f>
        <v>700</v>
      </c>
      <c r="D115" s="180">
        <f t="shared" si="21"/>
        <v>0</v>
      </c>
      <c r="E115" s="181"/>
      <c r="F115" s="62">
        <f ca="1">TblConstr[[#This Row],[Barren]]+TblConstr[[#This Row],[Buildings]]+TblConstr[[#This Row],[Incoming]]</f>
        <v>700</v>
      </c>
      <c r="G115" s="190">
        <f ca="1">OFFSET(TblConstr[[#This Row],[Plain]],-1,0)+TblConstr[[#This Row],[Ch_Plain]]</f>
        <v>0</v>
      </c>
      <c r="H115" s="185">
        <f ca="1">OFFSET(TblConstr[[#This Row],[Forest]],-1,0)+TblConstr[[#This Row],[Ch_Forest]]</f>
        <v>0</v>
      </c>
      <c r="I115" s="385">
        <f ca="1">OFFSET(TblConstr[[#This Row],[Mountain]],-1,0)+TblConstr[[#This Row],[Ch_Mountain]]</f>
        <v>0</v>
      </c>
      <c r="J115" s="389">
        <f ca="1">OFFSET(TblConstr[[#This Row],[Hill]],-1,0)+TblConstr[[#This Row],[Ch_Hill]]</f>
        <v>0</v>
      </c>
      <c r="K115" s="393">
        <f ca="1">OFFSET(TblConstr[[#This Row],[Swamp]],-1,0)+TblConstr[[#This Row],[Ch_Swamp]]</f>
        <v>0</v>
      </c>
      <c r="L115" s="188">
        <f ca="1">OFFSET(TblConstr[[#This Row],[Cavern]],-1,0)+TblConstr[[#This Row],[Ch_Cavern]]</f>
        <v>0</v>
      </c>
      <c r="M115" s="189">
        <f ca="1">OFFSET(TblConstr[[#This Row],[Water]],-1,0)+TblConstr[[#This Row],[Ch_Water]]</f>
        <v>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45434.374999999731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1593898</v>
      </c>
      <c r="AL115" s="97">
        <f ca="1">TblProd[[#This Row],[Lumber]]</f>
        <v>45973</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5" s="97">
        <f ca="1">ROUNDDOWN( MAX(1 - MIN(facs_constr_factor*TblConstr[[#This Row],[Facs -DB]],facs_constr_max) + tech_1_11*TblTech[[#This Row],[11-1]] + tech_6_3_2*TblTech[[#This Row],[6-3]] + tech_5_2_3*TblTech[[#This Row],[5-2]], 1-global_constr_cap) * TblConstr[[#This Row],[RCPA Lumber]],0)</f>
        <v>216</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5" s="97">
        <f ca="1">ROUNDDOWN( MAX(1 - MIN(facs_constr_factor*TblConstr[[#This Row],[Facs DB]],facs_constr_max) + tech_1_11*TblTech[[#This Row],[1-11]] + tech_6_3_2*TblTech[[#This Row],[6-3]] + tech_5_2_3*TblTech[[#This Row],[5-2]], 1-global_constr_cap) * ROUND((TblConstr[[#This Row],[Land]]-250)*0.285 + 87.5 + 0/4.25,0),0)</f>
        <v>216</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1413</v>
      </c>
      <c r="AW115" s="97">
        <f ca="1">ROUND((TblConstr[[#This Row],[Land]]-250 - IF(TblExplore[[#This Row],[Land Bonus]]&lt;&gt;0,20,0))*0.285 + 87.5 + 0/4.25,0)</f>
        <v>216</v>
      </c>
      <c r="AX115" s="157"/>
      <c r="AY115" s="191" cm="1">
        <f t="array" aca="1" ref="AY115" ca="1">IF(TblConstr[[#This Row],[Hour]:[Hour]]&gt;12,OFFSET(TblConstr[[#This Row],[Hom]],-12,0),0)+OFFSET(TblConstr[[#This Row],[Tot Hom]],-1,0)-TblConstr[[#This Row],[Dest Hom]]</f>
        <v>40</v>
      </c>
      <c r="AZ115" s="192" cm="1">
        <f t="array" aca="1" ref="AZ115" ca="1">IF(TblConstr[[#This Row],[Hour]:[Hour]]&gt;12,OFFSET(TblConstr[[#This Row],[Alc]],-12,0),0)+OFFSET(TblConstr[[#This Row],[Tot Alc]],-1,0)-TblConstr[[#This Row],[Dest Alc]]</f>
        <v>275</v>
      </c>
      <c r="BA115" s="192" cm="1">
        <f t="array" aca="1" ref="BA115" ca="1">IF(TblConstr[[#This Row],[Hour]:[Hour]]&gt;12,OFFSET(TblConstr[[#This Row],[Far]],-12,0),0)+OFFSET(TblConstr[[#This Row],[Tot Farm]],-1,0)-TblConstr[[#This Row],[Dest Farm]]</f>
        <v>29</v>
      </c>
      <c r="BB115" s="192" cm="1">
        <f t="array" aca="1" ref="BB115" ca="1">IF(TblConstr[[#This Row],[Hour]:[Hour]]&gt;12,OFFSET(TblConstr[[#This Row],[Smi]],-12,0),0)+OFFSET(TblConstr[[#This Row],[Tot Smi]],-1,0)-TblConstr[[#This Row],[Dest Smi]]</f>
        <v>126</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25</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55</v>
      </c>
      <c r="BJ115" s="391" cm="1">
        <f t="array" aca="1" ref="BJ115" ca="1">IF(TblConstr[[#This Row],[Hour]:[Hour]]&gt;12,OFFSET(TblConstr[[#This Row],[Bar]],-12,0),0)+OFFSET(TblConstr[[#This Row],[Tot Bar]],-1,0)-TblConstr[[#This Row],[Dest Bar]]</f>
        <v>50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29</v>
      </c>
      <c r="BM115" s="395" cm="1">
        <f t="array" aca="1" ref="BM115" ca="1">IF(TblConstr[[#This Row],[Hour]:[Hour]]&gt;12,OFFSET(TblConstr[[#This Row],[Tem]],-12,0),0)+OFFSET(TblConstr[[#This Row],[Tot Tem]],-1,0)-TblConstr[[#This Row],[Dest Tem]]</f>
        <v>47</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24</v>
      </c>
      <c r="BR115" s="145"/>
      <c r="BS115" s="157"/>
      <c r="BT115" s="97">
        <f ca="1">TblConstr[[#This Row],[Land]]</f>
        <v>700</v>
      </c>
      <c r="BU115" s="162">
        <f ca="1">TblImps[[#This Row],[Time]]</f>
        <v>45434.374999999731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430</v>
      </c>
      <c r="DA115" s="97">
        <f t="shared" ca="1" si="31"/>
        <v>25</v>
      </c>
      <c r="DB115" s="45">
        <f t="shared" ca="1" si="32"/>
        <v>0</v>
      </c>
      <c r="DC115" s="97">
        <f t="shared" ca="1" si="33"/>
        <v>55</v>
      </c>
      <c r="DD115" s="97">
        <f t="shared" ca="1" si="34"/>
        <v>76</v>
      </c>
      <c r="DE115" s="45">
        <f t="shared" ca="1" si="35"/>
        <v>0</v>
      </c>
      <c r="DF115" s="97">
        <f t="shared" ca="1" si="36"/>
        <v>24</v>
      </c>
      <c r="DG115" s="97" cm="1">
        <f t="array" aca="1" ref="DG115" ca="1">INDEX(TblConstr[[Total Plain]:[Total Water]],ROW()-ROW(TblConstr[#Headers]),MATCH("Total "&amp;home_land,TblConstr[[#Headers],[Total Plain]:[Total Water]],0))+TblConstr[[#This Row],[Homes]]</f>
        <v>40</v>
      </c>
      <c r="DH115" s="45">
        <f t="shared" ca="1" si="22"/>
        <v>40</v>
      </c>
      <c r="DI115" s="45">
        <f t="shared" ca="1" si="19"/>
        <v>0</v>
      </c>
      <c r="DJ115" s="45">
        <f t="shared" ca="1" si="20"/>
        <v>0</v>
      </c>
    </row>
    <row r="116" spans="1:114" x14ac:dyDescent="0.2">
      <c r="A116" s="178">
        <f>TblRezone[[#This Row],[Hour]]</f>
        <v>113</v>
      </c>
      <c r="B116" s="179">
        <f ca="1">SUM(TblConstr[[#This Row],[Plain]:[Water]])</f>
        <v>0</v>
      </c>
      <c r="C116" s="180">
        <f ca="1">SUM(TblConstr[[#This Row],[Tot Hom]:[Tot Doc]])</f>
        <v>700</v>
      </c>
      <c r="D116" s="180">
        <f t="shared" si="21"/>
        <v>0</v>
      </c>
      <c r="E116" s="181"/>
      <c r="F116" s="62">
        <f ca="1">TblConstr[[#This Row],[Barren]]+TblConstr[[#This Row],[Buildings]]+TblConstr[[#This Row],[Incoming]]</f>
        <v>700</v>
      </c>
      <c r="G116" s="190">
        <f ca="1">OFFSET(TblConstr[[#This Row],[Plain]],-1,0)+TblConstr[[#This Row],[Ch_Plain]]</f>
        <v>0</v>
      </c>
      <c r="H116" s="185">
        <f ca="1">OFFSET(TblConstr[[#This Row],[Forest]],-1,0)+TblConstr[[#This Row],[Ch_Forest]]</f>
        <v>0</v>
      </c>
      <c r="I116" s="385">
        <f ca="1">OFFSET(TblConstr[[#This Row],[Mountain]],-1,0)+TblConstr[[#This Row],[Ch_Mountain]]</f>
        <v>0</v>
      </c>
      <c r="J116" s="389">
        <f ca="1">OFFSET(TblConstr[[#This Row],[Hill]],-1,0)+TblConstr[[#This Row],[Ch_Hill]]</f>
        <v>0</v>
      </c>
      <c r="K116" s="393">
        <f ca="1">OFFSET(TblConstr[[#This Row],[Swamp]],-1,0)+TblConstr[[#This Row],[Ch_Swamp]]</f>
        <v>0</v>
      </c>
      <c r="L116" s="188">
        <f ca="1">OFFSET(TblConstr[[#This Row],[Cavern]],-1,0)+TblConstr[[#This Row],[Ch_Cavern]]</f>
        <v>0</v>
      </c>
      <c r="M116" s="189">
        <f ca="1">OFFSET(TblConstr[[#This Row],[Water]],-1,0)+TblConstr[[#This Row],[Ch_Water]]</f>
        <v>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45434.416666666395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1624543</v>
      </c>
      <c r="AL116" s="97">
        <f ca="1">TblProd[[#This Row],[Lumber]]</f>
        <v>46638</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6" s="97">
        <f ca="1">ROUNDDOWN( MAX(1 - MIN(facs_constr_factor*TblConstr[[#This Row],[Facs -DB]],facs_constr_max) + tech_1_11*TblTech[[#This Row],[11-1]] + tech_6_3_2*TblTech[[#This Row],[6-3]] + tech_5_2_3*TblTech[[#This Row],[5-2]], 1-global_constr_cap) * TblConstr[[#This Row],[RCPA Lumber]],0)</f>
        <v>216</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6" s="97">
        <f ca="1">ROUNDDOWN( MAX(1 - MIN(facs_constr_factor*TblConstr[[#This Row],[Facs DB]],facs_constr_max) + tech_1_11*TblTech[[#This Row],[1-11]] + tech_6_3_2*TblTech[[#This Row],[6-3]] + tech_5_2_3*TblTech[[#This Row],[5-2]], 1-global_constr_cap) * ROUND((TblConstr[[#This Row],[Land]]-250)*0.285 + 87.5 + 0/4.25,0),0)</f>
        <v>216</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1413</v>
      </c>
      <c r="AW116" s="97">
        <f ca="1">ROUND((TblConstr[[#This Row],[Land]]-250 - IF(TblExplore[[#This Row],[Land Bonus]]&lt;&gt;0,20,0))*0.285 + 87.5 + 0/4.25,0)</f>
        <v>216</v>
      </c>
      <c r="AX116" s="157"/>
      <c r="AY116" s="191" cm="1">
        <f t="array" aca="1" ref="AY116" ca="1">IF(TblConstr[[#This Row],[Hour]:[Hour]]&gt;12,OFFSET(TblConstr[[#This Row],[Hom]],-12,0),0)+OFFSET(TblConstr[[#This Row],[Tot Hom]],-1,0)-TblConstr[[#This Row],[Dest Hom]]</f>
        <v>40</v>
      </c>
      <c r="AZ116" s="192" cm="1">
        <f t="array" aca="1" ref="AZ116" ca="1">IF(TblConstr[[#This Row],[Hour]:[Hour]]&gt;12,OFFSET(TblConstr[[#This Row],[Alc]],-12,0),0)+OFFSET(TblConstr[[#This Row],[Tot Alc]],-1,0)-TblConstr[[#This Row],[Dest Alc]]</f>
        <v>275</v>
      </c>
      <c r="BA116" s="192" cm="1">
        <f t="array" aca="1" ref="BA116" ca="1">IF(TblConstr[[#This Row],[Hour]:[Hour]]&gt;12,OFFSET(TblConstr[[#This Row],[Far]],-12,0),0)+OFFSET(TblConstr[[#This Row],[Tot Farm]],-1,0)-TblConstr[[#This Row],[Dest Farm]]</f>
        <v>29</v>
      </c>
      <c r="BB116" s="192" cm="1">
        <f t="array" aca="1" ref="BB116" ca="1">IF(TblConstr[[#This Row],[Hour]:[Hour]]&gt;12,OFFSET(TblConstr[[#This Row],[Smi]],-12,0),0)+OFFSET(TblConstr[[#This Row],[Tot Smi]],-1,0)-TblConstr[[#This Row],[Dest Smi]]</f>
        <v>126</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25</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55</v>
      </c>
      <c r="BJ116" s="391" cm="1">
        <f t="array" aca="1" ref="BJ116" ca="1">IF(TblConstr[[#This Row],[Hour]:[Hour]]&gt;12,OFFSET(TblConstr[[#This Row],[Bar]],-12,0),0)+OFFSET(TblConstr[[#This Row],[Tot Bar]],-1,0)-TblConstr[[#This Row],[Dest Bar]]</f>
        <v>50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29</v>
      </c>
      <c r="BM116" s="395" cm="1">
        <f t="array" aca="1" ref="BM116" ca="1">IF(TblConstr[[#This Row],[Hour]:[Hour]]&gt;12,OFFSET(TblConstr[[#This Row],[Tem]],-12,0),0)+OFFSET(TblConstr[[#This Row],[Tot Tem]],-1,0)-TblConstr[[#This Row],[Dest Tem]]</f>
        <v>47</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24</v>
      </c>
      <c r="BR116" s="145"/>
      <c r="BS116" s="157"/>
      <c r="BT116" s="97">
        <f ca="1">TblConstr[[#This Row],[Land]]</f>
        <v>700</v>
      </c>
      <c r="BU116" s="162">
        <f ca="1">TblImps[[#This Row],[Time]]</f>
        <v>45434.416666666395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430</v>
      </c>
      <c r="DA116" s="97">
        <f t="shared" ca="1" si="31"/>
        <v>25</v>
      </c>
      <c r="DB116" s="45">
        <f t="shared" ca="1" si="32"/>
        <v>0</v>
      </c>
      <c r="DC116" s="97">
        <f t="shared" ca="1" si="33"/>
        <v>55</v>
      </c>
      <c r="DD116" s="97">
        <f t="shared" ca="1" si="34"/>
        <v>76</v>
      </c>
      <c r="DE116" s="45">
        <f t="shared" ca="1" si="35"/>
        <v>0</v>
      </c>
      <c r="DF116" s="97">
        <f t="shared" ca="1" si="36"/>
        <v>24</v>
      </c>
      <c r="DG116" s="97" cm="1">
        <f t="array" aca="1" ref="DG116" ca="1">INDEX(TblConstr[[Total Plain]:[Total Water]],ROW()-ROW(TblConstr[#Headers]),MATCH("Total "&amp;home_land,TblConstr[[#Headers],[Total Plain]:[Total Water]],0))+TblConstr[[#This Row],[Homes]]</f>
        <v>40</v>
      </c>
      <c r="DH116" s="45">
        <f t="shared" ca="1" si="22"/>
        <v>40</v>
      </c>
      <c r="DI116" s="45">
        <f t="shared" ca="1" si="19"/>
        <v>0</v>
      </c>
      <c r="DJ116" s="45">
        <f t="shared" ca="1" si="20"/>
        <v>0</v>
      </c>
    </row>
    <row r="117" spans="1:114" x14ac:dyDescent="0.2">
      <c r="A117" s="178">
        <f>TblRezone[[#This Row],[Hour]]</f>
        <v>114</v>
      </c>
      <c r="B117" s="179">
        <f ca="1">SUM(TblConstr[[#This Row],[Plain]:[Water]])</f>
        <v>0</v>
      </c>
      <c r="C117" s="180">
        <f ca="1">SUM(TblConstr[[#This Row],[Tot Hom]:[Tot Doc]])</f>
        <v>700</v>
      </c>
      <c r="D117" s="180">
        <f t="shared" si="21"/>
        <v>0</v>
      </c>
      <c r="E117" s="181"/>
      <c r="F117" s="62">
        <f ca="1">TblConstr[[#This Row],[Barren]]+TblConstr[[#This Row],[Buildings]]+TblConstr[[#This Row],[Incoming]]</f>
        <v>700</v>
      </c>
      <c r="G117" s="190">
        <f ca="1">OFFSET(TblConstr[[#This Row],[Plain]],-1,0)+TblConstr[[#This Row],[Ch_Plain]]</f>
        <v>0</v>
      </c>
      <c r="H117" s="185">
        <f ca="1">OFFSET(TblConstr[[#This Row],[Forest]],-1,0)+TblConstr[[#This Row],[Ch_Forest]]</f>
        <v>0</v>
      </c>
      <c r="I117" s="385">
        <f ca="1">OFFSET(TblConstr[[#This Row],[Mountain]],-1,0)+TblConstr[[#This Row],[Ch_Mountain]]</f>
        <v>0</v>
      </c>
      <c r="J117" s="389">
        <f ca="1">OFFSET(TblConstr[[#This Row],[Hill]],-1,0)+TblConstr[[#This Row],[Ch_Hill]]</f>
        <v>0</v>
      </c>
      <c r="K117" s="393">
        <f ca="1">OFFSET(TblConstr[[#This Row],[Swamp]],-1,0)+TblConstr[[#This Row],[Ch_Swamp]]</f>
        <v>0</v>
      </c>
      <c r="L117" s="188">
        <f ca="1">OFFSET(TblConstr[[#This Row],[Cavern]],-1,0)+TblConstr[[#This Row],[Ch_Cavern]]</f>
        <v>0</v>
      </c>
      <c r="M117" s="189">
        <f ca="1">OFFSET(TblConstr[[#This Row],[Water]],-1,0)+TblConstr[[#This Row],[Ch_Water]]</f>
        <v>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45434.458333333059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1655005</v>
      </c>
      <c r="AL117" s="97">
        <f ca="1">TblProd[[#This Row],[Lumber]]</f>
        <v>47297</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7" s="97">
        <f ca="1">ROUNDDOWN( MAX(1 - MIN(facs_constr_factor*TblConstr[[#This Row],[Facs -DB]],facs_constr_max) + tech_1_11*TblTech[[#This Row],[11-1]] + tech_6_3_2*TblTech[[#This Row],[6-3]] + tech_5_2_3*TblTech[[#This Row],[5-2]], 1-global_constr_cap) * TblConstr[[#This Row],[RCPA Lumber]],0)</f>
        <v>216</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7" s="97">
        <f ca="1">ROUNDDOWN( MAX(1 - MIN(facs_constr_factor*TblConstr[[#This Row],[Facs DB]],facs_constr_max) + tech_1_11*TblTech[[#This Row],[1-11]] + tech_6_3_2*TblTech[[#This Row],[6-3]] + tech_5_2_3*TblTech[[#This Row],[5-2]], 1-global_constr_cap) * ROUND((TblConstr[[#This Row],[Land]]-250)*0.285 + 87.5 + 0/4.25,0),0)</f>
        <v>216</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1413</v>
      </c>
      <c r="AW117" s="97">
        <f ca="1">ROUND((TblConstr[[#This Row],[Land]]-250 - IF(TblExplore[[#This Row],[Land Bonus]]&lt;&gt;0,20,0))*0.285 + 87.5 + 0/4.25,0)</f>
        <v>216</v>
      </c>
      <c r="AX117" s="157"/>
      <c r="AY117" s="191" cm="1">
        <f t="array" aca="1" ref="AY117" ca="1">IF(TblConstr[[#This Row],[Hour]:[Hour]]&gt;12,OFFSET(TblConstr[[#This Row],[Hom]],-12,0),0)+OFFSET(TblConstr[[#This Row],[Tot Hom]],-1,0)-TblConstr[[#This Row],[Dest Hom]]</f>
        <v>40</v>
      </c>
      <c r="AZ117" s="192" cm="1">
        <f t="array" aca="1" ref="AZ117" ca="1">IF(TblConstr[[#This Row],[Hour]:[Hour]]&gt;12,OFFSET(TblConstr[[#This Row],[Alc]],-12,0),0)+OFFSET(TblConstr[[#This Row],[Tot Alc]],-1,0)-TblConstr[[#This Row],[Dest Alc]]</f>
        <v>275</v>
      </c>
      <c r="BA117" s="192" cm="1">
        <f t="array" aca="1" ref="BA117" ca="1">IF(TblConstr[[#This Row],[Hour]:[Hour]]&gt;12,OFFSET(TblConstr[[#This Row],[Far]],-12,0),0)+OFFSET(TblConstr[[#This Row],[Tot Farm]],-1,0)-TblConstr[[#This Row],[Dest Farm]]</f>
        <v>29</v>
      </c>
      <c r="BB117" s="192" cm="1">
        <f t="array" aca="1" ref="BB117" ca="1">IF(TblConstr[[#This Row],[Hour]:[Hour]]&gt;12,OFFSET(TblConstr[[#This Row],[Smi]],-12,0),0)+OFFSET(TblConstr[[#This Row],[Tot Smi]],-1,0)-TblConstr[[#This Row],[Dest Smi]]</f>
        <v>126</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25</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55</v>
      </c>
      <c r="BJ117" s="391" cm="1">
        <f t="array" aca="1" ref="BJ117" ca="1">IF(TblConstr[[#This Row],[Hour]:[Hour]]&gt;12,OFFSET(TblConstr[[#This Row],[Bar]],-12,0),0)+OFFSET(TblConstr[[#This Row],[Tot Bar]],-1,0)-TblConstr[[#This Row],[Dest Bar]]</f>
        <v>50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29</v>
      </c>
      <c r="BM117" s="395" cm="1">
        <f t="array" aca="1" ref="BM117" ca="1">IF(TblConstr[[#This Row],[Hour]:[Hour]]&gt;12,OFFSET(TblConstr[[#This Row],[Tem]],-12,0),0)+OFFSET(TblConstr[[#This Row],[Tot Tem]],-1,0)-TblConstr[[#This Row],[Dest Tem]]</f>
        <v>47</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24</v>
      </c>
      <c r="BR117" s="145"/>
      <c r="BS117" s="157"/>
      <c r="BT117" s="97">
        <f ca="1">TblConstr[[#This Row],[Land]]</f>
        <v>700</v>
      </c>
      <c r="BU117" s="162">
        <f ca="1">TblImps[[#This Row],[Time]]</f>
        <v>45434.458333333059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430</v>
      </c>
      <c r="DA117" s="97">
        <f t="shared" ca="1" si="31"/>
        <v>25</v>
      </c>
      <c r="DB117" s="45">
        <f t="shared" ca="1" si="32"/>
        <v>0</v>
      </c>
      <c r="DC117" s="97">
        <f t="shared" ca="1" si="33"/>
        <v>55</v>
      </c>
      <c r="DD117" s="97">
        <f t="shared" ca="1" si="34"/>
        <v>76</v>
      </c>
      <c r="DE117" s="45">
        <f t="shared" ca="1" si="35"/>
        <v>0</v>
      </c>
      <c r="DF117" s="97">
        <f t="shared" ca="1" si="36"/>
        <v>24</v>
      </c>
      <c r="DG117" s="97" cm="1">
        <f t="array" aca="1" ref="DG117" ca="1">INDEX(TblConstr[[Total Plain]:[Total Water]],ROW()-ROW(TblConstr[#Headers]),MATCH("Total "&amp;home_land,TblConstr[[#Headers],[Total Plain]:[Total Water]],0))+TblConstr[[#This Row],[Homes]]</f>
        <v>40</v>
      </c>
      <c r="DH117" s="45">
        <f t="shared" ca="1" si="22"/>
        <v>40</v>
      </c>
      <c r="DI117" s="45">
        <f t="shared" ca="1" si="19"/>
        <v>0</v>
      </c>
      <c r="DJ117" s="45">
        <f t="shared" ca="1" si="20"/>
        <v>0</v>
      </c>
    </row>
    <row r="118" spans="1:114" x14ac:dyDescent="0.2">
      <c r="A118" s="178">
        <f>TblRezone[[#This Row],[Hour]]</f>
        <v>115</v>
      </c>
      <c r="B118" s="179">
        <f ca="1">SUM(TblConstr[[#This Row],[Plain]:[Water]])</f>
        <v>0</v>
      </c>
      <c r="C118" s="180">
        <f ca="1">SUM(TblConstr[[#This Row],[Tot Hom]:[Tot Doc]])</f>
        <v>700</v>
      </c>
      <c r="D118" s="180">
        <f t="shared" si="21"/>
        <v>0</v>
      </c>
      <c r="E118" s="181"/>
      <c r="F118" s="62">
        <f ca="1">TblConstr[[#This Row],[Barren]]+TblConstr[[#This Row],[Buildings]]+TblConstr[[#This Row],[Incoming]]</f>
        <v>700</v>
      </c>
      <c r="G118" s="190">
        <f ca="1">OFFSET(TblConstr[[#This Row],[Plain]],-1,0)+TblConstr[[#This Row],[Ch_Plain]]</f>
        <v>0</v>
      </c>
      <c r="H118" s="185">
        <f ca="1">OFFSET(TblConstr[[#This Row],[Forest]],-1,0)+TblConstr[[#This Row],[Ch_Forest]]</f>
        <v>0</v>
      </c>
      <c r="I118" s="385">
        <f ca="1">OFFSET(TblConstr[[#This Row],[Mountain]],-1,0)+TblConstr[[#This Row],[Ch_Mountain]]</f>
        <v>0</v>
      </c>
      <c r="J118" s="389">
        <f ca="1">OFFSET(TblConstr[[#This Row],[Hill]],-1,0)+TblConstr[[#This Row],[Ch_Hill]]</f>
        <v>0</v>
      </c>
      <c r="K118" s="393">
        <f ca="1">OFFSET(TblConstr[[#This Row],[Swamp]],-1,0)+TblConstr[[#This Row],[Ch_Swamp]]</f>
        <v>0</v>
      </c>
      <c r="L118" s="188">
        <f ca="1">OFFSET(TblConstr[[#This Row],[Cavern]],-1,0)+TblConstr[[#This Row],[Ch_Cavern]]</f>
        <v>0</v>
      </c>
      <c r="M118" s="189">
        <f ca="1">OFFSET(TblConstr[[#This Row],[Water]],-1,0)+TblConstr[[#This Row],[Ch_Water]]</f>
        <v>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45434.499999999724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1685286</v>
      </c>
      <c r="AL118" s="97">
        <f ca="1">TblProd[[#This Row],[Lumber]]</f>
        <v>47949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8" s="97">
        <f ca="1">ROUNDDOWN( MAX(1 - MIN(facs_constr_factor*TblConstr[[#This Row],[Facs -DB]],facs_constr_max) + tech_1_11*TblTech[[#This Row],[11-1]] + tech_6_3_2*TblTech[[#This Row],[6-3]] + tech_5_2_3*TblTech[[#This Row],[5-2]], 1-global_constr_cap) * TblConstr[[#This Row],[RCPA Lumber]],0)</f>
        <v>216</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8" s="97">
        <f ca="1">ROUNDDOWN( MAX(1 - MIN(facs_constr_factor*TblConstr[[#This Row],[Facs DB]],facs_constr_max) + tech_1_11*TblTech[[#This Row],[1-11]] + tech_6_3_2*TblTech[[#This Row],[6-3]] + tech_5_2_3*TblTech[[#This Row],[5-2]], 1-global_constr_cap) * ROUND((TblConstr[[#This Row],[Land]]-250)*0.285 + 87.5 + 0/4.25,0),0)</f>
        <v>216</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1413</v>
      </c>
      <c r="AW118" s="97">
        <f ca="1">ROUND((TblConstr[[#This Row],[Land]]-250 - IF(TblExplore[[#This Row],[Land Bonus]]&lt;&gt;0,20,0))*0.285 + 87.5 + 0/4.25,0)</f>
        <v>216</v>
      </c>
      <c r="AX118" s="157"/>
      <c r="AY118" s="191" cm="1">
        <f t="array" aca="1" ref="AY118" ca="1">IF(TblConstr[[#This Row],[Hour]:[Hour]]&gt;12,OFFSET(TblConstr[[#This Row],[Hom]],-12,0),0)+OFFSET(TblConstr[[#This Row],[Tot Hom]],-1,0)-TblConstr[[#This Row],[Dest Hom]]</f>
        <v>40</v>
      </c>
      <c r="AZ118" s="192" cm="1">
        <f t="array" aca="1" ref="AZ118" ca="1">IF(TblConstr[[#This Row],[Hour]:[Hour]]&gt;12,OFFSET(TblConstr[[#This Row],[Alc]],-12,0),0)+OFFSET(TblConstr[[#This Row],[Tot Alc]],-1,0)-TblConstr[[#This Row],[Dest Alc]]</f>
        <v>275</v>
      </c>
      <c r="BA118" s="192" cm="1">
        <f t="array" aca="1" ref="BA118" ca="1">IF(TblConstr[[#This Row],[Hour]:[Hour]]&gt;12,OFFSET(TblConstr[[#This Row],[Far]],-12,0),0)+OFFSET(TblConstr[[#This Row],[Tot Farm]],-1,0)-TblConstr[[#This Row],[Dest Farm]]</f>
        <v>29</v>
      </c>
      <c r="BB118" s="192" cm="1">
        <f t="array" aca="1" ref="BB118" ca="1">IF(TblConstr[[#This Row],[Hour]:[Hour]]&gt;12,OFFSET(TblConstr[[#This Row],[Smi]],-12,0),0)+OFFSET(TblConstr[[#This Row],[Tot Smi]],-1,0)-TblConstr[[#This Row],[Dest Smi]]</f>
        <v>126</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25</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55</v>
      </c>
      <c r="BJ118" s="391" cm="1">
        <f t="array" aca="1" ref="BJ118" ca="1">IF(TblConstr[[#This Row],[Hour]:[Hour]]&gt;12,OFFSET(TblConstr[[#This Row],[Bar]],-12,0),0)+OFFSET(TblConstr[[#This Row],[Tot Bar]],-1,0)-TblConstr[[#This Row],[Dest Bar]]</f>
        <v>50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29</v>
      </c>
      <c r="BM118" s="395" cm="1">
        <f t="array" aca="1" ref="BM118" ca="1">IF(TblConstr[[#This Row],[Hour]:[Hour]]&gt;12,OFFSET(TblConstr[[#This Row],[Tem]],-12,0),0)+OFFSET(TblConstr[[#This Row],[Tot Tem]],-1,0)-TblConstr[[#This Row],[Dest Tem]]</f>
        <v>47</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24</v>
      </c>
      <c r="BR118" s="145"/>
      <c r="BS118" s="157"/>
      <c r="BT118" s="97">
        <f ca="1">TblConstr[[#This Row],[Land]]</f>
        <v>700</v>
      </c>
      <c r="BU118" s="162">
        <f ca="1">TblImps[[#This Row],[Time]]</f>
        <v>45434.499999999724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430</v>
      </c>
      <c r="DA118" s="97">
        <f t="shared" ca="1" si="31"/>
        <v>25</v>
      </c>
      <c r="DB118" s="45">
        <f t="shared" ca="1" si="32"/>
        <v>0</v>
      </c>
      <c r="DC118" s="97">
        <f t="shared" ca="1" si="33"/>
        <v>55</v>
      </c>
      <c r="DD118" s="97">
        <f t="shared" ca="1" si="34"/>
        <v>76</v>
      </c>
      <c r="DE118" s="45">
        <f t="shared" ca="1" si="35"/>
        <v>0</v>
      </c>
      <c r="DF118" s="97">
        <f t="shared" ca="1" si="36"/>
        <v>24</v>
      </c>
      <c r="DG118" s="97" cm="1">
        <f t="array" aca="1" ref="DG118" ca="1">INDEX(TblConstr[[Total Plain]:[Total Water]],ROW()-ROW(TblConstr[#Headers]),MATCH("Total "&amp;home_land,TblConstr[[#Headers],[Total Plain]:[Total Water]],0))+TblConstr[[#This Row],[Homes]]</f>
        <v>40</v>
      </c>
      <c r="DH118" s="45">
        <f t="shared" ca="1" si="22"/>
        <v>40</v>
      </c>
      <c r="DI118" s="45">
        <f t="shared" ca="1" si="19"/>
        <v>0</v>
      </c>
      <c r="DJ118" s="45">
        <f t="shared" ca="1" si="20"/>
        <v>0</v>
      </c>
    </row>
    <row r="119" spans="1:114" x14ac:dyDescent="0.2">
      <c r="A119" s="178">
        <f>TblRezone[[#This Row],[Hour]]</f>
        <v>116</v>
      </c>
      <c r="B119" s="179">
        <f ca="1">SUM(TblConstr[[#This Row],[Plain]:[Water]])</f>
        <v>0</v>
      </c>
      <c r="C119" s="180">
        <f ca="1">SUM(TblConstr[[#This Row],[Tot Hom]:[Tot Doc]])</f>
        <v>700</v>
      </c>
      <c r="D119" s="180">
        <f t="shared" si="21"/>
        <v>0</v>
      </c>
      <c r="E119" s="181"/>
      <c r="F119" s="62">
        <f ca="1">TblConstr[[#This Row],[Barren]]+TblConstr[[#This Row],[Buildings]]+TblConstr[[#This Row],[Incoming]]</f>
        <v>700</v>
      </c>
      <c r="G119" s="190">
        <f ca="1">OFFSET(TblConstr[[#This Row],[Plain]],-1,0)+TblConstr[[#This Row],[Ch_Plain]]</f>
        <v>0</v>
      </c>
      <c r="H119" s="185">
        <f ca="1">OFFSET(TblConstr[[#This Row],[Forest]],-1,0)+TblConstr[[#This Row],[Ch_Forest]]</f>
        <v>0</v>
      </c>
      <c r="I119" s="385">
        <f ca="1">OFFSET(TblConstr[[#This Row],[Mountain]],-1,0)+TblConstr[[#This Row],[Ch_Mountain]]</f>
        <v>0</v>
      </c>
      <c r="J119" s="389">
        <f ca="1">OFFSET(TblConstr[[#This Row],[Hill]],-1,0)+TblConstr[[#This Row],[Ch_Hill]]</f>
        <v>0</v>
      </c>
      <c r="K119" s="393">
        <f ca="1">OFFSET(TblConstr[[#This Row],[Swamp]],-1,0)+TblConstr[[#This Row],[Ch_Swamp]]</f>
        <v>0</v>
      </c>
      <c r="L119" s="188">
        <f ca="1">OFFSET(TblConstr[[#This Row],[Cavern]],-1,0)+TblConstr[[#This Row],[Ch_Cavern]]</f>
        <v>0</v>
      </c>
      <c r="M119" s="189">
        <f ca="1">OFFSET(TblConstr[[#This Row],[Water]],-1,0)+TblConstr[[#This Row],[Ch_Water]]</f>
        <v>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45434.541666666388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1715389</v>
      </c>
      <c r="AL119" s="97">
        <f ca="1">TblProd[[#This Row],[Lumber]]</f>
        <v>48595</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9" s="97">
        <f ca="1">ROUNDDOWN( MAX(1 - MIN(facs_constr_factor*TblConstr[[#This Row],[Facs -DB]],facs_constr_max) + tech_1_11*TblTech[[#This Row],[11-1]] + tech_6_3_2*TblTech[[#This Row],[6-3]] + tech_5_2_3*TblTech[[#This Row],[5-2]], 1-global_constr_cap) * TblConstr[[#This Row],[RCPA Lumber]],0)</f>
        <v>216</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9" s="97">
        <f ca="1">ROUNDDOWN( MAX(1 - MIN(facs_constr_factor*TblConstr[[#This Row],[Facs DB]],facs_constr_max) + tech_1_11*TblTech[[#This Row],[1-11]] + tech_6_3_2*TblTech[[#This Row],[6-3]] + tech_5_2_3*TblTech[[#This Row],[5-2]], 1-global_constr_cap) * ROUND((TblConstr[[#This Row],[Land]]-250)*0.285 + 87.5 + 0/4.25,0),0)</f>
        <v>216</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1413</v>
      </c>
      <c r="AW119" s="97">
        <f ca="1">ROUND((TblConstr[[#This Row],[Land]]-250 - IF(TblExplore[[#This Row],[Land Bonus]]&lt;&gt;0,20,0))*0.285 + 87.5 + 0/4.25,0)</f>
        <v>216</v>
      </c>
      <c r="AX119" s="157"/>
      <c r="AY119" s="191" cm="1">
        <f t="array" aca="1" ref="AY119" ca="1">IF(TblConstr[[#This Row],[Hour]:[Hour]]&gt;12,OFFSET(TblConstr[[#This Row],[Hom]],-12,0),0)+OFFSET(TblConstr[[#This Row],[Tot Hom]],-1,0)-TblConstr[[#This Row],[Dest Hom]]</f>
        <v>40</v>
      </c>
      <c r="AZ119" s="192" cm="1">
        <f t="array" aca="1" ref="AZ119" ca="1">IF(TblConstr[[#This Row],[Hour]:[Hour]]&gt;12,OFFSET(TblConstr[[#This Row],[Alc]],-12,0),0)+OFFSET(TblConstr[[#This Row],[Tot Alc]],-1,0)-TblConstr[[#This Row],[Dest Alc]]</f>
        <v>275</v>
      </c>
      <c r="BA119" s="192" cm="1">
        <f t="array" aca="1" ref="BA119" ca="1">IF(TblConstr[[#This Row],[Hour]:[Hour]]&gt;12,OFFSET(TblConstr[[#This Row],[Far]],-12,0),0)+OFFSET(TblConstr[[#This Row],[Tot Farm]],-1,0)-TblConstr[[#This Row],[Dest Farm]]</f>
        <v>29</v>
      </c>
      <c r="BB119" s="192" cm="1">
        <f t="array" aca="1" ref="BB119" ca="1">IF(TblConstr[[#This Row],[Hour]:[Hour]]&gt;12,OFFSET(TblConstr[[#This Row],[Smi]],-12,0),0)+OFFSET(TblConstr[[#This Row],[Tot Smi]],-1,0)-TblConstr[[#This Row],[Dest Smi]]</f>
        <v>126</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25</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55</v>
      </c>
      <c r="BJ119" s="391" cm="1">
        <f t="array" aca="1" ref="BJ119" ca="1">IF(TblConstr[[#This Row],[Hour]:[Hour]]&gt;12,OFFSET(TblConstr[[#This Row],[Bar]],-12,0),0)+OFFSET(TblConstr[[#This Row],[Tot Bar]],-1,0)-TblConstr[[#This Row],[Dest Bar]]</f>
        <v>50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29</v>
      </c>
      <c r="BM119" s="395" cm="1">
        <f t="array" aca="1" ref="BM119" ca="1">IF(TblConstr[[#This Row],[Hour]:[Hour]]&gt;12,OFFSET(TblConstr[[#This Row],[Tem]],-12,0),0)+OFFSET(TblConstr[[#This Row],[Tot Tem]],-1,0)-TblConstr[[#This Row],[Dest Tem]]</f>
        <v>47</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24</v>
      </c>
      <c r="BR119" s="145"/>
      <c r="BS119" s="157"/>
      <c r="BT119" s="97">
        <f ca="1">TblConstr[[#This Row],[Land]]</f>
        <v>700</v>
      </c>
      <c r="BU119" s="162">
        <f ca="1">TblImps[[#This Row],[Time]]</f>
        <v>45434.541666666388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430</v>
      </c>
      <c r="DA119" s="97">
        <f t="shared" ca="1" si="31"/>
        <v>25</v>
      </c>
      <c r="DB119" s="45">
        <f t="shared" ca="1" si="32"/>
        <v>0</v>
      </c>
      <c r="DC119" s="97">
        <f t="shared" ca="1" si="33"/>
        <v>55</v>
      </c>
      <c r="DD119" s="97">
        <f t="shared" ca="1" si="34"/>
        <v>76</v>
      </c>
      <c r="DE119" s="45">
        <f t="shared" ca="1" si="35"/>
        <v>0</v>
      </c>
      <c r="DF119" s="97">
        <f t="shared" ca="1" si="36"/>
        <v>24</v>
      </c>
      <c r="DG119" s="97" cm="1">
        <f t="array" aca="1" ref="DG119" ca="1">INDEX(TblConstr[[Total Plain]:[Total Water]],ROW()-ROW(TblConstr[#Headers]),MATCH("Total "&amp;home_land,TblConstr[[#Headers],[Total Plain]:[Total Water]],0))+TblConstr[[#This Row],[Homes]]</f>
        <v>40</v>
      </c>
      <c r="DH119" s="45">
        <f t="shared" ca="1" si="22"/>
        <v>40</v>
      </c>
      <c r="DI119" s="45">
        <f t="shared" ca="1" si="19"/>
        <v>0</v>
      </c>
      <c r="DJ119" s="45">
        <f t="shared" ca="1" si="20"/>
        <v>0</v>
      </c>
    </row>
    <row r="120" spans="1:114" x14ac:dyDescent="0.2">
      <c r="A120" s="178">
        <f>TblRezone[[#This Row],[Hour]]</f>
        <v>117</v>
      </c>
      <c r="B120" s="179">
        <f ca="1">SUM(TblConstr[[#This Row],[Plain]:[Water]])</f>
        <v>0</v>
      </c>
      <c r="C120" s="180">
        <f ca="1">SUM(TblConstr[[#This Row],[Tot Hom]:[Tot Doc]])</f>
        <v>700</v>
      </c>
      <c r="D120" s="180">
        <f t="shared" si="21"/>
        <v>0</v>
      </c>
      <c r="E120" s="181"/>
      <c r="F120" s="62">
        <f ca="1">TblConstr[[#This Row],[Barren]]+TblConstr[[#This Row],[Buildings]]+TblConstr[[#This Row],[Incoming]]</f>
        <v>700</v>
      </c>
      <c r="G120" s="190">
        <f ca="1">OFFSET(TblConstr[[#This Row],[Plain]],-1,0)+TblConstr[[#This Row],[Ch_Plain]]</f>
        <v>0</v>
      </c>
      <c r="H120" s="185">
        <f ca="1">OFFSET(TblConstr[[#This Row],[Forest]],-1,0)+TblConstr[[#This Row],[Ch_Forest]]</f>
        <v>0</v>
      </c>
      <c r="I120" s="385">
        <f ca="1">OFFSET(TblConstr[[#This Row],[Mountain]],-1,0)+TblConstr[[#This Row],[Ch_Mountain]]</f>
        <v>0</v>
      </c>
      <c r="J120" s="389">
        <f ca="1">OFFSET(TblConstr[[#This Row],[Hill]],-1,0)+TblConstr[[#This Row],[Ch_Hill]]</f>
        <v>0</v>
      </c>
      <c r="K120" s="393">
        <f ca="1">OFFSET(TblConstr[[#This Row],[Swamp]],-1,0)+TblConstr[[#This Row],[Ch_Swamp]]</f>
        <v>0</v>
      </c>
      <c r="L120" s="188">
        <f ca="1">OFFSET(TblConstr[[#This Row],[Cavern]],-1,0)+TblConstr[[#This Row],[Ch_Cavern]]</f>
        <v>0</v>
      </c>
      <c r="M120" s="189">
        <f ca="1">OFFSET(TblConstr[[#This Row],[Water]],-1,0)+TblConstr[[#This Row],[Ch_Water]]</f>
        <v>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45434.583333333052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1745314</v>
      </c>
      <c r="AL120" s="97">
        <f ca="1">TblProd[[#This Row],[Lumber]]</f>
        <v>49234</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0" s="97">
        <f ca="1">ROUNDDOWN( MAX(1 - MIN(facs_constr_factor*TblConstr[[#This Row],[Facs -DB]],facs_constr_max) + tech_1_11*TblTech[[#This Row],[11-1]] + tech_6_3_2*TblTech[[#This Row],[6-3]] + tech_5_2_3*TblTech[[#This Row],[5-2]], 1-global_constr_cap) * TblConstr[[#This Row],[RCPA Lumber]],0)</f>
        <v>216</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0" s="97">
        <f ca="1">ROUNDDOWN( MAX(1 - MIN(facs_constr_factor*TblConstr[[#This Row],[Facs DB]],facs_constr_max) + tech_1_11*TblTech[[#This Row],[1-11]] + tech_6_3_2*TblTech[[#This Row],[6-3]] + tech_5_2_3*TblTech[[#This Row],[5-2]], 1-global_constr_cap) * ROUND((TblConstr[[#This Row],[Land]]-250)*0.285 + 87.5 + 0/4.25,0),0)</f>
        <v>216</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1413</v>
      </c>
      <c r="AW120" s="97">
        <f ca="1">ROUND((TblConstr[[#This Row],[Land]]-250 - IF(TblExplore[[#This Row],[Land Bonus]]&lt;&gt;0,20,0))*0.285 + 87.5 + 0/4.25,0)</f>
        <v>216</v>
      </c>
      <c r="AX120" s="157"/>
      <c r="AY120" s="191" cm="1">
        <f t="array" aca="1" ref="AY120" ca="1">IF(TblConstr[[#This Row],[Hour]:[Hour]]&gt;12,OFFSET(TblConstr[[#This Row],[Hom]],-12,0),0)+OFFSET(TblConstr[[#This Row],[Tot Hom]],-1,0)-TblConstr[[#This Row],[Dest Hom]]</f>
        <v>40</v>
      </c>
      <c r="AZ120" s="192" cm="1">
        <f t="array" aca="1" ref="AZ120" ca="1">IF(TblConstr[[#This Row],[Hour]:[Hour]]&gt;12,OFFSET(TblConstr[[#This Row],[Alc]],-12,0),0)+OFFSET(TblConstr[[#This Row],[Tot Alc]],-1,0)-TblConstr[[#This Row],[Dest Alc]]</f>
        <v>275</v>
      </c>
      <c r="BA120" s="192" cm="1">
        <f t="array" aca="1" ref="BA120" ca="1">IF(TblConstr[[#This Row],[Hour]:[Hour]]&gt;12,OFFSET(TblConstr[[#This Row],[Far]],-12,0),0)+OFFSET(TblConstr[[#This Row],[Tot Farm]],-1,0)-TblConstr[[#This Row],[Dest Farm]]</f>
        <v>29</v>
      </c>
      <c r="BB120" s="192" cm="1">
        <f t="array" aca="1" ref="BB120" ca="1">IF(TblConstr[[#This Row],[Hour]:[Hour]]&gt;12,OFFSET(TblConstr[[#This Row],[Smi]],-12,0),0)+OFFSET(TblConstr[[#This Row],[Tot Smi]],-1,0)-TblConstr[[#This Row],[Dest Smi]]</f>
        <v>126</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25</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55</v>
      </c>
      <c r="BJ120" s="391" cm="1">
        <f t="array" aca="1" ref="BJ120" ca="1">IF(TblConstr[[#This Row],[Hour]:[Hour]]&gt;12,OFFSET(TblConstr[[#This Row],[Bar]],-12,0),0)+OFFSET(TblConstr[[#This Row],[Tot Bar]],-1,0)-TblConstr[[#This Row],[Dest Bar]]</f>
        <v>50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29</v>
      </c>
      <c r="BM120" s="395" cm="1">
        <f t="array" aca="1" ref="BM120" ca="1">IF(TblConstr[[#This Row],[Hour]:[Hour]]&gt;12,OFFSET(TblConstr[[#This Row],[Tem]],-12,0),0)+OFFSET(TblConstr[[#This Row],[Tot Tem]],-1,0)-TblConstr[[#This Row],[Dest Tem]]</f>
        <v>47</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24</v>
      </c>
      <c r="BR120" s="145"/>
      <c r="BS120" s="157"/>
      <c r="BT120" s="97">
        <f ca="1">TblConstr[[#This Row],[Land]]</f>
        <v>700</v>
      </c>
      <c r="BU120" s="162">
        <f ca="1">TblImps[[#This Row],[Time]]</f>
        <v>45434.583333333052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430</v>
      </c>
      <c r="DA120" s="97">
        <f t="shared" ca="1" si="31"/>
        <v>25</v>
      </c>
      <c r="DB120" s="45">
        <f t="shared" ca="1" si="32"/>
        <v>0</v>
      </c>
      <c r="DC120" s="97">
        <f t="shared" ca="1" si="33"/>
        <v>55</v>
      </c>
      <c r="DD120" s="97">
        <f t="shared" ca="1" si="34"/>
        <v>76</v>
      </c>
      <c r="DE120" s="45">
        <f t="shared" ca="1" si="35"/>
        <v>0</v>
      </c>
      <c r="DF120" s="97">
        <f t="shared" ca="1" si="36"/>
        <v>24</v>
      </c>
      <c r="DG120" s="97" cm="1">
        <f t="array" aca="1" ref="DG120" ca="1">INDEX(TblConstr[[Total Plain]:[Total Water]],ROW()-ROW(TblConstr[#Headers]),MATCH("Total "&amp;home_land,TblConstr[[#Headers],[Total Plain]:[Total Water]],0))+TblConstr[[#This Row],[Homes]]</f>
        <v>40</v>
      </c>
      <c r="DH120" s="45">
        <f t="shared" ca="1" si="22"/>
        <v>40</v>
      </c>
      <c r="DI120" s="45">
        <f t="shared" ca="1" si="19"/>
        <v>0</v>
      </c>
      <c r="DJ120" s="45">
        <f t="shared" ca="1" si="20"/>
        <v>0</v>
      </c>
    </row>
    <row r="121" spans="1:114" x14ac:dyDescent="0.2">
      <c r="A121" s="178">
        <f>TblRezone[[#This Row],[Hour]]</f>
        <v>118</v>
      </c>
      <c r="B121" s="179">
        <f ca="1">SUM(TblConstr[[#This Row],[Plain]:[Water]])</f>
        <v>0</v>
      </c>
      <c r="C121" s="180">
        <f ca="1">SUM(TblConstr[[#This Row],[Tot Hom]:[Tot Doc]])</f>
        <v>700</v>
      </c>
      <c r="D121" s="180">
        <f t="shared" si="21"/>
        <v>0</v>
      </c>
      <c r="E121" s="181"/>
      <c r="F121" s="62">
        <f ca="1">TblConstr[[#This Row],[Barren]]+TblConstr[[#This Row],[Buildings]]+TblConstr[[#This Row],[Incoming]]</f>
        <v>700</v>
      </c>
      <c r="G121" s="190">
        <f ca="1">OFFSET(TblConstr[[#This Row],[Plain]],-1,0)+TblConstr[[#This Row],[Ch_Plain]]</f>
        <v>0</v>
      </c>
      <c r="H121" s="185">
        <f ca="1">OFFSET(TblConstr[[#This Row],[Forest]],-1,0)+TblConstr[[#This Row],[Ch_Forest]]</f>
        <v>0</v>
      </c>
      <c r="I121" s="385">
        <f ca="1">OFFSET(TblConstr[[#This Row],[Mountain]],-1,0)+TblConstr[[#This Row],[Ch_Mountain]]</f>
        <v>0</v>
      </c>
      <c r="J121" s="389">
        <f ca="1">OFFSET(TblConstr[[#This Row],[Hill]],-1,0)+TblConstr[[#This Row],[Ch_Hill]]</f>
        <v>0</v>
      </c>
      <c r="K121" s="393">
        <f ca="1">OFFSET(TblConstr[[#This Row],[Swamp]],-1,0)+TblConstr[[#This Row],[Ch_Swamp]]</f>
        <v>0</v>
      </c>
      <c r="L121" s="188">
        <f ca="1">OFFSET(TblConstr[[#This Row],[Cavern]],-1,0)+TblConstr[[#This Row],[Ch_Cavern]]</f>
        <v>0</v>
      </c>
      <c r="M121" s="189">
        <f ca="1">OFFSET(TblConstr[[#This Row],[Water]],-1,0)+TblConstr[[#This Row],[Ch_Water]]</f>
        <v>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45434.624999999716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1775063</v>
      </c>
      <c r="AL121" s="97">
        <f ca="1">TblProd[[#This Row],[Lumber]]</f>
        <v>49867</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1" s="97">
        <f ca="1">ROUNDDOWN( MAX(1 - MIN(facs_constr_factor*TblConstr[[#This Row],[Facs -DB]],facs_constr_max) + tech_1_11*TblTech[[#This Row],[11-1]] + tech_6_3_2*TblTech[[#This Row],[6-3]] + tech_5_2_3*TblTech[[#This Row],[5-2]], 1-global_constr_cap) * TblConstr[[#This Row],[RCPA Lumber]],0)</f>
        <v>216</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1" s="97">
        <f ca="1">ROUNDDOWN( MAX(1 - MIN(facs_constr_factor*TblConstr[[#This Row],[Facs DB]],facs_constr_max) + tech_1_11*TblTech[[#This Row],[1-11]] + tech_6_3_2*TblTech[[#This Row],[6-3]] + tech_5_2_3*TblTech[[#This Row],[5-2]], 1-global_constr_cap) * ROUND((TblConstr[[#This Row],[Land]]-250)*0.285 + 87.5 + 0/4.25,0),0)</f>
        <v>216</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1413</v>
      </c>
      <c r="AW121" s="97">
        <f ca="1">ROUND((TblConstr[[#This Row],[Land]]-250 - IF(TblExplore[[#This Row],[Land Bonus]]&lt;&gt;0,20,0))*0.285 + 87.5 + 0/4.25,0)</f>
        <v>216</v>
      </c>
      <c r="AX121" s="157"/>
      <c r="AY121" s="191" cm="1">
        <f t="array" aca="1" ref="AY121" ca="1">IF(TblConstr[[#This Row],[Hour]:[Hour]]&gt;12,OFFSET(TblConstr[[#This Row],[Hom]],-12,0),0)+OFFSET(TblConstr[[#This Row],[Tot Hom]],-1,0)-TblConstr[[#This Row],[Dest Hom]]</f>
        <v>40</v>
      </c>
      <c r="AZ121" s="192" cm="1">
        <f t="array" aca="1" ref="AZ121" ca="1">IF(TblConstr[[#This Row],[Hour]:[Hour]]&gt;12,OFFSET(TblConstr[[#This Row],[Alc]],-12,0),0)+OFFSET(TblConstr[[#This Row],[Tot Alc]],-1,0)-TblConstr[[#This Row],[Dest Alc]]</f>
        <v>275</v>
      </c>
      <c r="BA121" s="192" cm="1">
        <f t="array" aca="1" ref="BA121" ca="1">IF(TblConstr[[#This Row],[Hour]:[Hour]]&gt;12,OFFSET(TblConstr[[#This Row],[Far]],-12,0),0)+OFFSET(TblConstr[[#This Row],[Tot Farm]],-1,0)-TblConstr[[#This Row],[Dest Farm]]</f>
        <v>29</v>
      </c>
      <c r="BB121" s="192" cm="1">
        <f t="array" aca="1" ref="BB121" ca="1">IF(TblConstr[[#This Row],[Hour]:[Hour]]&gt;12,OFFSET(TblConstr[[#This Row],[Smi]],-12,0),0)+OFFSET(TblConstr[[#This Row],[Tot Smi]],-1,0)-TblConstr[[#This Row],[Dest Smi]]</f>
        <v>126</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25</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55</v>
      </c>
      <c r="BJ121" s="391" cm="1">
        <f t="array" aca="1" ref="BJ121" ca="1">IF(TblConstr[[#This Row],[Hour]:[Hour]]&gt;12,OFFSET(TblConstr[[#This Row],[Bar]],-12,0),0)+OFFSET(TblConstr[[#This Row],[Tot Bar]],-1,0)-TblConstr[[#This Row],[Dest Bar]]</f>
        <v>50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29</v>
      </c>
      <c r="BM121" s="395" cm="1">
        <f t="array" aca="1" ref="BM121" ca="1">IF(TblConstr[[#This Row],[Hour]:[Hour]]&gt;12,OFFSET(TblConstr[[#This Row],[Tem]],-12,0),0)+OFFSET(TblConstr[[#This Row],[Tot Tem]],-1,0)-TblConstr[[#This Row],[Dest Tem]]</f>
        <v>47</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24</v>
      </c>
      <c r="BR121" s="145"/>
      <c r="BS121" s="157"/>
      <c r="BT121" s="97">
        <f ca="1">TblConstr[[#This Row],[Land]]</f>
        <v>700</v>
      </c>
      <c r="BU121" s="162">
        <f ca="1">TblImps[[#This Row],[Time]]</f>
        <v>45434.624999999716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430</v>
      </c>
      <c r="DA121" s="97">
        <f t="shared" ca="1" si="31"/>
        <v>25</v>
      </c>
      <c r="DB121" s="45">
        <f t="shared" ca="1" si="32"/>
        <v>0</v>
      </c>
      <c r="DC121" s="97">
        <f t="shared" ca="1" si="33"/>
        <v>55</v>
      </c>
      <c r="DD121" s="97">
        <f t="shared" ca="1" si="34"/>
        <v>76</v>
      </c>
      <c r="DE121" s="45">
        <f t="shared" ca="1" si="35"/>
        <v>0</v>
      </c>
      <c r="DF121" s="97">
        <f t="shared" ca="1" si="36"/>
        <v>24</v>
      </c>
      <c r="DG121" s="97" cm="1">
        <f t="array" aca="1" ref="DG121" ca="1">INDEX(TblConstr[[Total Plain]:[Total Water]],ROW()-ROW(TblConstr[#Headers]),MATCH("Total "&amp;home_land,TblConstr[[#Headers],[Total Plain]:[Total Water]],0))+TblConstr[[#This Row],[Homes]]</f>
        <v>40</v>
      </c>
      <c r="DH121" s="45">
        <f t="shared" ca="1" si="22"/>
        <v>40</v>
      </c>
      <c r="DI121" s="45">
        <f t="shared" ca="1" si="19"/>
        <v>0</v>
      </c>
      <c r="DJ121" s="45">
        <f t="shared" ca="1" si="20"/>
        <v>0</v>
      </c>
    </row>
    <row r="122" spans="1:114" x14ac:dyDescent="0.2">
      <c r="A122" s="178">
        <f>TblRezone[[#This Row],[Hour]]</f>
        <v>119</v>
      </c>
      <c r="B122" s="179">
        <f ca="1">SUM(TblConstr[[#This Row],[Plain]:[Water]])</f>
        <v>0</v>
      </c>
      <c r="C122" s="180">
        <f ca="1">SUM(TblConstr[[#This Row],[Tot Hom]:[Tot Doc]])</f>
        <v>700</v>
      </c>
      <c r="D122" s="180">
        <f t="shared" si="21"/>
        <v>0</v>
      </c>
      <c r="E122" s="181"/>
      <c r="F122" s="62">
        <f ca="1">TblConstr[[#This Row],[Barren]]+TblConstr[[#This Row],[Buildings]]+TblConstr[[#This Row],[Incoming]]</f>
        <v>700</v>
      </c>
      <c r="G122" s="190">
        <f ca="1">OFFSET(TblConstr[[#This Row],[Plain]],-1,0)+TblConstr[[#This Row],[Ch_Plain]]</f>
        <v>0</v>
      </c>
      <c r="H122" s="185">
        <f ca="1">OFFSET(TblConstr[[#This Row],[Forest]],-1,0)+TblConstr[[#This Row],[Ch_Forest]]</f>
        <v>0</v>
      </c>
      <c r="I122" s="385">
        <f ca="1">OFFSET(TblConstr[[#This Row],[Mountain]],-1,0)+TblConstr[[#This Row],[Ch_Mountain]]</f>
        <v>0</v>
      </c>
      <c r="J122" s="389">
        <f ca="1">OFFSET(TblConstr[[#This Row],[Hill]],-1,0)+TblConstr[[#This Row],[Ch_Hill]]</f>
        <v>0</v>
      </c>
      <c r="K122" s="393">
        <f ca="1">OFFSET(TblConstr[[#This Row],[Swamp]],-1,0)+TblConstr[[#This Row],[Ch_Swamp]]</f>
        <v>0</v>
      </c>
      <c r="L122" s="188">
        <f ca="1">OFFSET(TblConstr[[#This Row],[Cavern]],-1,0)+TblConstr[[#This Row],[Ch_Cavern]]</f>
        <v>0</v>
      </c>
      <c r="M122" s="189">
        <f ca="1">OFFSET(TblConstr[[#This Row],[Water]],-1,0)+TblConstr[[#This Row],[Ch_Water]]</f>
        <v>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45434.66666666638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1804639</v>
      </c>
      <c r="AL122" s="97">
        <f ca="1">TblProd[[#This Row],[Lumber]]</f>
        <v>50493</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2" s="97">
        <f ca="1">ROUNDDOWN( MAX(1 - MIN(facs_constr_factor*TblConstr[[#This Row],[Facs -DB]],facs_constr_max) + tech_1_11*TblTech[[#This Row],[11-1]] + tech_6_3_2*TblTech[[#This Row],[6-3]] + tech_5_2_3*TblTech[[#This Row],[5-2]], 1-global_constr_cap) * TblConstr[[#This Row],[RCPA Lumber]],0)</f>
        <v>216</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2" s="97">
        <f ca="1">ROUNDDOWN( MAX(1 - MIN(facs_constr_factor*TblConstr[[#This Row],[Facs DB]],facs_constr_max) + tech_1_11*TblTech[[#This Row],[1-11]] + tech_6_3_2*TblTech[[#This Row],[6-3]] + tech_5_2_3*TblTech[[#This Row],[5-2]], 1-global_constr_cap) * ROUND((TblConstr[[#This Row],[Land]]-250)*0.285 + 87.5 + 0/4.25,0),0)</f>
        <v>216</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1413</v>
      </c>
      <c r="AW122" s="97">
        <f ca="1">ROUND((TblConstr[[#This Row],[Land]]-250 - IF(TblExplore[[#This Row],[Land Bonus]]&lt;&gt;0,20,0))*0.285 + 87.5 + 0/4.25,0)</f>
        <v>216</v>
      </c>
      <c r="AX122" s="157"/>
      <c r="AY122" s="191" cm="1">
        <f t="array" aca="1" ref="AY122" ca="1">IF(TblConstr[[#This Row],[Hour]:[Hour]]&gt;12,OFFSET(TblConstr[[#This Row],[Hom]],-12,0),0)+OFFSET(TblConstr[[#This Row],[Tot Hom]],-1,0)-TblConstr[[#This Row],[Dest Hom]]</f>
        <v>40</v>
      </c>
      <c r="AZ122" s="192" cm="1">
        <f t="array" aca="1" ref="AZ122" ca="1">IF(TblConstr[[#This Row],[Hour]:[Hour]]&gt;12,OFFSET(TblConstr[[#This Row],[Alc]],-12,0),0)+OFFSET(TblConstr[[#This Row],[Tot Alc]],-1,0)-TblConstr[[#This Row],[Dest Alc]]</f>
        <v>275</v>
      </c>
      <c r="BA122" s="192" cm="1">
        <f t="array" aca="1" ref="BA122" ca="1">IF(TblConstr[[#This Row],[Hour]:[Hour]]&gt;12,OFFSET(TblConstr[[#This Row],[Far]],-12,0),0)+OFFSET(TblConstr[[#This Row],[Tot Farm]],-1,0)-TblConstr[[#This Row],[Dest Farm]]</f>
        <v>29</v>
      </c>
      <c r="BB122" s="192" cm="1">
        <f t="array" aca="1" ref="BB122" ca="1">IF(TblConstr[[#This Row],[Hour]:[Hour]]&gt;12,OFFSET(TblConstr[[#This Row],[Smi]],-12,0),0)+OFFSET(TblConstr[[#This Row],[Tot Smi]],-1,0)-TblConstr[[#This Row],[Dest Smi]]</f>
        <v>126</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25</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55</v>
      </c>
      <c r="BJ122" s="391" cm="1">
        <f t="array" aca="1" ref="BJ122" ca="1">IF(TblConstr[[#This Row],[Hour]:[Hour]]&gt;12,OFFSET(TblConstr[[#This Row],[Bar]],-12,0),0)+OFFSET(TblConstr[[#This Row],[Tot Bar]],-1,0)-TblConstr[[#This Row],[Dest Bar]]</f>
        <v>50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29</v>
      </c>
      <c r="BM122" s="395" cm="1">
        <f t="array" aca="1" ref="BM122" ca="1">IF(TblConstr[[#This Row],[Hour]:[Hour]]&gt;12,OFFSET(TblConstr[[#This Row],[Tem]],-12,0),0)+OFFSET(TblConstr[[#This Row],[Tot Tem]],-1,0)-TblConstr[[#This Row],[Dest Tem]]</f>
        <v>47</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24</v>
      </c>
      <c r="BR122" s="145"/>
      <c r="BS122" s="157"/>
      <c r="BT122" s="97">
        <f ca="1">TblConstr[[#This Row],[Land]]</f>
        <v>700</v>
      </c>
      <c r="BU122" s="162">
        <f ca="1">TblImps[[#This Row],[Time]]</f>
        <v>45434.66666666638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430</v>
      </c>
      <c r="DA122" s="97">
        <f t="shared" ca="1" si="31"/>
        <v>25</v>
      </c>
      <c r="DB122" s="45">
        <f t="shared" ca="1" si="32"/>
        <v>0</v>
      </c>
      <c r="DC122" s="97">
        <f t="shared" ca="1" si="33"/>
        <v>55</v>
      </c>
      <c r="DD122" s="97">
        <f t="shared" ca="1" si="34"/>
        <v>76</v>
      </c>
      <c r="DE122" s="45">
        <f t="shared" ca="1" si="35"/>
        <v>0</v>
      </c>
      <c r="DF122" s="97">
        <f t="shared" ca="1" si="36"/>
        <v>24</v>
      </c>
      <c r="DG122" s="97" cm="1">
        <f t="array" aca="1" ref="DG122" ca="1">INDEX(TblConstr[[Total Plain]:[Total Water]],ROW()-ROW(TblConstr[#Headers]),MATCH("Total "&amp;home_land,TblConstr[[#Headers],[Total Plain]:[Total Water]],0))+TblConstr[[#This Row],[Homes]]</f>
        <v>40</v>
      </c>
      <c r="DH122" s="45">
        <f t="shared" ca="1" si="22"/>
        <v>40</v>
      </c>
      <c r="DI122" s="45">
        <f t="shared" ca="1" si="19"/>
        <v>0</v>
      </c>
      <c r="DJ122" s="45">
        <f t="shared" ca="1" si="20"/>
        <v>0</v>
      </c>
    </row>
    <row r="123" spans="1:114" x14ac:dyDescent="0.2">
      <c r="A123" s="178">
        <f>TblRezone[[#This Row],[Hour]]</f>
        <v>120</v>
      </c>
      <c r="B123" s="179">
        <f ca="1">SUM(TblConstr[[#This Row],[Plain]:[Water]])</f>
        <v>0</v>
      </c>
      <c r="C123" s="180">
        <f ca="1">SUM(TblConstr[[#This Row],[Tot Hom]:[Tot Doc]])</f>
        <v>700</v>
      </c>
      <c r="D123" s="180">
        <f t="shared" si="21"/>
        <v>0</v>
      </c>
      <c r="E123" s="181"/>
      <c r="F123" s="62">
        <f ca="1">TblConstr[[#This Row],[Barren]]+TblConstr[[#This Row],[Buildings]]+TblConstr[[#This Row],[Incoming]]</f>
        <v>700</v>
      </c>
      <c r="G123" s="190">
        <f ca="1">OFFSET(TblConstr[[#This Row],[Plain]],-1,0)+TblConstr[[#This Row],[Ch_Plain]]</f>
        <v>0</v>
      </c>
      <c r="H123" s="185">
        <f ca="1">OFFSET(TblConstr[[#This Row],[Forest]],-1,0)+TblConstr[[#This Row],[Ch_Forest]]</f>
        <v>0</v>
      </c>
      <c r="I123" s="385">
        <f ca="1">OFFSET(TblConstr[[#This Row],[Mountain]],-1,0)+TblConstr[[#This Row],[Ch_Mountain]]</f>
        <v>0</v>
      </c>
      <c r="J123" s="389">
        <f ca="1">OFFSET(TblConstr[[#This Row],[Hill]],-1,0)+TblConstr[[#This Row],[Ch_Hill]]</f>
        <v>0</v>
      </c>
      <c r="K123" s="393">
        <f ca="1">OFFSET(TblConstr[[#This Row],[Swamp]],-1,0)+TblConstr[[#This Row],[Ch_Swamp]]</f>
        <v>0</v>
      </c>
      <c r="L123" s="188">
        <f ca="1">OFFSET(TblConstr[[#This Row],[Cavern]],-1,0)+TblConstr[[#This Row],[Ch_Cavern]]</f>
        <v>0</v>
      </c>
      <c r="M123" s="189">
        <f ca="1">OFFSET(TblConstr[[#This Row],[Water]],-1,0)+TblConstr[[#This Row],[Ch_Water]]</f>
        <v>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45434.708333333045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1834042</v>
      </c>
      <c r="AL123" s="97">
        <f ca="1">TblProd[[#This Row],[Lumber]]</f>
        <v>51113</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3" s="97">
        <f ca="1">ROUNDDOWN( MAX(1 - MIN(facs_constr_factor*TblConstr[[#This Row],[Facs -DB]],facs_constr_max) + tech_1_11*TblTech[[#This Row],[11-1]] + tech_6_3_2*TblTech[[#This Row],[6-3]] + tech_5_2_3*TblTech[[#This Row],[5-2]], 1-global_constr_cap) * TblConstr[[#This Row],[RCPA Lumber]],0)</f>
        <v>216</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3" s="97">
        <f ca="1">ROUNDDOWN( MAX(1 - MIN(facs_constr_factor*TblConstr[[#This Row],[Facs DB]],facs_constr_max) + tech_1_11*TblTech[[#This Row],[1-11]] + tech_6_3_2*TblTech[[#This Row],[6-3]] + tech_5_2_3*TblTech[[#This Row],[5-2]], 1-global_constr_cap) * ROUND((TblConstr[[#This Row],[Land]]-250)*0.285 + 87.5 + 0/4.25,0),0)</f>
        <v>216</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1413</v>
      </c>
      <c r="AW123" s="97">
        <f ca="1">ROUND((TblConstr[[#This Row],[Land]]-250 - IF(TblExplore[[#This Row],[Land Bonus]]&lt;&gt;0,20,0))*0.285 + 87.5 + 0/4.25,0)</f>
        <v>216</v>
      </c>
      <c r="AX123" s="157"/>
      <c r="AY123" s="191" cm="1">
        <f t="array" aca="1" ref="AY123" ca="1">IF(TblConstr[[#This Row],[Hour]:[Hour]]&gt;12,OFFSET(TblConstr[[#This Row],[Hom]],-12,0),0)+OFFSET(TblConstr[[#This Row],[Tot Hom]],-1,0)-TblConstr[[#This Row],[Dest Hom]]</f>
        <v>40</v>
      </c>
      <c r="AZ123" s="192" cm="1">
        <f t="array" aca="1" ref="AZ123" ca="1">IF(TblConstr[[#This Row],[Hour]:[Hour]]&gt;12,OFFSET(TblConstr[[#This Row],[Alc]],-12,0),0)+OFFSET(TblConstr[[#This Row],[Tot Alc]],-1,0)-TblConstr[[#This Row],[Dest Alc]]</f>
        <v>275</v>
      </c>
      <c r="BA123" s="192" cm="1">
        <f t="array" aca="1" ref="BA123" ca="1">IF(TblConstr[[#This Row],[Hour]:[Hour]]&gt;12,OFFSET(TblConstr[[#This Row],[Far]],-12,0),0)+OFFSET(TblConstr[[#This Row],[Tot Farm]],-1,0)-TblConstr[[#This Row],[Dest Farm]]</f>
        <v>29</v>
      </c>
      <c r="BB123" s="192" cm="1">
        <f t="array" aca="1" ref="BB123" ca="1">IF(TblConstr[[#This Row],[Hour]:[Hour]]&gt;12,OFFSET(TblConstr[[#This Row],[Smi]],-12,0),0)+OFFSET(TblConstr[[#This Row],[Tot Smi]],-1,0)-TblConstr[[#This Row],[Dest Smi]]</f>
        <v>126</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25</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55</v>
      </c>
      <c r="BJ123" s="391" cm="1">
        <f t="array" aca="1" ref="BJ123" ca="1">IF(TblConstr[[#This Row],[Hour]:[Hour]]&gt;12,OFFSET(TblConstr[[#This Row],[Bar]],-12,0),0)+OFFSET(TblConstr[[#This Row],[Tot Bar]],-1,0)-TblConstr[[#This Row],[Dest Bar]]</f>
        <v>50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29</v>
      </c>
      <c r="BM123" s="395" cm="1">
        <f t="array" aca="1" ref="BM123" ca="1">IF(TblConstr[[#This Row],[Hour]:[Hour]]&gt;12,OFFSET(TblConstr[[#This Row],[Tem]],-12,0),0)+OFFSET(TblConstr[[#This Row],[Tot Tem]],-1,0)-TblConstr[[#This Row],[Dest Tem]]</f>
        <v>47</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24</v>
      </c>
      <c r="BR123" s="145"/>
      <c r="BS123" s="157"/>
      <c r="BT123" s="97">
        <f ca="1">TblConstr[[#This Row],[Land]]</f>
        <v>700</v>
      </c>
      <c r="BU123" s="162">
        <f ca="1">TblImps[[#This Row],[Time]]</f>
        <v>45434.708333333045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430</v>
      </c>
      <c r="DA123" s="97">
        <f t="shared" ca="1" si="31"/>
        <v>25</v>
      </c>
      <c r="DB123" s="45">
        <f t="shared" ca="1" si="32"/>
        <v>0</v>
      </c>
      <c r="DC123" s="97">
        <f t="shared" ca="1" si="33"/>
        <v>55</v>
      </c>
      <c r="DD123" s="97">
        <f t="shared" ca="1" si="34"/>
        <v>76</v>
      </c>
      <c r="DE123" s="45">
        <f t="shared" ca="1" si="35"/>
        <v>0</v>
      </c>
      <c r="DF123" s="97">
        <f t="shared" ca="1" si="36"/>
        <v>24</v>
      </c>
      <c r="DG123" s="97" cm="1">
        <f t="array" aca="1" ref="DG123" ca="1">INDEX(TblConstr[[Total Plain]:[Total Water]],ROW()-ROW(TblConstr[#Headers]),MATCH("Total "&amp;home_land,TblConstr[[#Headers],[Total Plain]:[Total Water]],0))+TblConstr[[#This Row],[Homes]]</f>
        <v>40</v>
      </c>
      <c r="DH123" s="45">
        <f t="shared" ca="1" si="22"/>
        <v>40</v>
      </c>
      <c r="DI123" s="45">
        <f t="shared" ca="1" si="19"/>
        <v>0</v>
      </c>
      <c r="DJ123" s="45">
        <f t="shared" ca="1" si="20"/>
        <v>0</v>
      </c>
    </row>
    <row r="124" spans="1:114" x14ac:dyDescent="0.2">
      <c r="A124" s="178">
        <f>TblRezone[[#This Row],[Hour]]</f>
        <v>121</v>
      </c>
      <c r="B124" s="179">
        <f ca="1">SUM(TblConstr[[#This Row],[Plain]:[Water]])</f>
        <v>0</v>
      </c>
      <c r="C124" s="180">
        <f ca="1">SUM(TblConstr[[#This Row],[Tot Hom]:[Tot Doc]])</f>
        <v>700</v>
      </c>
      <c r="D124" s="180">
        <f t="shared" si="21"/>
        <v>0</v>
      </c>
      <c r="E124" s="181"/>
      <c r="F124" s="62">
        <f ca="1">TblConstr[[#This Row],[Barren]]+TblConstr[[#This Row],[Buildings]]+TblConstr[[#This Row],[Incoming]]</f>
        <v>700</v>
      </c>
      <c r="G124" s="190">
        <f ca="1">OFFSET(TblConstr[[#This Row],[Plain]],-1,0)+TblConstr[[#This Row],[Ch_Plain]]</f>
        <v>0</v>
      </c>
      <c r="H124" s="185">
        <f ca="1">OFFSET(TblConstr[[#This Row],[Forest]],-1,0)+TblConstr[[#This Row],[Ch_Forest]]</f>
        <v>0</v>
      </c>
      <c r="I124" s="385">
        <f ca="1">OFFSET(TblConstr[[#This Row],[Mountain]],-1,0)+TblConstr[[#This Row],[Ch_Mountain]]</f>
        <v>0</v>
      </c>
      <c r="J124" s="389">
        <f ca="1">OFFSET(TblConstr[[#This Row],[Hill]],-1,0)+TblConstr[[#This Row],[Ch_Hill]]</f>
        <v>0</v>
      </c>
      <c r="K124" s="393">
        <f ca="1">OFFSET(TblConstr[[#This Row],[Swamp]],-1,0)+TblConstr[[#This Row],[Ch_Swamp]]</f>
        <v>0</v>
      </c>
      <c r="L124" s="188">
        <f ca="1">OFFSET(TblConstr[[#This Row],[Cavern]],-1,0)+TblConstr[[#This Row],[Ch_Cavern]]</f>
        <v>0</v>
      </c>
      <c r="M124" s="189">
        <f ca="1">OFFSET(TblConstr[[#This Row],[Water]],-1,0)+TblConstr[[#This Row],[Ch_Water]]</f>
        <v>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45434.749999999709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1863275</v>
      </c>
      <c r="AL124" s="97">
        <f ca="1">TblProd[[#This Row],[Lumber]]</f>
        <v>51727</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4" s="97">
        <f ca="1">ROUNDDOWN( MAX(1 - MIN(facs_constr_factor*TblConstr[[#This Row],[Facs -DB]],facs_constr_max) + tech_1_11*TblTech[[#This Row],[11-1]] + tech_6_3_2*TblTech[[#This Row],[6-3]] + tech_5_2_3*TblTech[[#This Row],[5-2]], 1-global_constr_cap) * TblConstr[[#This Row],[RCPA Lumber]],0)</f>
        <v>216</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4" s="97">
        <f ca="1">ROUNDDOWN( MAX(1 - MIN(facs_constr_factor*TblConstr[[#This Row],[Facs DB]],facs_constr_max) + tech_1_11*TblTech[[#This Row],[1-11]] + tech_6_3_2*TblTech[[#This Row],[6-3]] + tech_5_2_3*TblTech[[#This Row],[5-2]], 1-global_constr_cap) * ROUND((TblConstr[[#This Row],[Land]]-250)*0.285 + 87.5 + 0/4.25,0),0)</f>
        <v>216</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1413</v>
      </c>
      <c r="AW124" s="97">
        <f ca="1">ROUND((TblConstr[[#This Row],[Land]]-250 - IF(TblExplore[[#This Row],[Land Bonus]]&lt;&gt;0,20,0))*0.285 + 87.5 + 0/4.25,0)</f>
        <v>216</v>
      </c>
      <c r="AX124" s="157"/>
      <c r="AY124" s="191" cm="1">
        <f t="array" aca="1" ref="AY124" ca="1">IF(TblConstr[[#This Row],[Hour]:[Hour]]&gt;12,OFFSET(TblConstr[[#This Row],[Hom]],-12,0),0)+OFFSET(TblConstr[[#This Row],[Tot Hom]],-1,0)-TblConstr[[#This Row],[Dest Hom]]</f>
        <v>40</v>
      </c>
      <c r="AZ124" s="192" cm="1">
        <f t="array" aca="1" ref="AZ124" ca="1">IF(TblConstr[[#This Row],[Hour]:[Hour]]&gt;12,OFFSET(TblConstr[[#This Row],[Alc]],-12,0),0)+OFFSET(TblConstr[[#This Row],[Tot Alc]],-1,0)-TblConstr[[#This Row],[Dest Alc]]</f>
        <v>275</v>
      </c>
      <c r="BA124" s="192" cm="1">
        <f t="array" aca="1" ref="BA124" ca="1">IF(TblConstr[[#This Row],[Hour]:[Hour]]&gt;12,OFFSET(TblConstr[[#This Row],[Far]],-12,0),0)+OFFSET(TblConstr[[#This Row],[Tot Farm]],-1,0)-TblConstr[[#This Row],[Dest Farm]]</f>
        <v>29</v>
      </c>
      <c r="BB124" s="192" cm="1">
        <f t="array" aca="1" ref="BB124" ca="1">IF(TblConstr[[#This Row],[Hour]:[Hour]]&gt;12,OFFSET(TblConstr[[#This Row],[Smi]],-12,0),0)+OFFSET(TblConstr[[#This Row],[Tot Smi]],-1,0)-TblConstr[[#This Row],[Dest Smi]]</f>
        <v>126</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25</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55</v>
      </c>
      <c r="BJ124" s="391" cm="1">
        <f t="array" aca="1" ref="BJ124" ca="1">IF(TblConstr[[#This Row],[Hour]:[Hour]]&gt;12,OFFSET(TblConstr[[#This Row],[Bar]],-12,0),0)+OFFSET(TblConstr[[#This Row],[Tot Bar]],-1,0)-TblConstr[[#This Row],[Dest Bar]]</f>
        <v>50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29</v>
      </c>
      <c r="BM124" s="395" cm="1">
        <f t="array" aca="1" ref="BM124" ca="1">IF(TblConstr[[#This Row],[Hour]:[Hour]]&gt;12,OFFSET(TblConstr[[#This Row],[Tem]],-12,0),0)+OFFSET(TblConstr[[#This Row],[Tot Tem]],-1,0)-TblConstr[[#This Row],[Dest Tem]]</f>
        <v>47</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24</v>
      </c>
      <c r="BR124" s="145"/>
      <c r="BS124" s="157"/>
      <c r="BT124" s="97">
        <f ca="1">TblConstr[[#This Row],[Land]]</f>
        <v>700</v>
      </c>
      <c r="BU124" s="162">
        <f ca="1">TblImps[[#This Row],[Time]]</f>
        <v>45434.749999999709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430</v>
      </c>
      <c r="DA124" s="97">
        <f t="shared" ca="1" si="31"/>
        <v>25</v>
      </c>
      <c r="DB124" s="45">
        <f t="shared" ca="1" si="32"/>
        <v>0</v>
      </c>
      <c r="DC124" s="97">
        <f t="shared" ca="1" si="33"/>
        <v>55</v>
      </c>
      <c r="DD124" s="97">
        <f t="shared" ca="1" si="34"/>
        <v>76</v>
      </c>
      <c r="DE124" s="45">
        <f t="shared" ca="1" si="35"/>
        <v>0</v>
      </c>
      <c r="DF124" s="97">
        <f t="shared" ca="1" si="36"/>
        <v>24</v>
      </c>
      <c r="DG124" s="97" cm="1">
        <f t="array" aca="1" ref="DG124" ca="1">INDEX(TblConstr[[Total Plain]:[Total Water]],ROW()-ROW(TblConstr[#Headers]),MATCH("Total "&amp;home_land,TblConstr[[#Headers],[Total Plain]:[Total Water]],0))+TblConstr[[#This Row],[Homes]]</f>
        <v>40</v>
      </c>
      <c r="DH124" s="45">
        <f t="shared" ca="1" si="22"/>
        <v>40</v>
      </c>
      <c r="DI124" s="45">
        <f t="shared" ca="1" si="19"/>
        <v>0</v>
      </c>
      <c r="DJ124" s="45">
        <f t="shared" ca="1" si="20"/>
        <v>0</v>
      </c>
    </row>
    <row r="125" spans="1:114" x14ac:dyDescent="0.2">
      <c r="A125" s="178">
        <f>TblRezone[[#This Row],[Hour]]</f>
        <v>122</v>
      </c>
      <c r="B125" s="179">
        <f ca="1">SUM(TblConstr[[#This Row],[Plain]:[Water]])</f>
        <v>0</v>
      </c>
      <c r="C125" s="180">
        <f ca="1">SUM(TblConstr[[#This Row],[Tot Hom]:[Tot Doc]])</f>
        <v>700</v>
      </c>
      <c r="D125" s="180">
        <f t="shared" si="21"/>
        <v>0</v>
      </c>
      <c r="E125" s="181"/>
      <c r="F125" s="62">
        <f ca="1">TblConstr[[#This Row],[Barren]]+TblConstr[[#This Row],[Buildings]]+TblConstr[[#This Row],[Incoming]]</f>
        <v>700</v>
      </c>
      <c r="G125" s="190">
        <f ca="1">OFFSET(TblConstr[[#This Row],[Plain]],-1,0)+TblConstr[[#This Row],[Ch_Plain]]</f>
        <v>0</v>
      </c>
      <c r="H125" s="185">
        <f ca="1">OFFSET(TblConstr[[#This Row],[Forest]],-1,0)+TblConstr[[#This Row],[Ch_Forest]]</f>
        <v>0</v>
      </c>
      <c r="I125" s="385">
        <f ca="1">OFFSET(TblConstr[[#This Row],[Mountain]],-1,0)+TblConstr[[#This Row],[Ch_Mountain]]</f>
        <v>0</v>
      </c>
      <c r="J125" s="389">
        <f ca="1">OFFSET(TblConstr[[#This Row],[Hill]],-1,0)+TblConstr[[#This Row],[Ch_Hill]]</f>
        <v>0</v>
      </c>
      <c r="K125" s="393">
        <f ca="1">OFFSET(TblConstr[[#This Row],[Swamp]],-1,0)+TblConstr[[#This Row],[Ch_Swamp]]</f>
        <v>0</v>
      </c>
      <c r="L125" s="188">
        <f ca="1">OFFSET(TblConstr[[#This Row],[Cavern]],-1,0)+TblConstr[[#This Row],[Ch_Cavern]]</f>
        <v>0</v>
      </c>
      <c r="M125" s="189">
        <f ca="1">OFFSET(TblConstr[[#This Row],[Water]],-1,0)+TblConstr[[#This Row],[Ch_Water]]</f>
        <v>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45434.791666666373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1892341</v>
      </c>
      <c r="AL125" s="97">
        <f ca="1">TblProd[[#This Row],[Lumber]]</f>
        <v>52335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5" s="97">
        <f ca="1">ROUNDDOWN( MAX(1 - MIN(facs_constr_factor*TblConstr[[#This Row],[Facs -DB]],facs_constr_max) + tech_1_11*TblTech[[#This Row],[11-1]] + tech_6_3_2*TblTech[[#This Row],[6-3]] + tech_5_2_3*TblTech[[#This Row],[5-2]], 1-global_constr_cap) * TblConstr[[#This Row],[RCPA Lumber]],0)</f>
        <v>216</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5" s="97">
        <f ca="1">ROUNDDOWN( MAX(1 - MIN(facs_constr_factor*TblConstr[[#This Row],[Facs DB]],facs_constr_max) + tech_1_11*TblTech[[#This Row],[1-11]] + tech_6_3_2*TblTech[[#This Row],[6-3]] + tech_5_2_3*TblTech[[#This Row],[5-2]], 1-global_constr_cap) * ROUND((TblConstr[[#This Row],[Land]]-250)*0.285 + 87.5 + 0/4.25,0),0)</f>
        <v>216</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1413</v>
      </c>
      <c r="AW125" s="97">
        <f ca="1">ROUND((TblConstr[[#This Row],[Land]]-250 - IF(TblExplore[[#This Row],[Land Bonus]]&lt;&gt;0,20,0))*0.285 + 87.5 + 0/4.25,0)</f>
        <v>216</v>
      </c>
      <c r="AX125" s="157"/>
      <c r="AY125" s="191" cm="1">
        <f t="array" aca="1" ref="AY125" ca="1">IF(TblConstr[[#This Row],[Hour]:[Hour]]&gt;12,OFFSET(TblConstr[[#This Row],[Hom]],-12,0),0)+OFFSET(TblConstr[[#This Row],[Tot Hom]],-1,0)-TblConstr[[#This Row],[Dest Hom]]</f>
        <v>40</v>
      </c>
      <c r="AZ125" s="192" cm="1">
        <f t="array" aca="1" ref="AZ125" ca="1">IF(TblConstr[[#This Row],[Hour]:[Hour]]&gt;12,OFFSET(TblConstr[[#This Row],[Alc]],-12,0),0)+OFFSET(TblConstr[[#This Row],[Tot Alc]],-1,0)-TblConstr[[#This Row],[Dest Alc]]</f>
        <v>275</v>
      </c>
      <c r="BA125" s="192" cm="1">
        <f t="array" aca="1" ref="BA125" ca="1">IF(TblConstr[[#This Row],[Hour]:[Hour]]&gt;12,OFFSET(TblConstr[[#This Row],[Far]],-12,0),0)+OFFSET(TblConstr[[#This Row],[Tot Farm]],-1,0)-TblConstr[[#This Row],[Dest Farm]]</f>
        <v>29</v>
      </c>
      <c r="BB125" s="192" cm="1">
        <f t="array" aca="1" ref="BB125" ca="1">IF(TblConstr[[#This Row],[Hour]:[Hour]]&gt;12,OFFSET(TblConstr[[#This Row],[Smi]],-12,0),0)+OFFSET(TblConstr[[#This Row],[Tot Smi]],-1,0)-TblConstr[[#This Row],[Dest Smi]]</f>
        <v>126</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25</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55</v>
      </c>
      <c r="BJ125" s="391" cm="1">
        <f t="array" aca="1" ref="BJ125" ca="1">IF(TblConstr[[#This Row],[Hour]:[Hour]]&gt;12,OFFSET(TblConstr[[#This Row],[Bar]],-12,0),0)+OFFSET(TblConstr[[#This Row],[Tot Bar]],-1,0)-TblConstr[[#This Row],[Dest Bar]]</f>
        <v>50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29</v>
      </c>
      <c r="BM125" s="395" cm="1">
        <f t="array" aca="1" ref="BM125" ca="1">IF(TblConstr[[#This Row],[Hour]:[Hour]]&gt;12,OFFSET(TblConstr[[#This Row],[Tem]],-12,0),0)+OFFSET(TblConstr[[#This Row],[Tot Tem]],-1,0)-TblConstr[[#This Row],[Dest Tem]]</f>
        <v>47</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24</v>
      </c>
      <c r="BR125" s="145"/>
      <c r="BS125" s="157"/>
      <c r="BT125" s="97">
        <f ca="1">TblConstr[[#This Row],[Land]]</f>
        <v>700</v>
      </c>
      <c r="BU125" s="162">
        <f ca="1">TblImps[[#This Row],[Time]]</f>
        <v>45434.791666666373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430</v>
      </c>
      <c r="DA125" s="97">
        <f t="shared" ca="1" si="31"/>
        <v>25</v>
      </c>
      <c r="DB125" s="45">
        <f t="shared" ca="1" si="32"/>
        <v>0</v>
      </c>
      <c r="DC125" s="97">
        <f t="shared" ca="1" si="33"/>
        <v>55</v>
      </c>
      <c r="DD125" s="97">
        <f t="shared" ca="1" si="34"/>
        <v>76</v>
      </c>
      <c r="DE125" s="45">
        <f t="shared" ca="1" si="35"/>
        <v>0</v>
      </c>
      <c r="DF125" s="97">
        <f t="shared" ca="1" si="36"/>
        <v>24</v>
      </c>
      <c r="DG125" s="97" cm="1">
        <f t="array" aca="1" ref="DG125" ca="1">INDEX(TblConstr[[Total Plain]:[Total Water]],ROW()-ROW(TblConstr[#Headers]),MATCH("Total "&amp;home_land,TblConstr[[#Headers],[Total Plain]:[Total Water]],0))+TblConstr[[#This Row],[Homes]]</f>
        <v>40</v>
      </c>
      <c r="DH125" s="45">
        <f t="shared" ca="1" si="22"/>
        <v>40</v>
      </c>
      <c r="DI125" s="45">
        <f t="shared" ca="1" si="19"/>
        <v>0</v>
      </c>
      <c r="DJ125" s="45">
        <f t="shared" ca="1" si="20"/>
        <v>0</v>
      </c>
    </row>
    <row r="126" spans="1:114" x14ac:dyDescent="0.2">
      <c r="A126" s="178">
        <f>TblRezone[[#This Row],[Hour]]</f>
        <v>123</v>
      </c>
      <c r="B126" s="179">
        <f ca="1">SUM(TblConstr[[#This Row],[Plain]:[Water]])</f>
        <v>0</v>
      </c>
      <c r="C126" s="180">
        <f ca="1">SUM(TblConstr[[#This Row],[Tot Hom]:[Tot Doc]])</f>
        <v>700</v>
      </c>
      <c r="D126" s="180">
        <f t="shared" si="21"/>
        <v>0</v>
      </c>
      <c r="E126" s="181"/>
      <c r="F126" s="62">
        <f ca="1">TblConstr[[#This Row],[Barren]]+TblConstr[[#This Row],[Buildings]]+TblConstr[[#This Row],[Incoming]]</f>
        <v>700</v>
      </c>
      <c r="G126" s="190">
        <f ca="1">OFFSET(TblConstr[[#This Row],[Plain]],-1,0)+TblConstr[[#This Row],[Ch_Plain]]</f>
        <v>0</v>
      </c>
      <c r="H126" s="185">
        <f ca="1">OFFSET(TblConstr[[#This Row],[Forest]],-1,0)+TblConstr[[#This Row],[Ch_Forest]]</f>
        <v>0</v>
      </c>
      <c r="I126" s="385">
        <f ca="1">OFFSET(TblConstr[[#This Row],[Mountain]],-1,0)+TblConstr[[#This Row],[Ch_Mountain]]</f>
        <v>0</v>
      </c>
      <c r="J126" s="389">
        <f ca="1">OFFSET(TblConstr[[#This Row],[Hill]],-1,0)+TblConstr[[#This Row],[Ch_Hill]]</f>
        <v>0</v>
      </c>
      <c r="K126" s="393">
        <f ca="1">OFFSET(TblConstr[[#This Row],[Swamp]],-1,0)+TblConstr[[#This Row],[Ch_Swamp]]</f>
        <v>0</v>
      </c>
      <c r="L126" s="188">
        <f ca="1">OFFSET(TblConstr[[#This Row],[Cavern]],-1,0)+TblConstr[[#This Row],[Ch_Cavern]]</f>
        <v>0</v>
      </c>
      <c r="M126" s="189">
        <f ca="1">OFFSET(TblConstr[[#This Row],[Water]],-1,0)+TblConstr[[#This Row],[Ch_Water]]</f>
        <v>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45434.833333333037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1921240</v>
      </c>
      <c r="AL126" s="97">
        <f ca="1">TblProd[[#This Row],[Lumber]]</f>
        <v>52937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6" s="97">
        <f ca="1">ROUNDDOWN( MAX(1 - MIN(facs_constr_factor*TblConstr[[#This Row],[Facs -DB]],facs_constr_max) + tech_1_11*TblTech[[#This Row],[11-1]] + tech_6_3_2*TblTech[[#This Row],[6-3]] + tech_5_2_3*TblTech[[#This Row],[5-2]], 1-global_constr_cap) * TblConstr[[#This Row],[RCPA Lumber]],0)</f>
        <v>216</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6" s="97">
        <f ca="1">ROUNDDOWN( MAX(1 - MIN(facs_constr_factor*TblConstr[[#This Row],[Facs DB]],facs_constr_max) + tech_1_11*TblTech[[#This Row],[1-11]] + tech_6_3_2*TblTech[[#This Row],[6-3]] + tech_5_2_3*TblTech[[#This Row],[5-2]], 1-global_constr_cap) * ROUND((TblConstr[[#This Row],[Land]]-250)*0.285 + 87.5 + 0/4.25,0),0)</f>
        <v>216</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1413</v>
      </c>
      <c r="AW126" s="97">
        <f ca="1">ROUND((TblConstr[[#This Row],[Land]]-250 - IF(TblExplore[[#This Row],[Land Bonus]]&lt;&gt;0,20,0))*0.285 + 87.5 + 0/4.25,0)</f>
        <v>216</v>
      </c>
      <c r="AX126" s="157"/>
      <c r="AY126" s="191" cm="1">
        <f t="array" aca="1" ref="AY126" ca="1">IF(TblConstr[[#This Row],[Hour]:[Hour]]&gt;12,OFFSET(TblConstr[[#This Row],[Hom]],-12,0),0)+OFFSET(TblConstr[[#This Row],[Tot Hom]],-1,0)-TblConstr[[#This Row],[Dest Hom]]</f>
        <v>40</v>
      </c>
      <c r="AZ126" s="192" cm="1">
        <f t="array" aca="1" ref="AZ126" ca="1">IF(TblConstr[[#This Row],[Hour]:[Hour]]&gt;12,OFFSET(TblConstr[[#This Row],[Alc]],-12,0),0)+OFFSET(TblConstr[[#This Row],[Tot Alc]],-1,0)-TblConstr[[#This Row],[Dest Alc]]</f>
        <v>275</v>
      </c>
      <c r="BA126" s="192" cm="1">
        <f t="array" aca="1" ref="BA126" ca="1">IF(TblConstr[[#This Row],[Hour]:[Hour]]&gt;12,OFFSET(TblConstr[[#This Row],[Far]],-12,0),0)+OFFSET(TblConstr[[#This Row],[Tot Farm]],-1,0)-TblConstr[[#This Row],[Dest Farm]]</f>
        <v>29</v>
      </c>
      <c r="BB126" s="192" cm="1">
        <f t="array" aca="1" ref="BB126" ca="1">IF(TblConstr[[#This Row],[Hour]:[Hour]]&gt;12,OFFSET(TblConstr[[#This Row],[Smi]],-12,0),0)+OFFSET(TblConstr[[#This Row],[Tot Smi]],-1,0)-TblConstr[[#This Row],[Dest Smi]]</f>
        <v>126</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25</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55</v>
      </c>
      <c r="BJ126" s="391" cm="1">
        <f t="array" aca="1" ref="BJ126" ca="1">IF(TblConstr[[#This Row],[Hour]:[Hour]]&gt;12,OFFSET(TblConstr[[#This Row],[Bar]],-12,0),0)+OFFSET(TblConstr[[#This Row],[Tot Bar]],-1,0)-TblConstr[[#This Row],[Dest Bar]]</f>
        <v>50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29</v>
      </c>
      <c r="BM126" s="395" cm="1">
        <f t="array" aca="1" ref="BM126" ca="1">IF(TblConstr[[#This Row],[Hour]:[Hour]]&gt;12,OFFSET(TblConstr[[#This Row],[Tem]],-12,0),0)+OFFSET(TblConstr[[#This Row],[Tot Tem]],-1,0)-TblConstr[[#This Row],[Dest Tem]]</f>
        <v>47</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24</v>
      </c>
      <c r="BR126" s="145"/>
      <c r="BS126" s="157"/>
      <c r="BT126" s="97">
        <f ca="1">TblConstr[[#This Row],[Land]]</f>
        <v>700</v>
      </c>
      <c r="BU126" s="162">
        <f ca="1">TblImps[[#This Row],[Time]]</f>
        <v>45434.833333333037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430</v>
      </c>
      <c r="DA126" s="97">
        <f t="shared" ca="1" si="31"/>
        <v>25</v>
      </c>
      <c r="DB126" s="45">
        <f t="shared" ca="1" si="32"/>
        <v>0</v>
      </c>
      <c r="DC126" s="97">
        <f t="shared" ca="1" si="33"/>
        <v>55</v>
      </c>
      <c r="DD126" s="97">
        <f t="shared" ca="1" si="34"/>
        <v>76</v>
      </c>
      <c r="DE126" s="45">
        <f t="shared" ca="1" si="35"/>
        <v>0</v>
      </c>
      <c r="DF126" s="97">
        <f t="shared" ca="1" si="36"/>
        <v>24</v>
      </c>
      <c r="DG126" s="97" cm="1">
        <f t="array" aca="1" ref="DG126" ca="1">INDEX(TblConstr[[Total Plain]:[Total Water]],ROW()-ROW(TblConstr[#Headers]),MATCH("Total "&amp;home_land,TblConstr[[#Headers],[Total Plain]:[Total Water]],0))+TblConstr[[#This Row],[Homes]]</f>
        <v>40</v>
      </c>
      <c r="DH126" s="45">
        <f t="shared" ca="1" si="22"/>
        <v>40</v>
      </c>
      <c r="DI126" s="45">
        <f t="shared" ca="1" si="19"/>
        <v>0</v>
      </c>
      <c r="DJ126" s="45">
        <f t="shared" ca="1" si="20"/>
        <v>0</v>
      </c>
    </row>
    <row r="127" spans="1:114" x14ac:dyDescent="0.2">
      <c r="A127" s="178">
        <f>TblRezone[[#This Row],[Hour]]</f>
        <v>124</v>
      </c>
      <c r="B127" s="179">
        <f ca="1">SUM(TblConstr[[#This Row],[Plain]:[Water]])</f>
        <v>0</v>
      </c>
      <c r="C127" s="180">
        <f ca="1">SUM(TblConstr[[#This Row],[Tot Hom]:[Tot Doc]])</f>
        <v>700</v>
      </c>
      <c r="D127" s="180">
        <f t="shared" si="21"/>
        <v>0</v>
      </c>
      <c r="E127" s="181"/>
      <c r="F127" s="62">
        <f ca="1">TblConstr[[#This Row],[Barren]]+TblConstr[[#This Row],[Buildings]]+TblConstr[[#This Row],[Incoming]]</f>
        <v>700</v>
      </c>
      <c r="G127" s="190">
        <f ca="1">OFFSET(TblConstr[[#This Row],[Plain]],-1,0)+TblConstr[[#This Row],[Ch_Plain]]</f>
        <v>0</v>
      </c>
      <c r="H127" s="185">
        <f ca="1">OFFSET(TblConstr[[#This Row],[Forest]],-1,0)+TblConstr[[#This Row],[Ch_Forest]]</f>
        <v>0</v>
      </c>
      <c r="I127" s="385">
        <f ca="1">OFFSET(TblConstr[[#This Row],[Mountain]],-1,0)+TblConstr[[#This Row],[Ch_Mountain]]</f>
        <v>0</v>
      </c>
      <c r="J127" s="389">
        <f ca="1">OFFSET(TblConstr[[#This Row],[Hill]],-1,0)+TblConstr[[#This Row],[Ch_Hill]]</f>
        <v>0</v>
      </c>
      <c r="K127" s="393">
        <f ca="1">OFFSET(TblConstr[[#This Row],[Swamp]],-1,0)+TblConstr[[#This Row],[Ch_Swamp]]</f>
        <v>0</v>
      </c>
      <c r="L127" s="188">
        <f ca="1">OFFSET(TblConstr[[#This Row],[Cavern]],-1,0)+TblConstr[[#This Row],[Ch_Cavern]]</f>
        <v>0</v>
      </c>
      <c r="M127" s="189">
        <f ca="1">OFFSET(TblConstr[[#This Row],[Water]],-1,0)+TblConstr[[#This Row],[Ch_Water]]</f>
        <v>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45434.874999999702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1949974</v>
      </c>
      <c r="AL127" s="97">
        <f ca="1">TblProd[[#This Row],[Lumber]]</f>
        <v>53533</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7" s="97">
        <f ca="1">ROUNDDOWN( MAX(1 - MIN(facs_constr_factor*TblConstr[[#This Row],[Facs -DB]],facs_constr_max) + tech_1_11*TblTech[[#This Row],[11-1]] + tech_6_3_2*TblTech[[#This Row],[6-3]] + tech_5_2_3*TblTech[[#This Row],[5-2]], 1-global_constr_cap) * TblConstr[[#This Row],[RCPA Lumber]],0)</f>
        <v>216</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7" s="97">
        <f ca="1">ROUNDDOWN( MAX(1 - MIN(facs_constr_factor*TblConstr[[#This Row],[Facs DB]],facs_constr_max) + tech_1_11*TblTech[[#This Row],[1-11]] + tech_6_3_2*TblTech[[#This Row],[6-3]] + tech_5_2_3*TblTech[[#This Row],[5-2]], 1-global_constr_cap) * ROUND((TblConstr[[#This Row],[Land]]-250)*0.285 + 87.5 + 0/4.25,0),0)</f>
        <v>216</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1413</v>
      </c>
      <c r="AW127" s="97">
        <f ca="1">ROUND((TblConstr[[#This Row],[Land]]-250 - IF(TblExplore[[#This Row],[Land Bonus]]&lt;&gt;0,20,0))*0.285 + 87.5 + 0/4.25,0)</f>
        <v>216</v>
      </c>
      <c r="AX127" s="157"/>
      <c r="AY127" s="191" cm="1">
        <f t="array" aca="1" ref="AY127" ca="1">IF(TblConstr[[#This Row],[Hour]:[Hour]]&gt;12,OFFSET(TblConstr[[#This Row],[Hom]],-12,0),0)+OFFSET(TblConstr[[#This Row],[Tot Hom]],-1,0)-TblConstr[[#This Row],[Dest Hom]]</f>
        <v>40</v>
      </c>
      <c r="AZ127" s="192" cm="1">
        <f t="array" aca="1" ref="AZ127" ca="1">IF(TblConstr[[#This Row],[Hour]:[Hour]]&gt;12,OFFSET(TblConstr[[#This Row],[Alc]],-12,0),0)+OFFSET(TblConstr[[#This Row],[Tot Alc]],-1,0)-TblConstr[[#This Row],[Dest Alc]]</f>
        <v>275</v>
      </c>
      <c r="BA127" s="192" cm="1">
        <f t="array" aca="1" ref="BA127" ca="1">IF(TblConstr[[#This Row],[Hour]:[Hour]]&gt;12,OFFSET(TblConstr[[#This Row],[Far]],-12,0),0)+OFFSET(TblConstr[[#This Row],[Tot Farm]],-1,0)-TblConstr[[#This Row],[Dest Farm]]</f>
        <v>29</v>
      </c>
      <c r="BB127" s="192" cm="1">
        <f t="array" aca="1" ref="BB127" ca="1">IF(TblConstr[[#This Row],[Hour]:[Hour]]&gt;12,OFFSET(TblConstr[[#This Row],[Smi]],-12,0),0)+OFFSET(TblConstr[[#This Row],[Tot Smi]],-1,0)-TblConstr[[#This Row],[Dest Smi]]</f>
        <v>126</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25</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55</v>
      </c>
      <c r="BJ127" s="391" cm="1">
        <f t="array" aca="1" ref="BJ127" ca="1">IF(TblConstr[[#This Row],[Hour]:[Hour]]&gt;12,OFFSET(TblConstr[[#This Row],[Bar]],-12,0),0)+OFFSET(TblConstr[[#This Row],[Tot Bar]],-1,0)-TblConstr[[#This Row],[Dest Bar]]</f>
        <v>50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29</v>
      </c>
      <c r="BM127" s="395" cm="1">
        <f t="array" aca="1" ref="BM127" ca="1">IF(TblConstr[[#This Row],[Hour]:[Hour]]&gt;12,OFFSET(TblConstr[[#This Row],[Tem]],-12,0),0)+OFFSET(TblConstr[[#This Row],[Tot Tem]],-1,0)-TblConstr[[#This Row],[Dest Tem]]</f>
        <v>47</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24</v>
      </c>
      <c r="BR127" s="145"/>
      <c r="BS127" s="157"/>
      <c r="BT127" s="97">
        <f ca="1">TblConstr[[#This Row],[Land]]</f>
        <v>700</v>
      </c>
      <c r="BU127" s="162">
        <f ca="1">TblImps[[#This Row],[Time]]</f>
        <v>45434.874999999702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430</v>
      </c>
      <c r="DA127" s="97">
        <f t="shared" ca="1" si="31"/>
        <v>25</v>
      </c>
      <c r="DB127" s="45">
        <f t="shared" ca="1" si="32"/>
        <v>0</v>
      </c>
      <c r="DC127" s="97">
        <f t="shared" ca="1" si="33"/>
        <v>55</v>
      </c>
      <c r="DD127" s="97">
        <f t="shared" ca="1" si="34"/>
        <v>76</v>
      </c>
      <c r="DE127" s="45">
        <f t="shared" ca="1" si="35"/>
        <v>0</v>
      </c>
      <c r="DF127" s="97">
        <f t="shared" ca="1" si="36"/>
        <v>24</v>
      </c>
      <c r="DG127" s="97" cm="1">
        <f t="array" aca="1" ref="DG127" ca="1">INDEX(TblConstr[[Total Plain]:[Total Water]],ROW()-ROW(TblConstr[#Headers]),MATCH("Total "&amp;home_land,TblConstr[[#Headers],[Total Plain]:[Total Water]],0))+TblConstr[[#This Row],[Homes]]</f>
        <v>40</v>
      </c>
      <c r="DH127" s="45">
        <f t="shared" ca="1" si="22"/>
        <v>40</v>
      </c>
      <c r="DI127" s="45">
        <f t="shared" ca="1" si="19"/>
        <v>0</v>
      </c>
      <c r="DJ127" s="45">
        <f t="shared" ca="1" si="20"/>
        <v>0</v>
      </c>
    </row>
    <row r="128" spans="1:114" x14ac:dyDescent="0.2">
      <c r="A128" s="178">
        <f>TblRezone[[#This Row],[Hour]]</f>
        <v>125</v>
      </c>
      <c r="B128" s="179">
        <f ca="1">SUM(TblConstr[[#This Row],[Plain]:[Water]])</f>
        <v>0</v>
      </c>
      <c r="C128" s="180">
        <f ca="1">SUM(TblConstr[[#This Row],[Tot Hom]:[Tot Doc]])</f>
        <v>700</v>
      </c>
      <c r="D128" s="180">
        <f t="shared" si="21"/>
        <v>0</v>
      </c>
      <c r="E128" s="181"/>
      <c r="F128" s="62">
        <f ca="1">TblConstr[[#This Row],[Barren]]+TblConstr[[#This Row],[Buildings]]+TblConstr[[#This Row],[Incoming]]</f>
        <v>700</v>
      </c>
      <c r="G128" s="190">
        <f ca="1">OFFSET(TblConstr[[#This Row],[Plain]],-1,0)+TblConstr[[#This Row],[Ch_Plain]]</f>
        <v>0</v>
      </c>
      <c r="H128" s="185">
        <f ca="1">OFFSET(TblConstr[[#This Row],[Forest]],-1,0)+TblConstr[[#This Row],[Ch_Forest]]</f>
        <v>0</v>
      </c>
      <c r="I128" s="385">
        <f ca="1">OFFSET(TblConstr[[#This Row],[Mountain]],-1,0)+TblConstr[[#This Row],[Ch_Mountain]]</f>
        <v>0</v>
      </c>
      <c r="J128" s="389">
        <f ca="1">OFFSET(TblConstr[[#This Row],[Hill]],-1,0)+TblConstr[[#This Row],[Ch_Hill]]</f>
        <v>0</v>
      </c>
      <c r="K128" s="393">
        <f ca="1">OFFSET(TblConstr[[#This Row],[Swamp]],-1,0)+TblConstr[[#This Row],[Ch_Swamp]]</f>
        <v>0</v>
      </c>
      <c r="L128" s="188">
        <f ca="1">OFFSET(TblConstr[[#This Row],[Cavern]],-1,0)+TblConstr[[#This Row],[Ch_Cavern]]</f>
        <v>0</v>
      </c>
      <c r="M128" s="189">
        <f ca="1">OFFSET(TblConstr[[#This Row],[Water]],-1,0)+TblConstr[[#This Row],[Ch_Water]]</f>
        <v>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45434.916666666366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1978543</v>
      </c>
      <c r="AL128" s="97">
        <f ca="1">TblProd[[#This Row],[Lumber]]</f>
        <v>54123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8" s="97">
        <f ca="1">ROUNDDOWN( MAX(1 - MIN(facs_constr_factor*TblConstr[[#This Row],[Facs -DB]],facs_constr_max) + tech_1_11*TblTech[[#This Row],[11-1]] + tech_6_3_2*TblTech[[#This Row],[6-3]] + tech_5_2_3*TblTech[[#This Row],[5-2]], 1-global_constr_cap) * TblConstr[[#This Row],[RCPA Lumber]],0)</f>
        <v>216</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8" s="97">
        <f ca="1">ROUNDDOWN( MAX(1 - MIN(facs_constr_factor*TblConstr[[#This Row],[Facs DB]],facs_constr_max) + tech_1_11*TblTech[[#This Row],[1-11]] + tech_6_3_2*TblTech[[#This Row],[6-3]] + tech_5_2_3*TblTech[[#This Row],[5-2]], 1-global_constr_cap) * ROUND((TblConstr[[#This Row],[Land]]-250)*0.285 + 87.5 + 0/4.25,0),0)</f>
        <v>216</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1413</v>
      </c>
      <c r="AW128" s="97">
        <f ca="1">ROUND((TblConstr[[#This Row],[Land]]-250 - IF(TblExplore[[#This Row],[Land Bonus]]&lt;&gt;0,20,0))*0.285 + 87.5 + 0/4.25,0)</f>
        <v>216</v>
      </c>
      <c r="AX128" s="157"/>
      <c r="AY128" s="191" cm="1">
        <f t="array" aca="1" ref="AY128" ca="1">IF(TblConstr[[#This Row],[Hour]:[Hour]]&gt;12,OFFSET(TblConstr[[#This Row],[Hom]],-12,0),0)+OFFSET(TblConstr[[#This Row],[Tot Hom]],-1,0)-TblConstr[[#This Row],[Dest Hom]]</f>
        <v>40</v>
      </c>
      <c r="AZ128" s="192" cm="1">
        <f t="array" aca="1" ref="AZ128" ca="1">IF(TblConstr[[#This Row],[Hour]:[Hour]]&gt;12,OFFSET(TblConstr[[#This Row],[Alc]],-12,0),0)+OFFSET(TblConstr[[#This Row],[Tot Alc]],-1,0)-TblConstr[[#This Row],[Dest Alc]]</f>
        <v>275</v>
      </c>
      <c r="BA128" s="192" cm="1">
        <f t="array" aca="1" ref="BA128" ca="1">IF(TblConstr[[#This Row],[Hour]:[Hour]]&gt;12,OFFSET(TblConstr[[#This Row],[Far]],-12,0),0)+OFFSET(TblConstr[[#This Row],[Tot Farm]],-1,0)-TblConstr[[#This Row],[Dest Farm]]</f>
        <v>29</v>
      </c>
      <c r="BB128" s="192" cm="1">
        <f t="array" aca="1" ref="BB128" ca="1">IF(TblConstr[[#This Row],[Hour]:[Hour]]&gt;12,OFFSET(TblConstr[[#This Row],[Smi]],-12,0),0)+OFFSET(TblConstr[[#This Row],[Tot Smi]],-1,0)-TblConstr[[#This Row],[Dest Smi]]</f>
        <v>126</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25</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55</v>
      </c>
      <c r="BJ128" s="391" cm="1">
        <f t="array" aca="1" ref="BJ128" ca="1">IF(TblConstr[[#This Row],[Hour]:[Hour]]&gt;12,OFFSET(TblConstr[[#This Row],[Bar]],-12,0),0)+OFFSET(TblConstr[[#This Row],[Tot Bar]],-1,0)-TblConstr[[#This Row],[Dest Bar]]</f>
        <v>50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29</v>
      </c>
      <c r="BM128" s="395" cm="1">
        <f t="array" aca="1" ref="BM128" ca="1">IF(TblConstr[[#This Row],[Hour]:[Hour]]&gt;12,OFFSET(TblConstr[[#This Row],[Tem]],-12,0),0)+OFFSET(TblConstr[[#This Row],[Tot Tem]],-1,0)-TblConstr[[#This Row],[Dest Tem]]</f>
        <v>47</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24</v>
      </c>
      <c r="BR128" s="145"/>
      <c r="BS128" s="157"/>
      <c r="BT128" s="97">
        <f ca="1">TblConstr[[#This Row],[Land]]</f>
        <v>700</v>
      </c>
      <c r="BU128" s="162">
        <f ca="1">TblImps[[#This Row],[Time]]</f>
        <v>45434.916666666366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430</v>
      </c>
      <c r="DA128" s="97">
        <f t="shared" ca="1" si="31"/>
        <v>25</v>
      </c>
      <c r="DB128" s="45">
        <f t="shared" ca="1" si="32"/>
        <v>0</v>
      </c>
      <c r="DC128" s="97">
        <f t="shared" ca="1" si="33"/>
        <v>55</v>
      </c>
      <c r="DD128" s="97">
        <f t="shared" ca="1" si="34"/>
        <v>76</v>
      </c>
      <c r="DE128" s="45">
        <f t="shared" ca="1" si="35"/>
        <v>0</v>
      </c>
      <c r="DF128" s="97">
        <f t="shared" ca="1" si="36"/>
        <v>24</v>
      </c>
      <c r="DG128" s="97" cm="1">
        <f t="array" aca="1" ref="DG128" ca="1">INDEX(TblConstr[[Total Plain]:[Total Water]],ROW()-ROW(TblConstr[#Headers]),MATCH("Total "&amp;home_land,TblConstr[[#Headers],[Total Plain]:[Total Water]],0))+TblConstr[[#This Row],[Homes]]</f>
        <v>40</v>
      </c>
      <c r="DH128" s="45">
        <f t="shared" ca="1" si="22"/>
        <v>40</v>
      </c>
      <c r="DI128" s="45">
        <f t="shared" ca="1" si="19"/>
        <v>0</v>
      </c>
      <c r="DJ128" s="45">
        <f t="shared" ca="1" si="20"/>
        <v>0</v>
      </c>
    </row>
    <row r="129" spans="1:114" x14ac:dyDescent="0.2">
      <c r="A129" s="178">
        <f>TblRezone[[#This Row],[Hour]]</f>
        <v>126</v>
      </c>
      <c r="B129" s="179">
        <f ca="1">SUM(TblConstr[[#This Row],[Plain]:[Water]])</f>
        <v>0</v>
      </c>
      <c r="C129" s="180">
        <f ca="1">SUM(TblConstr[[#This Row],[Tot Hom]:[Tot Doc]])</f>
        <v>700</v>
      </c>
      <c r="D129" s="180">
        <f t="shared" si="21"/>
        <v>0</v>
      </c>
      <c r="E129" s="181"/>
      <c r="F129" s="62">
        <f ca="1">TblConstr[[#This Row],[Barren]]+TblConstr[[#This Row],[Buildings]]+TblConstr[[#This Row],[Incoming]]</f>
        <v>700</v>
      </c>
      <c r="G129" s="190">
        <f ca="1">OFFSET(TblConstr[[#This Row],[Plain]],-1,0)+TblConstr[[#This Row],[Ch_Plain]]</f>
        <v>0</v>
      </c>
      <c r="H129" s="185">
        <f ca="1">OFFSET(TblConstr[[#This Row],[Forest]],-1,0)+TblConstr[[#This Row],[Ch_Forest]]</f>
        <v>0</v>
      </c>
      <c r="I129" s="385">
        <f ca="1">OFFSET(TblConstr[[#This Row],[Mountain]],-1,0)+TblConstr[[#This Row],[Ch_Mountain]]</f>
        <v>0</v>
      </c>
      <c r="J129" s="389">
        <f ca="1">OFFSET(TblConstr[[#This Row],[Hill]],-1,0)+TblConstr[[#This Row],[Ch_Hill]]</f>
        <v>0</v>
      </c>
      <c r="K129" s="393">
        <f ca="1">OFFSET(TblConstr[[#This Row],[Swamp]],-1,0)+TblConstr[[#This Row],[Ch_Swamp]]</f>
        <v>0</v>
      </c>
      <c r="L129" s="188">
        <f ca="1">OFFSET(TblConstr[[#This Row],[Cavern]],-1,0)+TblConstr[[#This Row],[Ch_Cavern]]</f>
        <v>0</v>
      </c>
      <c r="M129" s="189">
        <f ca="1">OFFSET(TblConstr[[#This Row],[Water]],-1,0)+TblConstr[[#This Row],[Ch_Water]]</f>
        <v>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45434.95833333303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2006950</v>
      </c>
      <c r="AL129" s="97">
        <f ca="1">TblProd[[#This Row],[Lumber]]</f>
        <v>54707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9" s="97">
        <f ca="1">ROUNDDOWN( MAX(1 - MIN(facs_constr_factor*TblConstr[[#This Row],[Facs -DB]],facs_constr_max) + tech_1_11*TblTech[[#This Row],[11-1]] + tech_6_3_2*TblTech[[#This Row],[6-3]] + tech_5_2_3*TblTech[[#This Row],[5-2]], 1-global_constr_cap) * TblConstr[[#This Row],[RCPA Lumber]],0)</f>
        <v>216</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9" s="97">
        <f ca="1">ROUNDDOWN( MAX(1 - MIN(facs_constr_factor*TblConstr[[#This Row],[Facs DB]],facs_constr_max) + tech_1_11*TblTech[[#This Row],[1-11]] + tech_6_3_2*TblTech[[#This Row],[6-3]] + tech_5_2_3*TblTech[[#This Row],[5-2]], 1-global_constr_cap) * ROUND((TblConstr[[#This Row],[Land]]-250)*0.285 + 87.5 + 0/4.25,0),0)</f>
        <v>216</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1413</v>
      </c>
      <c r="AW129" s="97">
        <f ca="1">ROUND((TblConstr[[#This Row],[Land]]-250 - IF(TblExplore[[#This Row],[Land Bonus]]&lt;&gt;0,20,0))*0.285 + 87.5 + 0/4.25,0)</f>
        <v>216</v>
      </c>
      <c r="AX129" s="157"/>
      <c r="AY129" s="191" cm="1">
        <f t="array" aca="1" ref="AY129" ca="1">IF(TblConstr[[#This Row],[Hour]:[Hour]]&gt;12,OFFSET(TblConstr[[#This Row],[Hom]],-12,0),0)+OFFSET(TblConstr[[#This Row],[Tot Hom]],-1,0)-TblConstr[[#This Row],[Dest Hom]]</f>
        <v>40</v>
      </c>
      <c r="AZ129" s="192" cm="1">
        <f t="array" aca="1" ref="AZ129" ca="1">IF(TblConstr[[#This Row],[Hour]:[Hour]]&gt;12,OFFSET(TblConstr[[#This Row],[Alc]],-12,0),0)+OFFSET(TblConstr[[#This Row],[Tot Alc]],-1,0)-TblConstr[[#This Row],[Dest Alc]]</f>
        <v>275</v>
      </c>
      <c r="BA129" s="192" cm="1">
        <f t="array" aca="1" ref="BA129" ca="1">IF(TblConstr[[#This Row],[Hour]:[Hour]]&gt;12,OFFSET(TblConstr[[#This Row],[Far]],-12,0),0)+OFFSET(TblConstr[[#This Row],[Tot Farm]],-1,0)-TblConstr[[#This Row],[Dest Farm]]</f>
        <v>29</v>
      </c>
      <c r="BB129" s="192" cm="1">
        <f t="array" aca="1" ref="BB129" ca="1">IF(TblConstr[[#This Row],[Hour]:[Hour]]&gt;12,OFFSET(TblConstr[[#This Row],[Smi]],-12,0),0)+OFFSET(TblConstr[[#This Row],[Tot Smi]],-1,0)-TblConstr[[#This Row],[Dest Smi]]</f>
        <v>126</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25</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55</v>
      </c>
      <c r="BJ129" s="391" cm="1">
        <f t="array" aca="1" ref="BJ129" ca="1">IF(TblConstr[[#This Row],[Hour]:[Hour]]&gt;12,OFFSET(TblConstr[[#This Row],[Bar]],-12,0),0)+OFFSET(TblConstr[[#This Row],[Tot Bar]],-1,0)-TblConstr[[#This Row],[Dest Bar]]</f>
        <v>50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29</v>
      </c>
      <c r="BM129" s="395" cm="1">
        <f t="array" aca="1" ref="BM129" ca="1">IF(TblConstr[[#This Row],[Hour]:[Hour]]&gt;12,OFFSET(TblConstr[[#This Row],[Tem]],-12,0),0)+OFFSET(TblConstr[[#This Row],[Tot Tem]],-1,0)-TblConstr[[#This Row],[Dest Tem]]</f>
        <v>47</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24</v>
      </c>
      <c r="BR129" s="145"/>
      <c r="BS129" s="157"/>
      <c r="BT129" s="97">
        <f ca="1">TblConstr[[#This Row],[Land]]</f>
        <v>700</v>
      </c>
      <c r="BU129" s="162">
        <f ca="1">TblImps[[#This Row],[Time]]</f>
        <v>45434.95833333303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430</v>
      </c>
      <c r="DA129" s="97">
        <f t="shared" ca="1" si="31"/>
        <v>25</v>
      </c>
      <c r="DB129" s="45">
        <f t="shared" ca="1" si="32"/>
        <v>0</v>
      </c>
      <c r="DC129" s="97">
        <f t="shared" ca="1" si="33"/>
        <v>55</v>
      </c>
      <c r="DD129" s="97">
        <f t="shared" ca="1" si="34"/>
        <v>76</v>
      </c>
      <c r="DE129" s="45">
        <f t="shared" ca="1" si="35"/>
        <v>0</v>
      </c>
      <c r="DF129" s="97">
        <f t="shared" ca="1" si="36"/>
        <v>24</v>
      </c>
      <c r="DG129" s="97" cm="1">
        <f t="array" aca="1" ref="DG129" ca="1">INDEX(TblConstr[[Total Plain]:[Total Water]],ROW()-ROW(TblConstr[#Headers]),MATCH("Total "&amp;home_land,TblConstr[[#Headers],[Total Plain]:[Total Water]],0))+TblConstr[[#This Row],[Homes]]</f>
        <v>40</v>
      </c>
      <c r="DH129" s="45">
        <f t="shared" ca="1" si="22"/>
        <v>40</v>
      </c>
      <c r="DI129" s="45">
        <f t="shared" ca="1" si="19"/>
        <v>0</v>
      </c>
      <c r="DJ129" s="45">
        <f t="shared" ca="1" si="20"/>
        <v>0</v>
      </c>
    </row>
    <row r="130" spans="1:114" x14ac:dyDescent="0.2">
      <c r="A130" s="178">
        <f>TblRezone[[#This Row],[Hour]]</f>
        <v>127</v>
      </c>
      <c r="B130" s="179">
        <f ca="1">SUM(TblConstr[[#This Row],[Plain]:[Water]])</f>
        <v>0</v>
      </c>
      <c r="C130" s="180">
        <f ca="1">SUM(TblConstr[[#This Row],[Tot Hom]:[Tot Doc]])</f>
        <v>700</v>
      </c>
      <c r="D130" s="180">
        <f t="shared" si="21"/>
        <v>0</v>
      </c>
      <c r="E130" s="181"/>
      <c r="F130" s="62">
        <f ca="1">TblConstr[[#This Row],[Barren]]+TblConstr[[#This Row],[Buildings]]+TblConstr[[#This Row],[Incoming]]</f>
        <v>700</v>
      </c>
      <c r="G130" s="190">
        <f ca="1">OFFSET(TblConstr[[#This Row],[Plain]],-1,0)+TblConstr[[#This Row],[Ch_Plain]]</f>
        <v>0</v>
      </c>
      <c r="H130" s="185">
        <f ca="1">OFFSET(TblConstr[[#This Row],[Forest]],-1,0)+TblConstr[[#This Row],[Ch_Forest]]</f>
        <v>0</v>
      </c>
      <c r="I130" s="385">
        <f ca="1">OFFSET(TblConstr[[#This Row],[Mountain]],-1,0)+TblConstr[[#This Row],[Ch_Mountain]]</f>
        <v>0</v>
      </c>
      <c r="J130" s="389">
        <f ca="1">OFFSET(TblConstr[[#This Row],[Hill]],-1,0)+TblConstr[[#This Row],[Ch_Hill]]</f>
        <v>0</v>
      </c>
      <c r="K130" s="393">
        <f ca="1">OFFSET(TblConstr[[#This Row],[Swamp]],-1,0)+TblConstr[[#This Row],[Ch_Swamp]]</f>
        <v>0</v>
      </c>
      <c r="L130" s="188">
        <f ca="1">OFFSET(TblConstr[[#This Row],[Cavern]],-1,0)+TblConstr[[#This Row],[Ch_Cavern]]</f>
        <v>0</v>
      </c>
      <c r="M130" s="189">
        <f ca="1">OFFSET(TblConstr[[#This Row],[Water]],-1,0)+TblConstr[[#This Row],[Ch_Water]]</f>
        <v>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45434.999999999694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2035198</v>
      </c>
      <c r="AL130" s="97">
        <f ca="1">TblProd[[#This Row],[Lumber]]</f>
        <v>55285</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0" s="97">
        <f ca="1">ROUNDDOWN( MAX(1 - MIN(facs_constr_factor*TblConstr[[#This Row],[Facs -DB]],facs_constr_max) + tech_1_11*TblTech[[#This Row],[11-1]] + tech_6_3_2*TblTech[[#This Row],[6-3]] + tech_5_2_3*TblTech[[#This Row],[5-2]], 1-global_constr_cap) * TblConstr[[#This Row],[RCPA Lumber]],0)</f>
        <v>216</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0" s="97">
        <f ca="1">ROUNDDOWN( MAX(1 - MIN(facs_constr_factor*TblConstr[[#This Row],[Facs DB]],facs_constr_max) + tech_1_11*TblTech[[#This Row],[1-11]] + tech_6_3_2*TblTech[[#This Row],[6-3]] + tech_5_2_3*TblTech[[#This Row],[5-2]], 1-global_constr_cap) * ROUND((TblConstr[[#This Row],[Land]]-250)*0.285 + 87.5 + 0/4.25,0),0)</f>
        <v>216</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1413</v>
      </c>
      <c r="AW130" s="97">
        <f ca="1">ROUND((TblConstr[[#This Row],[Land]]-250 - IF(TblExplore[[#This Row],[Land Bonus]]&lt;&gt;0,20,0))*0.285 + 87.5 + 0/4.25,0)</f>
        <v>216</v>
      </c>
      <c r="AX130" s="157"/>
      <c r="AY130" s="191" cm="1">
        <f t="array" aca="1" ref="AY130" ca="1">IF(TblConstr[[#This Row],[Hour]:[Hour]]&gt;12,OFFSET(TblConstr[[#This Row],[Hom]],-12,0),0)+OFFSET(TblConstr[[#This Row],[Tot Hom]],-1,0)-TblConstr[[#This Row],[Dest Hom]]</f>
        <v>40</v>
      </c>
      <c r="AZ130" s="192" cm="1">
        <f t="array" aca="1" ref="AZ130" ca="1">IF(TblConstr[[#This Row],[Hour]:[Hour]]&gt;12,OFFSET(TblConstr[[#This Row],[Alc]],-12,0),0)+OFFSET(TblConstr[[#This Row],[Tot Alc]],-1,0)-TblConstr[[#This Row],[Dest Alc]]</f>
        <v>275</v>
      </c>
      <c r="BA130" s="192" cm="1">
        <f t="array" aca="1" ref="BA130" ca="1">IF(TblConstr[[#This Row],[Hour]:[Hour]]&gt;12,OFFSET(TblConstr[[#This Row],[Far]],-12,0),0)+OFFSET(TblConstr[[#This Row],[Tot Farm]],-1,0)-TblConstr[[#This Row],[Dest Farm]]</f>
        <v>29</v>
      </c>
      <c r="BB130" s="192" cm="1">
        <f t="array" aca="1" ref="BB130" ca="1">IF(TblConstr[[#This Row],[Hour]:[Hour]]&gt;12,OFFSET(TblConstr[[#This Row],[Smi]],-12,0),0)+OFFSET(TblConstr[[#This Row],[Tot Smi]],-1,0)-TblConstr[[#This Row],[Dest Smi]]</f>
        <v>126</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25</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55</v>
      </c>
      <c r="BJ130" s="391" cm="1">
        <f t="array" aca="1" ref="BJ130" ca="1">IF(TblConstr[[#This Row],[Hour]:[Hour]]&gt;12,OFFSET(TblConstr[[#This Row],[Bar]],-12,0),0)+OFFSET(TblConstr[[#This Row],[Tot Bar]],-1,0)-TblConstr[[#This Row],[Dest Bar]]</f>
        <v>50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29</v>
      </c>
      <c r="BM130" s="395" cm="1">
        <f t="array" aca="1" ref="BM130" ca="1">IF(TblConstr[[#This Row],[Hour]:[Hour]]&gt;12,OFFSET(TblConstr[[#This Row],[Tem]],-12,0),0)+OFFSET(TblConstr[[#This Row],[Tot Tem]],-1,0)-TblConstr[[#This Row],[Dest Tem]]</f>
        <v>47</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24</v>
      </c>
      <c r="BR130" s="145"/>
      <c r="BS130" s="157"/>
      <c r="BT130" s="97">
        <f ca="1">TblConstr[[#This Row],[Land]]</f>
        <v>700</v>
      </c>
      <c r="BU130" s="162">
        <f ca="1">TblImps[[#This Row],[Time]]</f>
        <v>45434.999999999694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430</v>
      </c>
      <c r="DA130" s="97">
        <f t="shared" ca="1" si="31"/>
        <v>25</v>
      </c>
      <c r="DB130" s="45">
        <f t="shared" ca="1" si="32"/>
        <v>0</v>
      </c>
      <c r="DC130" s="97">
        <f t="shared" ca="1" si="33"/>
        <v>55</v>
      </c>
      <c r="DD130" s="97">
        <f t="shared" ca="1" si="34"/>
        <v>76</v>
      </c>
      <c r="DE130" s="45">
        <f t="shared" ca="1" si="35"/>
        <v>0</v>
      </c>
      <c r="DF130" s="97">
        <f t="shared" ca="1" si="36"/>
        <v>24</v>
      </c>
      <c r="DG130" s="97" cm="1">
        <f t="array" aca="1" ref="DG130" ca="1">INDEX(TblConstr[[Total Plain]:[Total Water]],ROW()-ROW(TblConstr[#Headers]),MATCH("Total "&amp;home_land,TblConstr[[#Headers],[Total Plain]:[Total Water]],0))+TblConstr[[#This Row],[Homes]]</f>
        <v>40</v>
      </c>
      <c r="DH130" s="45">
        <f t="shared" ca="1" si="22"/>
        <v>40</v>
      </c>
      <c r="DI130" s="45">
        <f t="shared" ca="1" si="19"/>
        <v>0</v>
      </c>
      <c r="DJ130" s="45">
        <f t="shared" ca="1" si="20"/>
        <v>0</v>
      </c>
    </row>
    <row r="131" spans="1:114" x14ac:dyDescent="0.2">
      <c r="A131" s="178">
        <f>TblRezone[[#This Row],[Hour]]</f>
        <v>128</v>
      </c>
      <c r="B131" s="179">
        <f ca="1">SUM(TblConstr[[#This Row],[Plain]:[Water]])</f>
        <v>0</v>
      </c>
      <c r="C131" s="180">
        <f ca="1">SUM(TblConstr[[#This Row],[Tot Hom]:[Tot Doc]])</f>
        <v>700</v>
      </c>
      <c r="D131" s="180">
        <f t="shared" si="21"/>
        <v>0</v>
      </c>
      <c r="E131" s="181"/>
      <c r="F131" s="62">
        <f ca="1">TblConstr[[#This Row],[Barren]]+TblConstr[[#This Row],[Buildings]]+TblConstr[[#This Row],[Incoming]]</f>
        <v>700</v>
      </c>
      <c r="G131" s="190">
        <f ca="1">OFFSET(TblConstr[[#This Row],[Plain]],-1,0)+TblConstr[[#This Row],[Ch_Plain]]</f>
        <v>0</v>
      </c>
      <c r="H131" s="185">
        <f ca="1">OFFSET(TblConstr[[#This Row],[Forest]],-1,0)+TblConstr[[#This Row],[Ch_Forest]]</f>
        <v>0</v>
      </c>
      <c r="I131" s="385">
        <f ca="1">OFFSET(TblConstr[[#This Row],[Mountain]],-1,0)+TblConstr[[#This Row],[Ch_Mountain]]</f>
        <v>0</v>
      </c>
      <c r="J131" s="389">
        <f ca="1">OFFSET(TblConstr[[#This Row],[Hill]],-1,0)+TblConstr[[#This Row],[Ch_Hill]]</f>
        <v>0</v>
      </c>
      <c r="K131" s="393">
        <f ca="1">OFFSET(TblConstr[[#This Row],[Swamp]],-1,0)+TblConstr[[#This Row],[Ch_Swamp]]</f>
        <v>0</v>
      </c>
      <c r="L131" s="188">
        <f ca="1">OFFSET(TblConstr[[#This Row],[Cavern]],-1,0)+TblConstr[[#This Row],[Ch_Cavern]]</f>
        <v>0</v>
      </c>
      <c r="M131" s="189">
        <f ca="1">OFFSET(TblConstr[[#This Row],[Water]],-1,0)+TblConstr[[#This Row],[Ch_Water]]</f>
        <v>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45435.041666666359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2063287</v>
      </c>
      <c r="AL131" s="97">
        <f ca="1">TblProd[[#This Row],[Lumber]]</f>
        <v>55857</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1" s="97">
        <f ca="1">ROUNDDOWN( MAX(1 - MIN(facs_constr_factor*TblConstr[[#This Row],[Facs -DB]],facs_constr_max) + tech_1_11*TblTech[[#This Row],[11-1]] + tech_6_3_2*TblTech[[#This Row],[6-3]] + tech_5_2_3*TblTech[[#This Row],[5-2]], 1-global_constr_cap) * TblConstr[[#This Row],[RCPA Lumber]],0)</f>
        <v>216</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1" s="97">
        <f ca="1">ROUNDDOWN( MAX(1 - MIN(facs_constr_factor*TblConstr[[#This Row],[Facs DB]],facs_constr_max) + tech_1_11*TblTech[[#This Row],[1-11]] + tech_6_3_2*TblTech[[#This Row],[6-3]] + tech_5_2_3*TblTech[[#This Row],[5-2]], 1-global_constr_cap) * ROUND((TblConstr[[#This Row],[Land]]-250)*0.285 + 87.5 + 0/4.25,0),0)</f>
        <v>216</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1413</v>
      </c>
      <c r="AW131" s="97">
        <f ca="1">ROUND((TblConstr[[#This Row],[Land]]-250 - IF(TblExplore[[#This Row],[Land Bonus]]&lt;&gt;0,20,0))*0.285 + 87.5 + 0/4.25,0)</f>
        <v>216</v>
      </c>
      <c r="AX131" s="157"/>
      <c r="AY131" s="191" cm="1">
        <f t="array" aca="1" ref="AY131" ca="1">IF(TblConstr[[#This Row],[Hour]:[Hour]]&gt;12,OFFSET(TblConstr[[#This Row],[Hom]],-12,0),0)+OFFSET(TblConstr[[#This Row],[Tot Hom]],-1,0)-TblConstr[[#This Row],[Dest Hom]]</f>
        <v>40</v>
      </c>
      <c r="AZ131" s="192" cm="1">
        <f t="array" aca="1" ref="AZ131" ca="1">IF(TblConstr[[#This Row],[Hour]:[Hour]]&gt;12,OFFSET(TblConstr[[#This Row],[Alc]],-12,0),0)+OFFSET(TblConstr[[#This Row],[Tot Alc]],-1,0)-TblConstr[[#This Row],[Dest Alc]]</f>
        <v>275</v>
      </c>
      <c r="BA131" s="192" cm="1">
        <f t="array" aca="1" ref="BA131" ca="1">IF(TblConstr[[#This Row],[Hour]:[Hour]]&gt;12,OFFSET(TblConstr[[#This Row],[Far]],-12,0),0)+OFFSET(TblConstr[[#This Row],[Tot Farm]],-1,0)-TblConstr[[#This Row],[Dest Farm]]</f>
        <v>29</v>
      </c>
      <c r="BB131" s="192" cm="1">
        <f t="array" aca="1" ref="BB131" ca="1">IF(TblConstr[[#This Row],[Hour]:[Hour]]&gt;12,OFFSET(TblConstr[[#This Row],[Smi]],-12,0),0)+OFFSET(TblConstr[[#This Row],[Tot Smi]],-1,0)-TblConstr[[#This Row],[Dest Smi]]</f>
        <v>126</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25</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55</v>
      </c>
      <c r="BJ131" s="391" cm="1">
        <f t="array" aca="1" ref="BJ131" ca="1">IF(TblConstr[[#This Row],[Hour]:[Hour]]&gt;12,OFFSET(TblConstr[[#This Row],[Bar]],-12,0),0)+OFFSET(TblConstr[[#This Row],[Tot Bar]],-1,0)-TblConstr[[#This Row],[Dest Bar]]</f>
        <v>50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29</v>
      </c>
      <c r="BM131" s="395" cm="1">
        <f t="array" aca="1" ref="BM131" ca="1">IF(TblConstr[[#This Row],[Hour]:[Hour]]&gt;12,OFFSET(TblConstr[[#This Row],[Tem]],-12,0),0)+OFFSET(TblConstr[[#This Row],[Tot Tem]],-1,0)-TblConstr[[#This Row],[Dest Tem]]</f>
        <v>47</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24</v>
      </c>
      <c r="BR131" s="145"/>
      <c r="BS131" s="157"/>
      <c r="BT131" s="97">
        <f ca="1">TblConstr[[#This Row],[Land]]</f>
        <v>700</v>
      </c>
      <c r="BU131" s="162">
        <f ca="1">TblImps[[#This Row],[Time]]</f>
        <v>45435.041666666359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430</v>
      </c>
      <c r="DA131" s="97">
        <f t="shared" ca="1" si="31"/>
        <v>25</v>
      </c>
      <c r="DB131" s="45">
        <f t="shared" ca="1" si="32"/>
        <v>0</v>
      </c>
      <c r="DC131" s="97">
        <f t="shared" ca="1" si="33"/>
        <v>55</v>
      </c>
      <c r="DD131" s="97">
        <f t="shared" ca="1" si="34"/>
        <v>76</v>
      </c>
      <c r="DE131" s="45">
        <f t="shared" ca="1" si="35"/>
        <v>0</v>
      </c>
      <c r="DF131" s="97">
        <f t="shared" ca="1" si="36"/>
        <v>24</v>
      </c>
      <c r="DG131" s="97" cm="1">
        <f t="array" aca="1" ref="DG131" ca="1">INDEX(TblConstr[[Total Plain]:[Total Water]],ROW()-ROW(TblConstr[#Headers]),MATCH("Total "&amp;home_land,TblConstr[[#Headers],[Total Plain]:[Total Water]],0))+TblConstr[[#This Row],[Homes]]</f>
        <v>40</v>
      </c>
      <c r="DH131" s="45">
        <f t="shared" ca="1" si="22"/>
        <v>40</v>
      </c>
      <c r="DI131" s="45">
        <f t="shared" ca="1" si="19"/>
        <v>0</v>
      </c>
      <c r="DJ131" s="45">
        <f t="shared" ca="1" si="20"/>
        <v>0</v>
      </c>
    </row>
    <row r="132" spans="1:114" x14ac:dyDescent="0.2">
      <c r="A132" s="178">
        <f>TblRezone[[#This Row],[Hour]]</f>
        <v>129</v>
      </c>
      <c r="B132" s="179">
        <f ca="1">SUM(TblConstr[[#This Row],[Plain]:[Water]])</f>
        <v>0</v>
      </c>
      <c r="C132" s="180">
        <f ca="1">SUM(TblConstr[[#This Row],[Tot Hom]:[Tot Doc]])</f>
        <v>700</v>
      </c>
      <c r="D132" s="180">
        <f>SUM(O121:AG132)</f>
        <v>0</v>
      </c>
      <c r="E132" s="181"/>
      <c r="F132" s="62">
        <f ca="1">TblConstr[[#This Row],[Barren]]+TblConstr[[#This Row],[Buildings]]+TblConstr[[#This Row],[Incoming]]</f>
        <v>700</v>
      </c>
      <c r="G132" s="190">
        <f ca="1">OFFSET(TblConstr[[#This Row],[Plain]],-1,0)+TblConstr[[#This Row],[Ch_Plain]]</f>
        <v>0</v>
      </c>
      <c r="H132" s="185">
        <f ca="1">OFFSET(TblConstr[[#This Row],[Forest]],-1,0)+TblConstr[[#This Row],[Ch_Forest]]</f>
        <v>0</v>
      </c>
      <c r="I132" s="385">
        <f ca="1">OFFSET(TblConstr[[#This Row],[Mountain]],-1,0)+TblConstr[[#This Row],[Ch_Mountain]]</f>
        <v>0</v>
      </c>
      <c r="J132" s="389">
        <f ca="1">OFFSET(TblConstr[[#This Row],[Hill]],-1,0)+TblConstr[[#This Row],[Ch_Hill]]</f>
        <v>0</v>
      </c>
      <c r="K132" s="393">
        <f ca="1">OFFSET(TblConstr[[#This Row],[Swamp]],-1,0)+TblConstr[[#This Row],[Ch_Swamp]]</f>
        <v>0</v>
      </c>
      <c r="L132" s="188">
        <f ca="1">OFFSET(TblConstr[[#This Row],[Cavern]],-1,0)+TblConstr[[#This Row],[Ch_Cavern]]</f>
        <v>0</v>
      </c>
      <c r="M132" s="189">
        <f ca="1">OFFSET(TblConstr[[#This Row],[Water]],-1,0)+TblConstr[[#This Row],[Ch_Water]]</f>
        <v>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45435.083333333023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2091219</v>
      </c>
      <c r="AL132" s="97">
        <f ca="1">TblProd[[#This Row],[Lumber]]</f>
        <v>56423</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2" s="97">
        <f ca="1">ROUNDDOWN( MAX(1 - MIN(facs_constr_factor*TblConstr[[#This Row],[Facs -DB]],facs_constr_max) + tech_1_11*TblTech[[#This Row],[11-1]] + tech_6_3_2*TblTech[[#This Row],[6-3]] + tech_5_2_3*TblTech[[#This Row],[5-2]], 1-global_constr_cap) * TblConstr[[#This Row],[RCPA Lumber]],0)</f>
        <v>216</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2" s="97">
        <f ca="1">ROUNDDOWN( MAX(1 - MIN(facs_constr_factor*TblConstr[[#This Row],[Facs DB]],facs_constr_max) + tech_1_11*TblTech[[#This Row],[1-11]] + tech_6_3_2*TblTech[[#This Row],[6-3]] + tech_5_2_3*TblTech[[#This Row],[5-2]], 1-global_constr_cap) * ROUND((TblConstr[[#This Row],[Land]]-250)*0.285 + 87.5 + 0/4.25,0),0)</f>
        <v>216</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1413</v>
      </c>
      <c r="AW132" s="97">
        <f ca="1">ROUND((TblConstr[[#This Row],[Land]]-250 - IF(TblExplore[[#This Row],[Land Bonus]]&lt;&gt;0,20,0))*0.285 + 87.5 + 0/4.25,0)</f>
        <v>216</v>
      </c>
      <c r="AX132" s="157"/>
      <c r="AY132" s="191" cm="1">
        <f t="array" aca="1" ref="AY132" ca="1">IF(TblConstr[[#This Row],[Hour]:[Hour]]&gt;12,OFFSET(TblConstr[[#This Row],[Hom]],-12,0),0)+OFFSET(TblConstr[[#This Row],[Tot Hom]],-1,0)-TblConstr[[#This Row],[Dest Hom]]</f>
        <v>40</v>
      </c>
      <c r="AZ132" s="192" cm="1">
        <f t="array" aca="1" ref="AZ132" ca="1">IF(TblConstr[[#This Row],[Hour]:[Hour]]&gt;12,OFFSET(TblConstr[[#This Row],[Alc]],-12,0),0)+OFFSET(TblConstr[[#This Row],[Tot Alc]],-1,0)-TblConstr[[#This Row],[Dest Alc]]</f>
        <v>275</v>
      </c>
      <c r="BA132" s="192" cm="1">
        <f t="array" aca="1" ref="BA132" ca="1">IF(TblConstr[[#This Row],[Hour]:[Hour]]&gt;12,OFFSET(TblConstr[[#This Row],[Far]],-12,0),0)+OFFSET(TblConstr[[#This Row],[Tot Farm]],-1,0)-TblConstr[[#This Row],[Dest Farm]]</f>
        <v>29</v>
      </c>
      <c r="BB132" s="192" cm="1">
        <f t="array" aca="1" ref="BB132" ca="1">IF(TblConstr[[#This Row],[Hour]:[Hour]]&gt;12,OFFSET(TblConstr[[#This Row],[Smi]],-12,0),0)+OFFSET(TblConstr[[#This Row],[Tot Smi]],-1,0)-TblConstr[[#This Row],[Dest Smi]]</f>
        <v>126</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25</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55</v>
      </c>
      <c r="BJ132" s="391" cm="1">
        <f t="array" aca="1" ref="BJ132" ca="1">IF(TblConstr[[#This Row],[Hour]:[Hour]]&gt;12,OFFSET(TblConstr[[#This Row],[Bar]],-12,0),0)+OFFSET(TblConstr[[#This Row],[Tot Bar]],-1,0)-TblConstr[[#This Row],[Dest Bar]]</f>
        <v>50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29</v>
      </c>
      <c r="BM132" s="395" cm="1">
        <f t="array" aca="1" ref="BM132" ca="1">IF(TblConstr[[#This Row],[Hour]:[Hour]]&gt;12,OFFSET(TblConstr[[#This Row],[Tem]],-12,0),0)+OFFSET(TblConstr[[#This Row],[Tot Tem]],-1,0)-TblConstr[[#This Row],[Dest Tem]]</f>
        <v>47</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24</v>
      </c>
      <c r="BR132" s="145"/>
      <c r="BS132" s="157"/>
      <c r="BT132" s="97">
        <f ca="1">TblConstr[[#This Row],[Land]]</f>
        <v>700</v>
      </c>
      <c r="BU132" s="162">
        <f ca="1">TblImps[[#This Row],[Time]]</f>
        <v>45435.083333333023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430</v>
      </c>
      <c r="DA132" s="97">
        <f ca="1">H132+SUM(T121:U132)+SUM(BD132:BE132)</f>
        <v>25</v>
      </c>
      <c r="DB132" s="45">
        <f ca="1">I132+SUM(V121:W132)+SUM(BF132:BG132)</f>
        <v>0</v>
      </c>
      <c r="DC132" s="97">
        <f ca="1">J132+SUM(X121:Y132)+SUM(BH132:BI132)</f>
        <v>55</v>
      </c>
      <c r="DD132" s="97">
        <f ca="1">K132+SUM(AB121:AD132)+SUM(BL132:BN132)</f>
        <v>76</v>
      </c>
      <c r="DE132" s="45">
        <f ca="1">L132+SUM(AE121:AE132)+BO132</f>
        <v>0</v>
      </c>
      <c r="DF132" s="97">
        <f ca="1">M132+SUM(AG121:AG132)+BQ132</f>
        <v>24</v>
      </c>
      <c r="DG132" s="97" cm="1">
        <f t="array" aca="1" ref="DG132" ca="1">INDEX(TblConstr[[Total Plain]:[Total Water]],ROW()-ROW(TblConstr[#Headers]),MATCH("Total "&amp;home_land,TblConstr[[#Headers],[Total Plain]:[Total Water]],0))+TblConstr[[#This Row],[Homes]]</f>
        <v>40</v>
      </c>
      <c r="DH132" s="45">
        <f ca="1">SUM(O121:O132)+AY132</f>
        <v>40</v>
      </c>
      <c r="DI132" s="45">
        <f ca="1">MAX(BA132-BA131,0)</f>
        <v>0</v>
      </c>
      <c r="DJ132" s="45">
        <f ca="1">MAX(BQ132-BQ131,0)</f>
        <v>0</v>
      </c>
    </row>
    <row r="133" spans="1:114" x14ac:dyDescent="0.2">
      <c r="A133" s="178">
        <f>TblRezone[[#This Row],[Hour]]</f>
        <v>130</v>
      </c>
      <c r="B133" s="179">
        <f ca="1">SUM(TblConstr[[#This Row],[Plain]:[Water]])</f>
        <v>0</v>
      </c>
      <c r="C133" s="180">
        <f ca="1">SUM(TblConstr[[#This Row],[Tot Hom]:[Tot Doc]])</f>
        <v>700</v>
      </c>
      <c r="D133" s="180">
        <f>SUM(O122:AG133)</f>
        <v>0</v>
      </c>
      <c r="E133" s="181"/>
      <c r="F133" s="62">
        <f ca="1">TblConstr[[#This Row],[Barren]]+TblConstr[[#This Row],[Buildings]]+TblConstr[[#This Row],[Incoming]]</f>
        <v>700</v>
      </c>
      <c r="G133" s="190">
        <f ca="1">OFFSET(TblConstr[[#This Row],[Plain]],-1,0)+TblConstr[[#This Row],[Ch_Plain]]</f>
        <v>0</v>
      </c>
      <c r="H133" s="185">
        <f ca="1">OFFSET(TblConstr[[#This Row],[Forest]],-1,0)+TblConstr[[#This Row],[Ch_Forest]]</f>
        <v>0</v>
      </c>
      <c r="I133" s="385">
        <f ca="1">OFFSET(TblConstr[[#This Row],[Mountain]],-1,0)+TblConstr[[#This Row],[Ch_Mountain]]</f>
        <v>0</v>
      </c>
      <c r="J133" s="389">
        <f ca="1">OFFSET(TblConstr[[#This Row],[Hill]],-1,0)+TblConstr[[#This Row],[Ch_Hill]]</f>
        <v>0</v>
      </c>
      <c r="K133" s="393">
        <f ca="1">OFFSET(TblConstr[[#This Row],[Swamp]],-1,0)+TblConstr[[#This Row],[Ch_Swamp]]</f>
        <v>0</v>
      </c>
      <c r="L133" s="188">
        <f ca="1">OFFSET(TblConstr[[#This Row],[Cavern]],-1,0)+TblConstr[[#This Row],[Ch_Cavern]]</f>
        <v>0</v>
      </c>
      <c r="M133" s="189">
        <f ca="1">OFFSET(TblConstr[[#This Row],[Water]],-1,0)+TblConstr[[#This Row],[Ch_Water]]</f>
        <v>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45435.124999999687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2118994</v>
      </c>
      <c r="AL133" s="97">
        <f ca="1">TblProd[[#This Row],[Lumber]]</f>
        <v>56984</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3" s="97">
        <f ca="1">ROUNDDOWN( MAX(1 - MIN(facs_constr_factor*TblConstr[[#This Row],[Facs -DB]],facs_constr_max) + tech_1_11*TblTech[[#This Row],[11-1]] + tech_6_3_2*TblTech[[#This Row],[6-3]] + tech_5_2_3*TblTech[[#This Row],[5-2]], 1-global_constr_cap) * TblConstr[[#This Row],[RCPA Lumber]],0)</f>
        <v>216</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3" s="97">
        <f ca="1">ROUNDDOWN( MAX(1 - MIN(facs_constr_factor*TblConstr[[#This Row],[Facs DB]],facs_constr_max) + tech_1_11*TblTech[[#This Row],[1-11]] + tech_6_3_2*TblTech[[#This Row],[6-3]] + tech_5_2_3*TblTech[[#This Row],[5-2]], 1-global_constr_cap) * ROUND((TblConstr[[#This Row],[Land]]-250)*0.285 + 87.5 + 0/4.25,0),0)</f>
        <v>216</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1413</v>
      </c>
      <c r="AW133" s="97">
        <f ca="1">ROUND((TblConstr[[#This Row],[Land]]-250 - IF(TblExplore[[#This Row],[Land Bonus]]&lt;&gt;0,20,0))*0.285 + 87.5 + 0/4.25,0)</f>
        <v>216</v>
      </c>
      <c r="AX133" s="157"/>
      <c r="AY133" s="191" cm="1">
        <f t="array" aca="1" ref="AY133" ca="1">IF(TblConstr[[#This Row],[Hour]:[Hour]]&gt;12,OFFSET(TblConstr[[#This Row],[Hom]],-12,0),0)+OFFSET(TblConstr[[#This Row],[Tot Hom]],-1,0)-TblConstr[[#This Row],[Dest Hom]]</f>
        <v>40</v>
      </c>
      <c r="AZ133" s="192" cm="1">
        <f t="array" aca="1" ref="AZ133" ca="1">IF(TblConstr[[#This Row],[Hour]:[Hour]]&gt;12,OFFSET(TblConstr[[#This Row],[Alc]],-12,0),0)+OFFSET(TblConstr[[#This Row],[Tot Alc]],-1,0)-TblConstr[[#This Row],[Dest Alc]]</f>
        <v>275</v>
      </c>
      <c r="BA133" s="192" cm="1">
        <f t="array" aca="1" ref="BA133" ca="1">IF(TblConstr[[#This Row],[Hour]:[Hour]]&gt;12,OFFSET(TblConstr[[#This Row],[Far]],-12,0),0)+OFFSET(TblConstr[[#This Row],[Tot Farm]],-1,0)-TblConstr[[#This Row],[Dest Farm]]</f>
        <v>29</v>
      </c>
      <c r="BB133" s="192" cm="1">
        <f t="array" aca="1" ref="BB133" ca="1">IF(TblConstr[[#This Row],[Hour]:[Hour]]&gt;12,OFFSET(TblConstr[[#This Row],[Smi]],-12,0),0)+OFFSET(TblConstr[[#This Row],[Tot Smi]],-1,0)-TblConstr[[#This Row],[Dest Smi]]</f>
        <v>126</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25</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55</v>
      </c>
      <c r="BJ133" s="391" cm="1">
        <f t="array" aca="1" ref="BJ133" ca="1">IF(TblConstr[[#This Row],[Hour]:[Hour]]&gt;12,OFFSET(TblConstr[[#This Row],[Bar]],-12,0),0)+OFFSET(TblConstr[[#This Row],[Tot Bar]],-1,0)-TblConstr[[#This Row],[Dest Bar]]</f>
        <v>50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29</v>
      </c>
      <c r="BM133" s="395" cm="1">
        <f t="array" aca="1" ref="BM133" ca="1">IF(TblConstr[[#This Row],[Hour]:[Hour]]&gt;12,OFFSET(TblConstr[[#This Row],[Tem]],-12,0),0)+OFFSET(TblConstr[[#This Row],[Tot Tem]],-1,0)-TblConstr[[#This Row],[Dest Tem]]</f>
        <v>47</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24</v>
      </c>
      <c r="BR133" s="145"/>
      <c r="BS133" s="157"/>
      <c r="BT133" s="97">
        <f ca="1">TblConstr[[#This Row],[Land]]</f>
        <v>700</v>
      </c>
      <c r="BU133" s="162">
        <f ca="1">TblImps[[#This Row],[Time]]</f>
        <v>45435.124999999687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430</v>
      </c>
      <c r="DA133" s="97">
        <f ca="1">H133+SUM(T122:U133)+SUM(BD133:BE133)</f>
        <v>25</v>
      </c>
      <c r="DB133" s="45">
        <f ca="1">I133+SUM(V122:W133)+SUM(BF133:BG133)</f>
        <v>0</v>
      </c>
      <c r="DC133" s="97">
        <f ca="1">J133+SUM(X122:Y133)+SUM(BH133:BI133)</f>
        <v>55</v>
      </c>
      <c r="DD133" s="97">
        <f ca="1">K133+SUM(AB122:AD133)+SUM(BL133:BN133)</f>
        <v>76</v>
      </c>
      <c r="DE133" s="45">
        <f ca="1">L133+SUM(AE122:AE133)+BO133</f>
        <v>0</v>
      </c>
      <c r="DF133" s="97">
        <f ca="1">M133+SUM(AG122:AG133)+BQ133</f>
        <v>24</v>
      </c>
      <c r="DG133" s="97" cm="1">
        <f t="array" aca="1" ref="DG133" ca="1">INDEX(TblConstr[[Total Plain]:[Total Water]],ROW()-ROW(TblConstr[#Headers]),MATCH("Total "&amp;home_land,TblConstr[[#Headers],[Total Plain]:[Total Water]],0))+TblConstr[[#This Row],[Homes]]</f>
        <v>40</v>
      </c>
      <c r="DH133" s="45">
        <f ca="1">SUM(O122:O133)+AY133</f>
        <v>40</v>
      </c>
      <c r="DI133" s="45">
        <f t="shared" ca="1" si="19"/>
        <v>0</v>
      </c>
      <c r="DJ133" s="45">
        <f t="shared" ca="1" si="20"/>
        <v>0</v>
      </c>
    </row>
    <row r="134" spans="1:114" x14ac:dyDescent="0.2">
      <c r="A134" s="178">
        <f>TblRezone[[#This Row],[Hour]]</f>
        <v>131</v>
      </c>
      <c r="B134" s="179">
        <f ca="1">SUM(TblConstr[[#This Row],[Plain]:[Water]])</f>
        <v>0</v>
      </c>
      <c r="C134" s="180">
        <f ca="1">SUM(TblConstr[[#This Row],[Tot Hom]:[Tot Doc]])</f>
        <v>700</v>
      </c>
      <c r="D134" s="180">
        <f>SUM(O123:AG134)</f>
        <v>0</v>
      </c>
      <c r="E134" s="181"/>
      <c r="F134" s="62">
        <f ca="1">TblConstr[[#This Row],[Barren]]+TblConstr[[#This Row],[Buildings]]+TblConstr[[#This Row],[Incoming]]</f>
        <v>700</v>
      </c>
      <c r="G134" s="190">
        <f ca="1">OFFSET(TblConstr[[#This Row],[Plain]],-1,0)+TblConstr[[#This Row],[Ch_Plain]]</f>
        <v>0</v>
      </c>
      <c r="H134" s="185">
        <f ca="1">OFFSET(TblConstr[[#This Row],[Forest]],-1,0)+TblConstr[[#This Row],[Ch_Forest]]</f>
        <v>0</v>
      </c>
      <c r="I134" s="385">
        <f ca="1">OFFSET(TblConstr[[#This Row],[Mountain]],-1,0)+TblConstr[[#This Row],[Ch_Mountain]]</f>
        <v>0</v>
      </c>
      <c r="J134" s="389">
        <f ca="1">OFFSET(TblConstr[[#This Row],[Hill]],-1,0)+TblConstr[[#This Row],[Ch_Hill]]</f>
        <v>0</v>
      </c>
      <c r="K134" s="393">
        <f ca="1">OFFSET(TblConstr[[#This Row],[Swamp]],-1,0)+TblConstr[[#This Row],[Ch_Swamp]]</f>
        <v>0</v>
      </c>
      <c r="L134" s="188">
        <f ca="1">OFFSET(TblConstr[[#This Row],[Cavern]],-1,0)+TblConstr[[#This Row],[Ch_Cavern]]</f>
        <v>0</v>
      </c>
      <c r="M134" s="189">
        <f ca="1">OFFSET(TblConstr[[#This Row],[Water]],-1,0)+TblConstr[[#This Row],[Ch_Water]]</f>
        <v>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45435.166666666351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2146615</v>
      </c>
      <c r="AL134" s="97">
        <f ca="1">TblProd[[#This Row],[Lumber]]</f>
        <v>57539</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4" s="97">
        <f ca="1">ROUNDDOWN( MAX(1 - MIN(facs_constr_factor*TblConstr[[#This Row],[Facs -DB]],facs_constr_max) + tech_1_11*TblTech[[#This Row],[11-1]] + tech_6_3_2*TblTech[[#This Row],[6-3]] + tech_5_2_3*TblTech[[#This Row],[5-2]], 1-global_constr_cap) * TblConstr[[#This Row],[RCPA Lumber]],0)</f>
        <v>216</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4" s="97">
        <f ca="1">ROUNDDOWN( MAX(1 - MIN(facs_constr_factor*TblConstr[[#This Row],[Facs DB]],facs_constr_max) + tech_1_11*TblTech[[#This Row],[1-11]] + tech_6_3_2*TblTech[[#This Row],[6-3]] + tech_5_2_3*TblTech[[#This Row],[5-2]], 1-global_constr_cap) * ROUND((TblConstr[[#This Row],[Land]]-250)*0.285 + 87.5 + 0/4.25,0),0)</f>
        <v>216</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1413</v>
      </c>
      <c r="AW134" s="97">
        <f ca="1">ROUND((TblConstr[[#This Row],[Land]]-250 - IF(TblExplore[[#This Row],[Land Bonus]]&lt;&gt;0,20,0))*0.285 + 87.5 + 0/4.25,0)</f>
        <v>216</v>
      </c>
      <c r="AX134" s="157"/>
      <c r="AY134" s="191" cm="1">
        <f t="array" aca="1" ref="AY134" ca="1">IF(TblConstr[[#This Row],[Hour]:[Hour]]&gt;12,OFFSET(TblConstr[[#This Row],[Hom]],-12,0),0)+OFFSET(TblConstr[[#This Row],[Tot Hom]],-1,0)-TblConstr[[#This Row],[Dest Hom]]</f>
        <v>40</v>
      </c>
      <c r="AZ134" s="192" cm="1">
        <f t="array" aca="1" ref="AZ134" ca="1">IF(TblConstr[[#This Row],[Hour]:[Hour]]&gt;12,OFFSET(TblConstr[[#This Row],[Alc]],-12,0),0)+OFFSET(TblConstr[[#This Row],[Tot Alc]],-1,0)-TblConstr[[#This Row],[Dest Alc]]</f>
        <v>275</v>
      </c>
      <c r="BA134" s="192" cm="1">
        <f t="array" aca="1" ref="BA134" ca="1">IF(TblConstr[[#This Row],[Hour]:[Hour]]&gt;12,OFFSET(TblConstr[[#This Row],[Far]],-12,0),0)+OFFSET(TblConstr[[#This Row],[Tot Farm]],-1,0)-TblConstr[[#This Row],[Dest Farm]]</f>
        <v>29</v>
      </c>
      <c r="BB134" s="192" cm="1">
        <f t="array" aca="1" ref="BB134" ca="1">IF(TblConstr[[#This Row],[Hour]:[Hour]]&gt;12,OFFSET(TblConstr[[#This Row],[Smi]],-12,0),0)+OFFSET(TblConstr[[#This Row],[Tot Smi]],-1,0)-TblConstr[[#This Row],[Dest Smi]]</f>
        <v>126</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25</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55</v>
      </c>
      <c r="BJ134" s="391" cm="1">
        <f t="array" aca="1" ref="BJ134" ca="1">IF(TblConstr[[#This Row],[Hour]:[Hour]]&gt;12,OFFSET(TblConstr[[#This Row],[Bar]],-12,0),0)+OFFSET(TblConstr[[#This Row],[Tot Bar]],-1,0)-TblConstr[[#This Row],[Dest Bar]]</f>
        <v>50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29</v>
      </c>
      <c r="BM134" s="395" cm="1">
        <f t="array" aca="1" ref="BM134" ca="1">IF(TblConstr[[#This Row],[Hour]:[Hour]]&gt;12,OFFSET(TblConstr[[#This Row],[Tem]],-12,0),0)+OFFSET(TblConstr[[#This Row],[Tot Tem]],-1,0)-TblConstr[[#This Row],[Dest Tem]]</f>
        <v>47</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24</v>
      </c>
      <c r="BR134" s="145"/>
      <c r="BS134" s="157"/>
      <c r="BT134" s="97">
        <f ca="1">TblConstr[[#This Row],[Land]]</f>
        <v>700</v>
      </c>
      <c r="BU134" s="162">
        <f ca="1">TblImps[[#This Row],[Time]]</f>
        <v>45435.166666666351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430</v>
      </c>
      <c r="DA134" s="97">
        <f ca="1">H134+SUM(T123:U134)+SUM(BD134:BE134)</f>
        <v>25</v>
      </c>
      <c r="DB134" s="45">
        <f ca="1">I134+SUM(V123:W134)+SUM(BF134:BG134)</f>
        <v>0</v>
      </c>
      <c r="DC134" s="97">
        <f ca="1">J134+SUM(X123:Y134)+SUM(BH134:BI134)</f>
        <v>55</v>
      </c>
      <c r="DD134" s="97">
        <f ca="1">K134+SUM(AB123:AD134)+SUM(BL134:BN134)</f>
        <v>76</v>
      </c>
      <c r="DE134" s="45">
        <f ca="1">L134+SUM(AE123:AE134)+BO134</f>
        <v>0</v>
      </c>
      <c r="DF134" s="97">
        <f ca="1">M134+SUM(AG123:AG134)+BQ134</f>
        <v>24</v>
      </c>
      <c r="DG134" s="97" cm="1">
        <f t="array" aca="1" ref="DG134" ca="1">INDEX(TblConstr[[Total Plain]:[Total Water]],ROW()-ROW(TblConstr[#Headers]),MATCH("Total "&amp;home_land,TblConstr[[#Headers],[Total Plain]:[Total Water]],0))+TblConstr[[#This Row],[Homes]]</f>
        <v>40</v>
      </c>
      <c r="DH134" s="45">
        <f ca="1">SUM(O123:O134)+AY134</f>
        <v>40</v>
      </c>
      <c r="DI134" s="45">
        <f ca="1">MAX(BA134-BA133,0)</f>
        <v>0</v>
      </c>
      <c r="DJ134" s="45">
        <f ca="1">MAX(BQ134-BQ133,0)</f>
        <v>0</v>
      </c>
    </row>
    <row r="135" spans="1:114" x14ac:dyDescent="0.2">
      <c r="A135" s="178">
        <f>TblRezone[[#This Row],[Hour]]</f>
        <v>132</v>
      </c>
      <c r="B135" s="179">
        <f ca="1">SUM(TblConstr[[#This Row],[Plain]:[Water]])</f>
        <v>0</v>
      </c>
      <c r="C135" s="180">
        <f ca="1">SUM(TblConstr[[#This Row],[Tot Hom]:[Tot Doc]])</f>
        <v>700</v>
      </c>
      <c r="D135" s="180">
        <f>SUM(O124:AG135)</f>
        <v>0</v>
      </c>
      <c r="E135" s="181"/>
      <c r="F135" s="62">
        <f ca="1">TblConstr[[#This Row],[Barren]]+TblConstr[[#This Row],[Buildings]]+TblConstr[[#This Row],[Incoming]]</f>
        <v>700</v>
      </c>
      <c r="G135" s="190">
        <f ca="1">OFFSET(TblConstr[[#This Row],[Plain]],-1,0)+TblConstr[[#This Row],[Ch_Plain]]</f>
        <v>0</v>
      </c>
      <c r="H135" s="185">
        <f ca="1">OFFSET(TblConstr[[#This Row],[Forest]],-1,0)+TblConstr[[#This Row],[Ch_Forest]]</f>
        <v>0</v>
      </c>
      <c r="I135" s="385">
        <f ca="1">OFFSET(TblConstr[[#This Row],[Mountain]],-1,0)+TblConstr[[#This Row],[Ch_Mountain]]</f>
        <v>0</v>
      </c>
      <c r="J135" s="389">
        <f ca="1">OFFSET(TblConstr[[#This Row],[Hill]],-1,0)+TblConstr[[#This Row],[Ch_Hill]]</f>
        <v>0</v>
      </c>
      <c r="K135" s="393">
        <f ca="1">OFFSET(TblConstr[[#This Row],[Swamp]],-1,0)+TblConstr[[#This Row],[Ch_Swamp]]</f>
        <v>0</v>
      </c>
      <c r="L135" s="188">
        <f ca="1">OFFSET(TblConstr[[#This Row],[Cavern]],-1,0)+TblConstr[[#This Row],[Ch_Cavern]]</f>
        <v>0</v>
      </c>
      <c r="M135" s="189">
        <f ca="1">OFFSET(TblConstr[[#This Row],[Water]],-1,0)+TblConstr[[#This Row],[Ch_Water]]</f>
        <v>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45435.208333333016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2174085</v>
      </c>
      <c r="AL135" s="97">
        <f ca="1">TblProd[[#This Row],[Lumber]]</f>
        <v>58089</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5" s="97">
        <f ca="1">ROUNDDOWN( MAX(1 - MIN(facs_constr_factor*TblConstr[[#This Row],[Facs -DB]],facs_constr_max) + tech_1_11*TblTech[[#This Row],[11-1]] + tech_6_3_2*TblTech[[#This Row],[6-3]] + tech_5_2_3*TblTech[[#This Row],[5-2]], 1-global_constr_cap) * TblConstr[[#This Row],[RCPA Lumber]],0)</f>
        <v>216</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5" s="97">
        <f ca="1">ROUNDDOWN( MAX(1 - MIN(facs_constr_factor*TblConstr[[#This Row],[Facs DB]],facs_constr_max) + tech_1_11*TblTech[[#This Row],[1-11]] + tech_6_3_2*TblTech[[#This Row],[6-3]] + tech_5_2_3*TblTech[[#This Row],[5-2]], 1-global_constr_cap) * ROUND((TblConstr[[#This Row],[Land]]-250)*0.285 + 87.5 + 0/4.25,0),0)</f>
        <v>216</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1413</v>
      </c>
      <c r="AW135" s="97">
        <f ca="1">ROUND((TblConstr[[#This Row],[Land]]-250 - IF(TblExplore[[#This Row],[Land Bonus]]&lt;&gt;0,20,0))*0.285 + 87.5 + 0/4.25,0)</f>
        <v>216</v>
      </c>
      <c r="AX135" s="157"/>
      <c r="AY135" s="191" cm="1">
        <f t="array" aca="1" ref="AY135" ca="1">IF(TblConstr[[#This Row],[Hour]:[Hour]]&gt;12,OFFSET(TblConstr[[#This Row],[Hom]],-12,0),0)+OFFSET(TblConstr[[#This Row],[Tot Hom]],-1,0)-TblConstr[[#This Row],[Dest Hom]]</f>
        <v>40</v>
      </c>
      <c r="AZ135" s="192" cm="1">
        <f t="array" aca="1" ref="AZ135" ca="1">IF(TblConstr[[#This Row],[Hour]:[Hour]]&gt;12,OFFSET(TblConstr[[#This Row],[Alc]],-12,0),0)+OFFSET(TblConstr[[#This Row],[Tot Alc]],-1,0)-TblConstr[[#This Row],[Dest Alc]]</f>
        <v>275</v>
      </c>
      <c r="BA135" s="192" cm="1">
        <f t="array" aca="1" ref="BA135" ca="1">IF(TblConstr[[#This Row],[Hour]:[Hour]]&gt;12,OFFSET(TblConstr[[#This Row],[Far]],-12,0),0)+OFFSET(TblConstr[[#This Row],[Tot Farm]],-1,0)-TblConstr[[#This Row],[Dest Farm]]</f>
        <v>29</v>
      </c>
      <c r="BB135" s="192" cm="1">
        <f t="array" aca="1" ref="BB135" ca="1">IF(TblConstr[[#This Row],[Hour]:[Hour]]&gt;12,OFFSET(TblConstr[[#This Row],[Smi]],-12,0),0)+OFFSET(TblConstr[[#This Row],[Tot Smi]],-1,0)-TblConstr[[#This Row],[Dest Smi]]</f>
        <v>126</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25</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55</v>
      </c>
      <c r="BJ135" s="391" cm="1">
        <f t="array" aca="1" ref="BJ135" ca="1">IF(TblConstr[[#This Row],[Hour]:[Hour]]&gt;12,OFFSET(TblConstr[[#This Row],[Bar]],-12,0),0)+OFFSET(TblConstr[[#This Row],[Tot Bar]],-1,0)-TblConstr[[#This Row],[Dest Bar]]</f>
        <v>50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29</v>
      </c>
      <c r="BM135" s="395" cm="1">
        <f t="array" aca="1" ref="BM135" ca="1">IF(TblConstr[[#This Row],[Hour]:[Hour]]&gt;12,OFFSET(TblConstr[[#This Row],[Tem]],-12,0),0)+OFFSET(TblConstr[[#This Row],[Tot Tem]],-1,0)-TblConstr[[#This Row],[Dest Tem]]</f>
        <v>47</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24</v>
      </c>
      <c r="BR135" s="145"/>
      <c r="BS135" s="157"/>
      <c r="BT135" s="97">
        <f ca="1">TblConstr[[#This Row],[Land]]</f>
        <v>700</v>
      </c>
      <c r="BU135" s="162">
        <f ca="1">TblImps[[#This Row],[Time]]</f>
        <v>45435.208333333016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430</v>
      </c>
      <c r="DA135" s="97">
        <f ca="1">H135+SUM(T124:U135)+SUM(BD135:BE135)</f>
        <v>25</v>
      </c>
      <c r="DB135" s="45">
        <f ca="1">I135+SUM(V124:W135)+SUM(BF135:BG135)</f>
        <v>0</v>
      </c>
      <c r="DC135" s="97">
        <f ca="1">J135+SUM(X124:Y135)+SUM(BH135:BI135)</f>
        <v>55</v>
      </c>
      <c r="DD135" s="97">
        <f ca="1">K135+SUM(AB124:AD135)+SUM(BL135:BN135)</f>
        <v>76</v>
      </c>
      <c r="DE135" s="45">
        <f ca="1">L135+SUM(AE124:AE135)+BO135</f>
        <v>0</v>
      </c>
      <c r="DF135" s="97">
        <f ca="1">M135+SUM(AG124:AG135)+BQ135</f>
        <v>24</v>
      </c>
      <c r="DG135" s="97" cm="1">
        <f t="array" aca="1" ref="DG135" ca="1">INDEX(TblConstr[[Total Plain]:[Total Water]],ROW()-ROW(TblConstr[#Headers]),MATCH("Total "&amp;home_land,TblConstr[[#Headers],[Total Plain]:[Total Water]],0))+TblConstr[[#This Row],[Homes]]</f>
        <v>40</v>
      </c>
      <c r="DH135" s="45">
        <f ca="1">SUM(O124:O135)+AY135</f>
        <v>40</v>
      </c>
      <c r="DI135" s="45">
        <f ca="1">MAX(BA135-BA134,0)</f>
        <v>0</v>
      </c>
      <c r="DJ135" s="45">
        <f ca="1">MAX(BQ135-BQ134,0)</f>
        <v>0</v>
      </c>
    </row>
    <row r="136" spans="1:114" x14ac:dyDescent="0.2">
      <c r="A136" s="178">
        <f>TblRezone[[#This Row],[Hour]]</f>
        <v>133</v>
      </c>
      <c r="B136" s="179">
        <f ca="1">SUM(TblConstr[[#This Row],[Plain]:[Water]])</f>
        <v>0</v>
      </c>
      <c r="C136" s="180">
        <f ca="1">SUM(TblConstr[[#This Row],[Tot Hom]:[Tot Doc]])</f>
        <v>700</v>
      </c>
      <c r="D136" s="180">
        <f>SUM(O125:AG136)</f>
        <v>0</v>
      </c>
      <c r="E136" s="181"/>
      <c r="F136" s="62">
        <f ca="1">TblConstr[[#This Row],[Barren]]+TblConstr[[#This Row],[Buildings]]+TblConstr[[#This Row],[Incoming]]</f>
        <v>700</v>
      </c>
      <c r="G136" s="190">
        <f ca="1">OFFSET(TblConstr[[#This Row],[Plain]],-1,0)+TblConstr[[#This Row],[Ch_Plain]]</f>
        <v>0</v>
      </c>
      <c r="H136" s="185">
        <f ca="1">OFFSET(TblConstr[[#This Row],[Forest]],-1,0)+TblConstr[[#This Row],[Ch_Forest]]</f>
        <v>0</v>
      </c>
      <c r="I136" s="385">
        <f ca="1">OFFSET(TblConstr[[#This Row],[Mountain]],-1,0)+TblConstr[[#This Row],[Ch_Mountain]]</f>
        <v>0</v>
      </c>
      <c r="J136" s="389">
        <f ca="1">OFFSET(TblConstr[[#This Row],[Hill]],-1,0)+TblConstr[[#This Row],[Ch_Hill]]</f>
        <v>0</v>
      </c>
      <c r="K136" s="393">
        <f ca="1">OFFSET(TblConstr[[#This Row],[Swamp]],-1,0)+TblConstr[[#This Row],[Ch_Swamp]]</f>
        <v>0</v>
      </c>
      <c r="L136" s="188">
        <f ca="1">OFFSET(TblConstr[[#This Row],[Cavern]],-1,0)+TblConstr[[#This Row],[Ch_Cavern]]</f>
        <v>0</v>
      </c>
      <c r="M136" s="189">
        <f ca="1">OFFSET(TblConstr[[#This Row],[Water]],-1,0)+TblConstr[[#This Row],[Ch_Water]]</f>
        <v>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45435.24999999968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2201404</v>
      </c>
      <c r="AL136" s="97">
        <f ca="1">TblProd[[#This Row],[Lumber]]</f>
        <v>58633</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6" s="97">
        <f ca="1">ROUNDDOWN( MAX(1 - MIN(facs_constr_factor*TblConstr[[#This Row],[Facs -DB]],facs_constr_max) + tech_1_11*TblTech[[#This Row],[11-1]] + tech_6_3_2*TblTech[[#This Row],[6-3]] + tech_5_2_3*TblTech[[#This Row],[5-2]], 1-global_constr_cap) * TblConstr[[#This Row],[RCPA Lumber]],0)</f>
        <v>216</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6" s="97">
        <f ca="1">ROUNDDOWN( MAX(1 - MIN(facs_constr_factor*TblConstr[[#This Row],[Facs DB]],facs_constr_max) + tech_1_11*TblTech[[#This Row],[1-11]] + tech_6_3_2*TblTech[[#This Row],[6-3]] + tech_5_2_3*TblTech[[#This Row],[5-2]], 1-global_constr_cap) * ROUND((TblConstr[[#This Row],[Land]]-250)*0.285 + 87.5 + 0/4.25,0),0)</f>
        <v>216</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1413</v>
      </c>
      <c r="AW136" s="97">
        <f ca="1">ROUND((TblConstr[[#This Row],[Land]]-250 - IF(TblExplore[[#This Row],[Land Bonus]]&lt;&gt;0,20,0))*0.285 + 87.5 + 0/4.25,0)</f>
        <v>216</v>
      </c>
      <c r="AX136" s="157"/>
      <c r="AY136" s="191" cm="1">
        <f t="array" aca="1" ref="AY136" ca="1">IF(TblConstr[[#This Row],[Hour]:[Hour]]&gt;12,OFFSET(TblConstr[[#This Row],[Hom]],-12,0),0)+OFFSET(TblConstr[[#This Row],[Tot Hom]],-1,0)-TblConstr[[#This Row],[Dest Hom]]</f>
        <v>40</v>
      </c>
      <c r="AZ136" s="192" cm="1">
        <f t="array" aca="1" ref="AZ136" ca="1">IF(TblConstr[[#This Row],[Hour]:[Hour]]&gt;12,OFFSET(TblConstr[[#This Row],[Alc]],-12,0),0)+OFFSET(TblConstr[[#This Row],[Tot Alc]],-1,0)-TblConstr[[#This Row],[Dest Alc]]</f>
        <v>275</v>
      </c>
      <c r="BA136" s="192" cm="1">
        <f t="array" aca="1" ref="BA136" ca="1">IF(TblConstr[[#This Row],[Hour]:[Hour]]&gt;12,OFFSET(TblConstr[[#This Row],[Far]],-12,0),0)+OFFSET(TblConstr[[#This Row],[Tot Farm]],-1,0)-TblConstr[[#This Row],[Dest Farm]]</f>
        <v>29</v>
      </c>
      <c r="BB136" s="192" cm="1">
        <f t="array" aca="1" ref="BB136" ca="1">IF(TblConstr[[#This Row],[Hour]:[Hour]]&gt;12,OFFSET(TblConstr[[#This Row],[Smi]],-12,0),0)+OFFSET(TblConstr[[#This Row],[Tot Smi]],-1,0)-TblConstr[[#This Row],[Dest Smi]]</f>
        <v>126</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25</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55</v>
      </c>
      <c r="BJ136" s="391" cm="1">
        <f t="array" aca="1" ref="BJ136" ca="1">IF(TblConstr[[#This Row],[Hour]:[Hour]]&gt;12,OFFSET(TblConstr[[#This Row],[Bar]],-12,0),0)+OFFSET(TblConstr[[#This Row],[Tot Bar]],-1,0)-TblConstr[[#This Row],[Dest Bar]]</f>
        <v>50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29</v>
      </c>
      <c r="BM136" s="395" cm="1">
        <f t="array" aca="1" ref="BM136" ca="1">IF(TblConstr[[#This Row],[Hour]:[Hour]]&gt;12,OFFSET(TblConstr[[#This Row],[Tem]],-12,0),0)+OFFSET(TblConstr[[#This Row],[Tot Tem]],-1,0)-TblConstr[[#This Row],[Dest Tem]]</f>
        <v>47</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24</v>
      </c>
      <c r="BR136" s="145"/>
      <c r="BS136" s="157"/>
      <c r="BT136" s="97">
        <f ca="1">TblConstr[[#This Row],[Land]]</f>
        <v>700</v>
      </c>
      <c r="BU136" s="162">
        <f ca="1">TblImps[[#This Row],[Time]]</f>
        <v>45435.24999999968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430</v>
      </c>
      <c r="DA136" s="97">
        <f ca="1">H136+SUM(T125:U136)+SUM(BD136:BE136)</f>
        <v>25</v>
      </c>
      <c r="DB136" s="45">
        <f ca="1">I136+SUM(V125:W136)+SUM(BF136:BG136)</f>
        <v>0</v>
      </c>
      <c r="DC136" s="97">
        <f ca="1">J136+SUM(X125:Y136)+SUM(BH136:BI136)</f>
        <v>55</v>
      </c>
      <c r="DD136" s="97">
        <f ca="1">K136+SUM(AB125:AD136)+SUM(BL136:BN136)</f>
        <v>76</v>
      </c>
      <c r="DE136" s="45">
        <f ca="1">L136+SUM(AE125:AE136)+BO136</f>
        <v>0</v>
      </c>
      <c r="DF136" s="97">
        <f ca="1">M136+SUM(AG125:AG136)+BQ136</f>
        <v>24</v>
      </c>
      <c r="DG136" s="97" cm="1">
        <f t="array" aca="1" ref="DG136" ca="1">INDEX(TblConstr[[Total Plain]:[Total Water]],ROW()-ROW(TblConstr[#Headers]),MATCH("Total "&amp;home_land,TblConstr[[#Headers],[Total Plain]:[Total Water]],0))+TblConstr[[#This Row],[Homes]]</f>
        <v>40</v>
      </c>
      <c r="DH136" s="45">
        <f ca="1">SUM(O125:O136)+AY136</f>
        <v>40</v>
      </c>
      <c r="DI136" s="45">
        <f ca="1">MAX(BA136-BA135,0)</f>
        <v>0</v>
      </c>
      <c r="DJ136" s="45">
        <f ca="1">MAX(BQ136-BQ135,0)</f>
        <v>0</v>
      </c>
    </row>
    <row r="1269" spans="1:2" x14ac:dyDescent="0.2">
      <c r="A1269" s="496" t="s">
        <v>316</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13" activePane="bottomLeft" state="frozenSplit"/>
      <selection activeCell="A3" sqref="A3"/>
      <selection pane="bottomLeft" activeCell="W45" sqref="W45"/>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301</v>
      </c>
      <c r="M1" s="453"/>
      <c r="N1" s="453"/>
      <c r="O1" s="453"/>
      <c r="P1" s="453"/>
      <c r="Q1" s="453"/>
      <c r="R1" s="28"/>
      <c r="S1" s="5" t="s">
        <v>355</v>
      </c>
      <c r="T1" s="5" t="s">
        <v>176</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774</v>
      </c>
      <c r="D3" s="138" t="s">
        <v>55</v>
      </c>
      <c r="E3" s="138" t="s">
        <v>58</v>
      </c>
      <c r="F3" s="138" t="s">
        <v>1030</v>
      </c>
      <c r="G3" s="138" t="s">
        <v>59</v>
      </c>
      <c r="H3" s="138" t="s">
        <v>60</v>
      </c>
      <c r="I3" s="138" t="s">
        <v>61</v>
      </c>
      <c r="J3" s="138" t="s">
        <v>62</v>
      </c>
      <c r="K3" s="222" t="s">
        <v>879</v>
      </c>
      <c r="L3" s="222" t="s">
        <v>880</v>
      </c>
      <c r="M3" s="222" t="s">
        <v>881</v>
      </c>
      <c r="N3" s="223" t="s">
        <v>184</v>
      </c>
      <c r="O3" s="223" t="s">
        <v>365</v>
      </c>
      <c r="P3" s="223" t="s">
        <v>364</v>
      </c>
      <c r="Q3" s="138" t="s">
        <v>883</v>
      </c>
      <c r="R3" s="138" t="s">
        <v>856</v>
      </c>
      <c r="S3" s="138" t="s">
        <v>884</v>
      </c>
      <c r="T3" s="138" t="s">
        <v>1023</v>
      </c>
      <c r="U3" s="138" t="s">
        <v>1024</v>
      </c>
      <c r="V3" s="138" t="s">
        <v>1025</v>
      </c>
      <c r="W3" s="138" t="s">
        <v>1026</v>
      </c>
      <c r="X3" s="138" t="s">
        <v>1027</v>
      </c>
      <c r="Y3" s="138" t="s">
        <v>1028</v>
      </c>
      <c r="Z3" s="138" t="s">
        <v>1029</v>
      </c>
      <c r="AA3" s="138" t="s">
        <v>311</v>
      </c>
      <c r="AB3" s="138" t="s">
        <v>24</v>
      </c>
      <c r="AC3" s="138" t="s">
        <v>2</v>
      </c>
      <c r="AD3" s="138" t="s">
        <v>775</v>
      </c>
      <c r="AE3" s="138" t="s">
        <v>510</v>
      </c>
      <c r="AF3" s="138" t="s">
        <v>57</v>
      </c>
      <c r="AG3" s="138" t="s">
        <v>178</v>
      </c>
      <c r="AH3" s="138" t="s">
        <v>882</v>
      </c>
      <c r="AI3" s="138" t="s">
        <v>869</v>
      </c>
      <c r="AJ3" s="224" t="s">
        <v>762</v>
      </c>
    </row>
    <row r="4" spans="1:36" x14ac:dyDescent="0.2">
      <c r="A4" s="178">
        <f>TblRezone[[#This Row],[Hour]]</f>
        <v>1</v>
      </c>
      <c r="B4" s="225">
        <f ca="1">TblConstr[[#This Row],[Land]]</f>
        <v>250</v>
      </c>
      <c r="C4" s="226"/>
      <c r="D4" s="227">
        <f ca="1">TblConstr[[#This Row],[Plain]]</f>
        <v>0</v>
      </c>
      <c r="E4" s="185">
        <f ca="1">TblConstr[[#This Row],[Forest]]</f>
        <v>0</v>
      </c>
      <c r="F4" s="385">
        <f ca="1">TblConstr[[#This Row],[Mountain]]</f>
        <v>0</v>
      </c>
      <c r="G4" s="389">
        <f ca="1">TblConstr[[#This Row],[Hill]]</f>
        <v>0</v>
      </c>
      <c r="H4" s="393">
        <f ca="1">TblConstr[[#This Row],[Swamp]]</f>
        <v>0</v>
      </c>
      <c r="I4" s="188">
        <f ca="1">TblConstr[[#This Row],[Cavern]]</f>
        <v>20</v>
      </c>
      <c r="J4" s="189">
        <f ca="1">TblConstr[[#This Row],[Water]]</f>
        <v>10</v>
      </c>
      <c r="K4" s="221"/>
      <c r="L4" s="221"/>
      <c r="M4" s="221"/>
      <c r="N4" s="228">
        <f ca="1">TblMili[[#This Row],[Smithies]]</f>
        <v>0</v>
      </c>
      <c r="O4" s="228">
        <f ca="1">TblPop[[#This Row],[Employment]]</f>
        <v>1</v>
      </c>
      <c r="P4" s="228">
        <f ca="1">TblImps[[#This Row],[Population]]</f>
        <v>0.64646464646464652</v>
      </c>
      <c r="Q4" s="178">
        <f ca="1">TblExplore[[#This Row],[Land]]</f>
        <v>250</v>
      </c>
      <c r="R4" s="178">
        <f>TblExplore[[#This Row],[Hour]]</f>
        <v>1</v>
      </c>
      <c r="S4" s="229"/>
      <c r="T4" s="182"/>
      <c r="U4" s="182"/>
      <c r="V4" s="182"/>
      <c r="W4" s="182"/>
      <c r="X4" s="182"/>
      <c r="Y4" s="182"/>
      <c r="Z4" s="182"/>
      <c r="AA4" s="162">
        <f>TblImps[[#This Row],[Real time]]</f>
        <v>45429.75</v>
      </c>
      <c r="AB4" s="97">
        <f ca="1">TblMili[[#This Row],[Draftees]]</f>
        <v>300</v>
      </c>
      <c r="AC4" s="97">
        <f ca="1">TblProd[[#This Row],[Platinum]]</f>
        <v>9830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11</v>
      </c>
    </row>
    <row r="5" spans="1:36" x14ac:dyDescent="0.2">
      <c r="A5" s="178">
        <f>TblRezone[[#This Row],[Hour]]</f>
        <v>2</v>
      </c>
      <c r="B5" s="225">
        <f ca="1">TblConstr[[#This Row],[Land]]</f>
        <v>250</v>
      </c>
      <c r="C5" s="226"/>
      <c r="D5" s="227">
        <f ca="1">TblConstr[[#This Row],[Plain]]</f>
        <v>0</v>
      </c>
      <c r="E5" s="185">
        <f ca="1">TblConstr[[#This Row],[Forest]]</f>
        <v>0</v>
      </c>
      <c r="F5" s="385">
        <f ca="1">TblConstr[[#This Row],[Mountain]]</f>
        <v>0</v>
      </c>
      <c r="G5" s="389">
        <f ca="1">TblConstr[[#This Row],[Hill]]</f>
        <v>0</v>
      </c>
      <c r="H5" s="393">
        <f ca="1">TblConstr[[#This Row],[Swamp]]</f>
        <v>0</v>
      </c>
      <c r="I5" s="188">
        <f ca="1">TblConstr[[#This Row],[Cavern]]</f>
        <v>20</v>
      </c>
      <c r="J5" s="189">
        <f ca="1">TblConstr[[#This Row],[Water]]</f>
        <v>10</v>
      </c>
      <c r="K5" s="221"/>
      <c r="L5" s="221"/>
      <c r="M5" s="221"/>
      <c r="N5" s="228">
        <f ca="1">TblMili[[#This Row],[Smithies]]</f>
        <v>0</v>
      </c>
      <c r="O5" s="228">
        <f ca="1">TblPop[[#This Row],[Employment]]</f>
        <v>1</v>
      </c>
      <c r="P5" s="228">
        <f ca="1">TblImps[[#This Row],[Population]]</f>
        <v>0.42296774193548387</v>
      </c>
      <c r="Q5" s="178">
        <f ca="1">TblExplore[[#This Row],[Land]]</f>
        <v>250</v>
      </c>
      <c r="R5" s="178">
        <f>TblExplore[[#This Row],[Hour]]</f>
        <v>2</v>
      </c>
      <c r="S5" s="229"/>
      <c r="T5" s="182"/>
      <c r="U5" s="182"/>
      <c r="V5" s="182"/>
      <c r="W5" s="182"/>
      <c r="X5" s="182"/>
      <c r="Y5" s="182"/>
      <c r="Z5" s="182"/>
      <c r="AA5" s="162">
        <f ca="1">TblImps[[#This Row],[Real time]]</f>
        <v>45429.791666666664</v>
      </c>
      <c r="AB5" s="97">
        <f ca="1">TblMili[[#This Row],[Draftees]]</f>
        <v>313</v>
      </c>
      <c r="AC5" s="97">
        <f ca="1">TblProd[[#This Row],[Platinum]]</f>
        <v>15140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17</v>
      </c>
    </row>
    <row r="6" spans="1:36" x14ac:dyDescent="0.2">
      <c r="A6" s="178">
        <f>TblRezone[[#This Row],[Hour]]</f>
        <v>3</v>
      </c>
      <c r="B6" s="225">
        <f ca="1">TblConstr[[#This Row],[Land]]</f>
        <v>250</v>
      </c>
      <c r="C6" s="226"/>
      <c r="D6" s="227">
        <f ca="1">TblConstr[[#This Row],[Plain]]</f>
        <v>0</v>
      </c>
      <c r="E6" s="185">
        <f ca="1">TblConstr[[#This Row],[Forest]]</f>
        <v>0</v>
      </c>
      <c r="F6" s="385">
        <f ca="1">TblConstr[[#This Row],[Mountain]]</f>
        <v>0</v>
      </c>
      <c r="G6" s="389">
        <f ca="1">TblConstr[[#This Row],[Hill]]</f>
        <v>0</v>
      </c>
      <c r="H6" s="393">
        <f ca="1">TblConstr[[#This Row],[Swamp]]</f>
        <v>0</v>
      </c>
      <c r="I6" s="188">
        <f ca="1">TblConstr[[#This Row],[Cavern]]</f>
        <v>20</v>
      </c>
      <c r="J6" s="189">
        <f ca="1">TblConstr[[#This Row],[Water]]</f>
        <v>10</v>
      </c>
      <c r="K6" s="221"/>
      <c r="L6" s="221"/>
      <c r="M6" s="221"/>
      <c r="N6" s="228">
        <f ca="1">TblMili[[#This Row],[Smithies]]</f>
        <v>0</v>
      </c>
      <c r="O6" s="228">
        <f ca="1">TblPop[[#This Row],[Employment]]</f>
        <v>1</v>
      </c>
      <c r="P6" s="228">
        <f ca="1">TblImps[[#This Row],[Population]]</f>
        <v>0.43303225806451612</v>
      </c>
      <c r="Q6" s="178">
        <f ca="1">TblExplore[[#This Row],[Land]]</f>
        <v>250</v>
      </c>
      <c r="R6" s="178">
        <f>TblExplore[[#This Row],[Hour]]</f>
        <v>3</v>
      </c>
      <c r="S6" s="229"/>
      <c r="T6" s="182"/>
      <c r="U6" s="182"/>
      <c r="V6" s="182"/>
      <c r="W6" s="182"/>
      <c r="X6" s="182"/>
      <c r="Y6" s="182"/>
      <c r="Z6" s="182"/>
      <c r="AA6" s="162">
        <f ca="1">TblImps[[#This Row],[Real time]]</f>
        <v>45429.833333333328</v>
      </c>
      <c r="AB6" s="97">
        <f ca="1">TblMili[[#This Row],[Draftees]]</f>
        <v>326</v>
      </c>
      <c r="AC6" s="97">
        <f ca="1">TblProd[[#This Row],[Platinum]]</f>
        <v>20520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24</v>
      </c>
    </row>
    <row r="7" spans="1:36" x14ac:dyDescent="0.2">
      <c r="A7" s="178">
        <f>TblRezone[[#This Row],[Hour]]</f>
        <v>4</v>
      </c>
      <c r="B7" s="225">
        <f ca="1">TblConstr[[#This Row],[Land]]</f>
        <v>250</v>
      </c>
      <c r="C7" s="226"/>
      <c r="D7" s="227">
        <f ca="1">TblConstr[[#This Row],[Plain]]</f>
        <v>0</v>
      </c>
      <c r="E7" s="185">
        <f ca="1">TblConstr[[#This Row],[Forest]]</f>
        <v>0</v>
      </c>
      <c r="F7" s="385">
        <f ca="1">TblConstr[[#This Row],[Mountain]]</f>
        <v>0</v>
      </c>
      <c r="G7" s="389">
        <f ca="1">TblConstr[[#This Row],[Hill]]</f>
        <v>0</v>
      </c>
      <c r="H7" s="393">
        <f ca="1">TblConstr[[#This Row],[Swamp]]</f>
        <v>0</v>
      </c>
      <c r="I7" s="188">
        <f ca="1">TblConstr[[#This Row],[Cavern]]</f>
        <v>20</v>
      </c>
      <c r="J7" s="189">
        <f ca="1">TblConstr[[#This Row],[Water]]</f>
        <v>10</v>
      </c>
      <c r="K7" s="221"/>
      <c r="L7" s="221"/>
      <c r="M7" s="221"/>
      <c r="N7" s="228">
        <f ca="1">TblMili[[#This Row],[Smithies]]</f>
        <v>0</v>
      </c>
      <c r="O7" s="228">
        <f ca="1">TblPop[[#This Row],[Employment]]</f>
        <v>1</v>
      </c>
      <c r="P7" s="228">
        <f ca="1">TblImps[[#This Row],[Population]]</f>
        <v>0.4433548387096774</v>
      </c>
      <c r="Q7" s="178">
        <f ca="1">TblExplore[[#This Row],[Land]]</f>
        <v>250</v>
      </c>
      <c r="R7" s="178">
        <f>TblExplore[[#This Row],[Hour]]</f>
        <v>4</v>
      </c>
      <c r="S7" s="229"/>
      <c r="T7" s="161"/>
      <c r="U7" s="182"/>
      <c r="V7" s="182"/>
      <c r="W7" s="182"/>
      <c r="X7" s="182"/>
      <c r="Y7" s="182"/>
      <c r="Z7" s="182"/>
      <c r="AA7" s="162">
        <f ca="1">TblImps[[#This Row],[Real time]]</f>
        <v>45429.874999999993</v>
      </c>
      <c r="AB7" s="97">
        <f ca="1">TblMili[[#This Row],[Draftees]]</f>
        <v>340</v>
      </c>
      <c r="AC7" s="97">
        <f ca="1">TblProd[[#This Row],[Platinum]]</f>
        <v>25970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30</v>
      </c>
    </row>
    <row r="8" spans="1:36" x14ac:dyDescent="0.2">
      <c r="A8" s="178">
        <f>TblRezone[[#This Row],[Hour]]</f>
        <v>5</v>
      </c>
      <c r="B8" s="225">
        <f ca="1">TblConstr[[#This Row],[Land]]</f>
        <v>250</v>
      </c>
      <c r="C8" s="226"/>
      <c r="D8" s="227">
        <f ca="1">TblConstr[[#This Row],[Plain]]</f>
        <v>0</v>
      </c>
      <c r="E8" s="185">
        <f ca="1">TblConstr[[#This Row],[Forest]]</f>
        <v>0</v>
      </c>
      <c r="F8" s="385">
        <f ca="1">TblConstr[[#This Row],[Mountain]]</f>
        <v>0</v>
      </c>
      <c r="G8" s="389">
        <f ca="1">TblConstr[[#This Row],[Hill]]</f>
        <v>0</v>
      </c>
      <c r="H8" s="393">
        <f ca="1">TblConstr[[#This Row],[Swamp]]</f>
        <v>0</v>
      </c>
      <c r="I8" s="188">
        <f ca="1">TblConstr[[#This Row],[Cavern]]</f>
        <v>20</v>
      </c>
      <c r="J8" s="189">
        <f ca="1">TblConstr[[#This Row],[Water]]</f>
        <v>10</v>
      </c>
      <c r="K8" s="221"/>
      <c r="L8" s="221"/>
      <c r="M8" s="221"/>
      <c r="N8" s="228">
        <f ca="1">TblMili[[#This Row],[Smithies]]</f>
        <v>0</v>
      </c>
      <c r="O8" s="228">
        <f ca="1">TblPop[[#This Row],[Employment]]</f>
        <v>1</v>
      </c>
      <c r="P8" s="228">
        <f ca="1">TblImps[[#This Row],[Population]]</f>
        <v>0.45393548387096772</v>
      </c>
      <c r="Q8" s="178">
        <f ca="1">TblExplore[[#This Row],[Land]]</f>
        <v>250</v>
      </c>
      <c r="R8" s="178">
        <f>TblExplore[[#This Row],[Hour]]</f>
        <v>5</v>
      </c>
      <c r="S8" s="229"/>
      <c r="T8" s="161"/>
      <c r="U8" s="182"/>
      <c r="V8" s="182"/>
      <c r="W8" s="182"/>
      <c r="X8" s="182"/>
      <c r="Y8" s="182"/>
      <c r="Z8" s="182"/>
      <c r="AA8" s="162">
        <f ca="1">TblImps[[#This Row],[Real time]]</f>
        <v>45429.916666666657</v>
      </c>
      <c r="AB8" s="97">
        <f ca="1">TblMili[[#This Row],[Draftees]]</f>
        <v>354</v>
      </c>
      <c r="AC8" s="97">
        <f ca="1">TblProd[[#This Row],[Platinum]]</f>
        <v>31490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37</v>
      </c>
    </row>
    <row r="9" spans="1:36" x14ac:dyDescent="0.2">
      <c r="A9" s="178">
        <f>TblRezone[[#This Row],[Hour]]</f>
        <v>6</v>
      </c>
      <c r="B9" s="225">
        <f ca="1">TblConstr[[#This Row],[Land]]</f>
        <v>250</v>
      </c>
      <c r="C9" s="226"/>
      <c r="D9" s="227">
        <f ca="1">TblConstr[[#This Row],[Plain]]</f>
        <v>0</v>
      </c>
      <c r="E9" s="185">
        <f ca="1">TblConstr[[#This Row],[Forest]]</f>
        <v>0</v>
      </c>
      <c r="F9" s="385">
        <f ca="1">TblConstr[[#This Row],[Mountain]]</f>
        <v>0</v>
      </c>
      <c r="G9" s="389">
        <f ca="1">TblConstr[[#This Row],[Hill]]</f>
        <v>0</v>
      </c>
      <c r="H9" s="393">
        <f ca="1">TblConstr[[#This Row],[Swamp]]</f>
        <v>0</v>
      </c>
      <c r="I9" s="188">
        <f ca="1">TblConstr[[#This Row],[Cavern]]</f>
        <v>20</v>
      </c>
      <c r="J9" s="189">
        <f ca="1">TblConstr[[#This Row],[Water]]</f>
        <v>10</v>
      </c>
      <c r="K9" s="221"/>
      <c r="L9" s="221"/>
      <c r="M9" s="221"/>
      <c r="N9" s="228">
        <f ca="1">TblMili[[#This Row],[Smithies]]</f>
        <v>0</v>
      </c>
      <c r="O9" s="228">
        <f ca="1">TblPop[[#This Row],[Employment]]</f>
        <v>1</v>
      </c>
      <c r="P9" s="228">
        <f ca="1">TblImps[[#This Row],[Population]]</f>
        <v>0.44</v>
      </c>
      <c r="Q9" s="178">
        <f ca="1">TblExplore[[#This Row],[Land]]</f>
        <v>250</v>
      </c>
      <c r="R9" s="178">
        <f>TblExplore[[#This Row],[Hour]]</f>
        <v>6</v>
      </c>
      <c r="S9" s="229"/>
      <c r="T9" s="182">
        <v>13</v>
      </c>
      <c r="U9" s="182">
        <v>3</v>
      </c>
      <c r="V9" s="182"/>
      <c r="W9" s="182">
        <v>8</v>
      </c>
      <c r="X9" s="182"/>
      <c r="Y9" s="182"/>
      <c r="Z9" s="182"/>
      <c r="AA9" s="162">
        <f ca="1">TblImps[[#This Row],[Real time]]</f>
        <v>45429.958333333321</v>
      </c>
      <c r="AB9" s="97">
        <f ca="1">TblMili[[#This Row],[Draftees]]</f>
        <v>272</v>
      </c>
      <c r="AC9" s="97">
        <f ca="1">TblProd[[#This Row],[Platinum]]</f>
        <v>16683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20400</v>
      </c>
      <c r="AI9" s="97">
        <f ca="1">SUM(TblExplore[[#This Row],[Plains Explore]:[Water Explore]])*TblExplore[[#This Row],[Draftees/acre]]</f>
        <v>96</v>
      </c>
      <c r="AJ9" s="45">
        <f ca="1">_xlfn.FLOOR.MATH(MIN(TblExplore[[#This Row],[Platinum]]/TblExplore[[#This Row],[Plat/acre]],TblExplore[[#This Row],[Draftees]]/TblExplore[[#This Row],[Draftees/acre]]))</f>
        <v>19</v>
      </c>
    </row>
    <row r="10" spans="1:36" x14ac:dyDescent="0.2">
      <c r="A10" s="178">
        <f>TblRezone[[#This Row],[Hour]]</f>
        <v>7</v>
      </c>
      <c r="B10" s="225">
        <f ca="1">TblConstr[[#This Row],[Land]]</f>
        <v>250</v>
      </c>
      <c r="C10" s="226"/>
      <c r="D10" s="227">
        <f ca="1">TblConstr[[#This Row],[Plain]]</f>
        <v>0</v>
      </c>
      <c r="E10" s="185">
        <f ca="1">TblConstr[[#This Row],[Forest]]</f>
        <v>0</v>
      </c>
      <c r="F10" s="385">
        <f ca="1">TblConstr[[#This Row],[Mountain]]</f>
        <v>0</v>
      </c>
      <c r="G10" s="389">
        <f ca="1">TblConstr[[#This Row],[Hill]]</f>
        <v>0</v>
      </c>
      <c r="H10" s="393">
        <f ca="1">TblConstr[[#This Row],[Swamp]]</f>
        <v>0</v>
      </c>
      <c r="I10" s="188">
        <f ca="1">TblConstr[[#This Row],[Cavern]]</f>
        <v>20</v>
      </c>
      <c r="J10" s="189">
        <f ca="1">TblConstr[[#This Row],[Water]]</f>
        <v>10</v>
      </c>
      <c r="K10" s="221"/>
      <c r="L10" s="221"/>
      <c r="M10" s="221"/>
      <c r="N10" s="228">
        <f ca="1">TblMili[[#This Row],[Smithies]]</f>
        <v>0</v>
      </c>
      <c r="O10" s="228">
        <f ca="1">TblPop[[#This Row],[Employment]]</f>
        <v>1</v>
      </c>
      <c r="P10" s="228">
        <f ca="1">TblImps[[#This Row],[Population]]</f>
        <v>0.45006451612903225</v>
      </c>
      <c r="Q10" s="178">
        <f ca="1">TblExplore[[#This Row],[Land]]</f>
        <v>250</v>
      </c>
      <c r="R10" s="178">
        <f>TblExplore[[#This Row],[Hour]]</f>
        <v>7</v>
      </c>
      <c r="S10" s="229"/>
      <c r="T10" s="182"/>
      <c r="U10" s="182"/>
      <c r="V10" s="182"/>
      <c r="W10" s="182">
        <v>1</v>
      </c>
      <c r="X10" s="182"/>
      <c r="Y10" s="182"/>
      <c r="Z10" s="182"/>
      <c r="AA10" s="162">
        <f ca="1">TblImps[[#This Row],[Real time]]</f>
        <v>45429.999999999985</v>
      </c>
      <c r="AB10" s="97">
        <f ca="1">TblMili[[#This Row],[Draftees]]</f>
        <v>282</v>
      </c>
      <c r="AC10" s="97">
        <f ca="1">TblProd[[#This Row],[Platinum]]</f>
        <v>21502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850</v>
      </c>
      <c r="AI10" s="97">
        <f ca="1">SUM(TblExplore[[#This Row],[Plains Explore]:[Water Explore]])*TblExplore[[#This Row],[Draftees/acre]]</f>
        <v>4</v>
      </c>
      <c r="AJ10" s="45">
        <f ca="1">_xlfn.FLOOR.MATH(MIN(TblExplore[[#This Row],[Platinum]]/TblExplore[[#This Row],[Plat/acre]],TblExplore[[#This Row],[Draftees]]/TblExplore[[#This Row],[Draftees/acre]]))</f>
        <v>25</v>
      </c>
    </row>
    <row r="11" spans="1:36" x14ac:dyDescent="0.2">
      <c r="A11" s="178">
        <f>TblRezone[[#This Row],[Hour]]</f>
        <v>8</v>
      </c>
      <c r="B11" s="225">
        <f ca="1">TblConstr[[#This Row],[Land]]</f>
        <v>250</v>
      </c>
      <c r="C11" s="226"/>
      <c r="D11" s="227">
        <f ca="1">TblConstr[[#This Row],[Plain]]</f>
        <v>0</v>
      </c>
      <c r="E11" s="185">
        <f ca="1">TblConstr[[#This Row],[Forest]]</f>
        <v>0</v>
      </c>
      <c r="F11" s="385">
        <f ca="1">TblConstr[[#This Row],[Mountain]]</f>
        <v>0</v>
      </c>
      <c r="G11" s="389">
        <f ca="1">TblConstr[[#This Row],[Hill]]</f>
        <v>0</v>
      </c>
      <c r="H11" s="393">
        <f ca="1">TblConstr[[#This Row],[Swamp]]</f>
        <v>0</v>
      </c>
      <c r="I11" s="188">
        <f ca="1">TblConstr[[#This Row],[Cavern]]</f>
        <v>20</v>
      </c>
      <c r="J11" s="189">
        <f ca="1">TblConstr[[#This Row],[Water]]</f>
        <v>10</v>
      </c>
      <c r="K11" s="221"/>
      <c r="L11" s="221"/>
      <c r="M11" s="221"/>
      <c r="N11" s="228">
        <f ca="1">TblMili[[#This Row],[Smithies]]</f>
        <v>0</v>
      </c>
      <c r="O11" s="228">
        <f ca="1">TblPop[[#This Row],[Employment]]</f>
        <v>1</v>
      </c>
      <c r="P11" s="228">
        <f ca="1">TblImps[[#This Row],[Population]]</f>
        <v>0.46012903225806451</v>
      </c>
      <c r="Q11" s="178">
        <f ca="1">TblExplore[[#This Row],[Land]]</f>
        <v>250</v>
      </c>
      <c r="R11" s="178">
        <f>TblExplore[[#This Row],[Hour]]</f>
        <v>8</v>
      </c>
      <c r="S11" s="229"/>
      <c r="T11" s="182"/>
      <c r="U11" s="182"/>
      <c r="V11" s="182"/>
      <c r="W11" s="182">
        <v>1</v>
      </c>
      <c r="X11" s="182"/>
      <c r="Y11" s="182"/>
      <c r="Z11" s="182"/>
      <c r="AA11" s="162">
        <f ca="1">TblImps[[#This Row],[Real time]]</f>
        <v>45430.04166666665</v>
      </c>
      <c r="AB11" s="97">
        <f ca="1">TblMili[[#This Row],[Draftees]]</f>
        <v>293</v>
      </c>
      <c r="AC11" s="97">
        <f ca="1">TblProd[[#This Row],[Platinum]]</f>
        <v>26399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850</v>
      </c>
      <c r="AI11" s="97">
        <f ca="1">SUM(TblExplore[[#This Row],[Plains Explore]:[Water Explore]])*TblExplore[[#This Row],[Draftees/acre]]</f>
        <v>4</v>
      </c>
      <c r="AJ11" s="45">
        <f ca="1">_xlfn.FLOOR.MATH(MIN(TblExplore[[#This Row],[Platinum]]/TblExplore[[#This Row],[Plat/acre]],TblExplore[[#This Row],[Draftees]]/TblExplore[[#This Row],[Draftees/acre]]))</f>
        <v>31</v>
      </c>
    </row>
    <row r="12" spans="1:36" x14ac:dyDescent="0.2">
      <c r="A12" s="178">
        <f>TblRezone[[#This Row],[Hour]]</f>
        <v>9</v>
      </c>
      <c r="B12" s="225">
        <f ca="1">TblConstr[[#This Row],[Land]]</f>
        <v>250</v>
      </c>
      <c r="C12" s="226"/>
      <c r="D12" s="227">
        <f ca="1">TblConstr[[#This Row],[Plain]]</f>
        <v>0</v>
      </c>
      <c r="E12" s="185">
        <f ca="1">TblConstr[[#This Row],[Forest]]</f>
        <v>0</v>
      </c>
      <c r="F12" s="385">
        <f ca="1">TblConstr[[#This Row],[Mountain]]</f>
        <v>0</v>
      </c>
      <c r="G12" s="389">
        <f ca="1">TblConstr[[#This Row],[Hill]]</f>
        <v>0</v>
      </c>
      <c r="H12" s="393">
        <f ca="1">TblConstr[[#This Row],[Swamp]]</f>
        <v>0</v>
      </c>
      <c r="I12" s="188">
        <f ca="1">TblConstr[[#This Row],[Cavern]]</f>
        <v>20</v>
      </c>
      <c r="J12" s="189">
        <f ca="1">TblConstr[[#This Row],[Water]]</f>
        <v>10</v>
      </c>
      <c r="K12" s="221"/>
      <c r="L12" s="221"/>
      <c r="M12" s="221"/>
      <c r="N12" s="228">
        <f ca="1">TblMili[[#This Row],[Smithies]]</f>
        <v>0</v>
      </c>
      <c r="O12" s="228">
        <f ca="1">TblPop[[#This Row],[Employment]]</f>
        <v>1</v>
      </c>
      <c r="P12" s="228">
        <f ca="1">TblImps[[#This Row],[Population]]</f>
        <v>0.47045161290322579</v>
      </c>
      <c r="Q12" s="178">
        <f ca="1">TblExplore[[#This Row],[Land]]</f>
        <v>250</v>
      </c>
      <c r="R12" s="178">
        <f>TblExplore[[#This Row],[Hour]]</f>
        <v>9</v>
      </c>
      <c r="S12" s="229"/>
      <c r="T12" s="182"/>
      <c r="U12" s="182"/>
      <c r="V12" s="182"/>
      <c r="W12" s="182">
        <v>1</v>
      </c>
      <c r="X12" s="182"/>
      <c r="Y12" s="182"/>
      <c r="Z12" s="182"/>
      <c r="AA12" s="162">
        <f ca="1">TblImps[[#This Row],[Real time]]</f>
        <v>45430.083333333314</v>
      </c>
      <c r="AB12" s="97">
        <f ca="1">TblMili[[#This Row],[Draftees]]</f>
        <v>304</v>
      </c>
      <c r="AC12" s="97">
        <f ca="1">TblProd[[#This Row],[Platinum]]</f>
        <v>31372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850</v>
      </c>
      <c r="AI12" s="97">
        <f ca="1">SUM(TblExplore[[#This Row],[Plains Explore]:[Water Explore]])*TblExplore[[#This Row],[Draftees/acre]]</f>
        <v>4</v>
      </c>
      <c r="AJ12" s="45">
        <f ca="1">_xlfn.FLOOR.MATH(MIN(TblExplore[[#This Row],[Platinum]]/TblExplore[[#This Row],[Plat/acre]],TblExplore[[#This Row],[Draftees]]/TblExplore[[#This Row],[Draftees/acre]]))</f>
        <v>36</v>
      </c>
    </row>
    <row r="13" spans="1:36" x14ac:dyDescent="0.2">
      <c r="A13" s="178">
        <f>TblRezone[[#This Row],[Hour]]</f>
        <v>10</v>
      </c>
      <c r="B13" s="225">
        <f ca="1">TblConstr[[#This Row],[Land]]</f>
        <v>250</v>
      </c>
      <c r="C13" s="226"/>
      <c r="D13" s="227">
        <f ca="1">TblConstr[[#This Row],[Plain]]</f>
        <v>0</v>
      </c>
      <c r="E13" s="185">
        <f ca="1">TblConstr[[#This Row],[Forest]]</f>
        <v>0</v>
      </c>
      <c r="F13" s="385">
        <f ca="1">TblConstr[[#This Row],[Mountain]]</f>
        <v>0</v>
      </c>
      <c r="G13" s="389">
        <f ca="1">TblConstr[[#This Row],[Hill]]</f>
        <v>0</v>
      </c>
      <c r="H13" s="393">
        <f ca="1">TblConstr[[#This Row],[Swamp]]</f>
        <v>0</v>
      </c>
      <c r="I13" s="188">
        <f ca="1">TblConstr[[#This Row],[Cavern]]</f>
        <v>20</v>
      </c>
      <c r="J13" s="189">
        <f ca="1">TblConstr[[#This Row],[Water]]</f>
        <v>10</v>
      </c>
      <c r="K13" s="221"/>
      <c r="L13" s="221"/>
      <c r="M13" s="221"/>
      <c r="N13" s="228">
        <f ca="1">TblMili[[#This Row],[Smithies]]</f>
        <v>0</v>
      </c>
      <c r="O13" s="228">
        <f ca="1">TblPop[[#This Row],[Employment]]</f>
        <v>1</v>
      </c>
      <c r="P13" s="228">
        <f ca="1">TblImps[[#This Row],[Population]]</f>
        <v>0.48103225806451611</v>
      </c>
      <c r="Q13" s="178">
        <f ca="1">TblExplore[[#This Row],[Land]]</f>
        <v>250</v>
      </c>
      <c r="R13" s="178">
        <f>TblExplore[[#This Row],[Hour]]</f>
        <v>10</v>
      </c>
      <c r="S13" s="229"/>
      <c r="T13" s="182"/>
      <c r="U13" s="182"/>
      <c r="V13" s="182"/>
      <c r="W13" s="182">
        <v>1</v>
      </c>
      <c r="X13" s="182"/>
      <c r="Y13" s="182"/>
      <c r="Z13" s="182"/>
      <c r="AA13" s="162">
        <f ca="1">TblImps[[#This Row],[Real time]]</f>
        <v>45430.124999999978</v>
      </c>
      <c r="AB13" s="97">
        <f ca="1">TblMili[[#This Row],[Draftees]]</f>
        <v>315</v>
      </c>
      <c r="AC13" s="97">
        <f ca="1">TblProd[[#This Row],[Platinum]]</f>
        <v>36323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850</v>
      </c>
      <c r="AI13" s="97">
        <f ca="1">SUM(TblExplore[[#This Row],[Plains Explore]:[Water Explore]])*TblExplore[[#This Row],[Draftees/acre]]</f>
        <v>4</v>
      </c>
      <c r="AJ13" s="45">
        <f ca="1">_xlfn.FLOOR.MATH(MIN(TblExplore[[#This Row],[Platinum]]/TblExplore[[#This Row],[Plat/acre]],TblExplore[[#This Row],[Draftees]]/TblExplore[[#This Row],[Draftees/acre]]))</f>
        <v>42</v>
      </c>
    </row>
    <row r="14" spans="1:36" x14ac:dyDescent="0.2">
      <c r="A14" s="178">
        <f>TblRezone[[#This Row],[Hour]]</f>
        <v>11</v>
      </c>
      <c r="B14" s="225">
        <f ca="1">TblConstr[[#This Row],[Land]]</f>
        <v>250</v>
      </c>
      <c r="C14" s="226"/>
      <c r="D14" s="227">
        <f ca="1">TblConstr[[#This Row],[Plain]]</f>
        <v>0</v>
      </c>
      <c r="E14" s="185">
        <f ca="1">TblConstr[[#This Row],[Forest]]</f>
        <v>0</v>
      </c>
      <c r="F14" s="385">
        <f ca="1">TblConstr[[#This Row],[Mountain]]</f>
        <v>0</v>
      </c>
      <c r="G14" s="389">
        <f ca="1">TblConstr[[#This Row],[Hill]]</f>
        <v>0</v>
      </c>
      <c r="H14" s="393">
        <f ca="1">TblConstr[[#This Row],[Swamp]]</f>
        <v>0</v>
      </c>
      <c r="I14" s="188">
        <f ca="1">TblConstr[[#This Row],[Cavern]]</f>
        <v>20</v>
      </c>
      <c r="J14" s="189">
        <f ca="1">TblConstr[[#This Row],[Water]]</f>
        <v>10</v>
      </c>
      <c r="K14" s="221"/>
      <c r="L14" s="221"/>
      <c r="M14" s="221"/>
      <c r="N14" s="228">
        <f ca="1">TblMili[[#This Row],[Smithies]]</f>
        <v>0</v>
      </c>
      <c r="O14" s="228">
        <f ca="1">TblPop[[#This Row],[Employment]]</f>
        <v>1</v>
      </c>
      <c r="P14" s="228">
        <f ca="1">TblImps[[#This Row],[Population]]</f>
        <v>0.49187096774193551</v>
      </c>
      <c r="Q14" s="178">
        <f ca="1">TblExplore[[#This Row],[Land]]</f>
        <v>250</v>
      </c>
      <c r="R14" s="178">
        <f>TblExplore[[#This Row],[Hour]]</f>
        <v>11</v>
      </c>
      <c r="S14" s="229"/>
      <c r="T14" s="182"/>
      <c r="U14" s="182"/>
      <c r="V14" s="182"/>
      <c r="W14" s="182">
        <v>1</v>
      </c>
      <c r="X14" s="182"/>
      <c r="Y14" s="182"/>
      <c r="Z14" s="182"/>
      <c r="AA14" s="162">
        <f ca="1">TblImps[[#This Row],[Real time]]</f>
        <v>45430.166666666642</v>
      </c>
      <c r="AB14" s="97">
        <f ca="1">TblMili[[#This Row],[Draftees]]</f>
        <v>326</v>
      </c>
      <c r="AC14" s="97">
        <f ca="1">TblProd[[#This Row],[Platinum]]</f>
        <v>41005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850</v>
      </c>
      <c r="AI14" s="97">
        <f ca="1">SUM(TblExplore[[#This Row],[Plains Explore]:[Water Explore]])*TblExplore[[#This Row],[Draftees/acre]]</f>
        <v>4</v>
      </c>
      <c r="AJ14" s="45">
        <f ca="1">_xlfn.FLOOR.MATH(MIN(TblExplore[[#This Row],[Platinum]]/TblExplore[[#This Row],[Plat/acre]],TblExplore[[#This Row],[Draftees]]/TblExplore[[#This Row],[Draftees/acre]]))</f>
        <v>48</v>
      </c>
    </row>
    <row r="15" spans="1:36" x14ac:dyDescent="0.2">
      <c r="A15" s="178">
        <f>TblRezone[[#This Row],[Hour]]</f>
        <v>12</v>
      </c>
      <c r="B15" s="225">
        <f ca="1">TblConstr[[#This Row],[Land]]</f>
        <v>250</v>
      </c>
      <c r="C15" s="226"/>
      <c r="D15" s="227">
        <f ca="1">TblConstr[[#This Row],[Plain]]</f>
        <v>0</v>
      </c>
      <c r="E15" s="185">
        <f ca="1">TblConstr[[#This Row],[Forest]]</f>
        <v>0</v>
      </c>
      <c r="F15" s="385">
        <f ca="1">TblConstr[[#This Row],[Mountain]]</f>
        <v>0</v>
      </c>
      <c r="G15" s="389">
        <f ca="1">TblConstr[[#This Row],[Hill]]</f>
        <v>0</v>
      </c>
      <c r="H15" s="393">
        <f ca="1">TblConstr[[#This Row],[Swamp]]</f>
        <v>0</v>
      </c>
      <c r="I15" s="188">
        <f ca="1">TblConstr[[#This Row],[Cavern]]</f>
        <v>20</v>
      </c>
      <c r="J15" s="189">
        <f ca="1">TblConstr[[#This Row],[Water]]</f>
        <v>10</v>
      </c>
      <c r="K15" s="221"/>
      <c r="L15" s="221"/>
      <c r="M15" s="230"/>
      <c r="N15" s="228">
        <f ca="1">TblMili[[#This Row],[Smithies]]</f>
        <v>0</v>
      </c>
      <c r="O15" s="228">
        <f ca="1">TblPop[[#This Row],[Employment]]</f>
        <v>1</v>
      </c>
      <c r="P15" s="228">
        <f ca="1">TblImps[[#This Row],[Population]]</f>
        <v>0.504</v>
      </c>
      <c r="Q15" s="178">
        <f ca="1">TblExplore[[#This Row],[Land]]</f>
        <v>250</v>
      </c>
      <c r="R15" s="178">
        <f>TblExplore[[#This Row],[Hour]]</f>
        <v>12</v>
      </c>
      <c r="S15" s="229"/>
      <c r="T15" s="161"/>
      <c r="U15" s="182"/>
      <c r="V15" s="182"/>
      <c r="W15" s="182"/>
      <c r="X15" s="182"/>
      <c r="Y15" s="182"/>
      <c r="Z15" s="182"/>
      <c r="AA15" s="162">
        <f ca="1">TblImps[[#This Row],[Real time]]</f>
        <v>45430.208333333307</v>
      </c>
      <c r="AB15" s="97">
        <f ca="1">TblMili[[#This Row],[Draftees]]</f>
        <v>342</v>
      </c>
      <c r="AC15" s="97">
        <f ca="1">TblProd[[#This Row],[Platinum]]</f>
        <v>46621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54</v>
      </c>
    </row>
    <row r="16" spans="1:36" x14ac:dyDescent="0.2">
      <c r="A16" s="178">
        <f>TblRezone[[#This Row],[Hour]]</f>
        <v>13</v>
      </c>
      <c r="B16" s="225">
        <f ca="1">TblConstr[[#This Row],[Land]]</f>
        <v>250</v>
      </c>
      <c r="C16" s="226"/>
      <c r="D16" s="227">
        <f ca="1">TblConstr[[#This Row],[Plain]]</f>
        <v>0</v>
      </c>
      <c r="E16" s="185">
        <f ca="1">TblConstr[[#This Row],[Forest]]</f>
        <v>0</v>
      </c>
      <c r="F16" s="385">
        <f ca="1">TblConstr[[#This Row],[Mountain]]</f>
        <v>0</v>
      </c>
      <c r="G16" s="389">
        <f ca="1">TblConstr[[#This Row],[Hill]]</f>
        <v>0</v>
      </c>
      <c r="H16" s="393">
        <f ca="1">TblConstr[[#This Row],[Swamp]]</f>
        <v>0</v>
      </c>
      <c r="I16" s="188">
        <f ca="1">TblConstr[[#This Row],[Cavern]]</f>
        <v>0</v>
      </c>
      <c r="J16" s="189">
        <f ca="1">TblConstr[[#This Row],[Water]]</f>
        <v>0</v>
      </c>
      <c r="K16" s="221"/>
      <c r="L16" s="231" t="s">
        <v>381</v>
      </c>
      <c r="M16" s="231"/>
      <c r="N16" s="228">
        <f ca="1">TblMili[[#This Row],[Smithies]]</f>
        <v>0</v>
      </c>
      <c r="O16" s="228">
        <f ca="1">TblPop[[#This Row],[Employment]]</f>
        <v>1</v>
      </c>
      <c r="P16" s="228">
        <f ca="1">TblImps[[#This Row],[Population]]</f>
        <v>0.53032258064516125</v>
      </c>
      <c r="Q16" s="178">
        <f ca="1">TblExplore[[#This Row],[Land]]</f>
        <v>250</v>
      </c>
      <c r="R16" s="178">
        <f>TblExplore[[#This Row],[Hour]]</f>
        <v>13</v>
      </c>
      <c r="S16" s="229"/>
      <c r="T16" s="182"/>
      <c r="U16" s="182"/>
      <c r="V16" s="182"/>
      <c r="W16" s="182"/>
      <c r="X16" s="182"/>
      <c r="Y16" s="182"/>
      <c r="Z16" s="182"/>
      <c r="AA16" s="162">
        <f ca="1">TblImps[[#This Row],[Real time]]</f>
        <v>45430.249999999971</v>
      </c>
      <c r="AB16" s="97">
        <f ca="1">TblMili[[#This Row],[Draftees]]</f>
        <v>358</v>
      </c>
      <c r="AC16" s="97">
        <f ca="1">TblProd[[#This Row],[Platinum]]</f>
        <v>27645</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32</v>
      </c>
    </row>
    <row r="17" spans="1:36" x14ac:dyDescent="0.2">
      <c r="A17" s="178">
        <f>TblRezone[[#This Row],[Hour]]</f>
        <v>14</v>
      </c>
      <c r="B17" s="225">
        <f ca="1">TblConstr[[#This Row],[Land]]</f>
        <v>250</v>
      </c>
      <c r="C17" s="226"/>
      <c r="D17" s="227">
        <f ca="1">TblConstr[[#This Row],[Plain]]</f>
        <v>0</v>
      </c>
      <c r="E17" s="185">
        <f ca="1">TblConstr[[#This Row],[Forest]]</f>
        <v>0</v>
      </c>
      <c r="F17" s="385">
        <f ca="1">TblConstr[[#This Row],[Mountain]]</f>
        <v>0</v>
      </c>
      <c r="G17" s="389">
        <f ca="1">TblConstr[[#This Row],[Hill]]</f>
        <v>0</v>
      </c>
      <c r="H17" s="393">
        <f ca="1">TblConstr[[#This Row],[Swamp]]</f>
        <v>0</v>
      </c>
      <c r="I17" s="188">
        <f ca="1">TblConstr[[#This Row],[Cavern]]</f>
        <v>0</v>
      </c>
      <c r="J17" s="189">
        <f ca="1">TblConstr[[#This Row],[Water]]</f>
        <v>0</v>
      </c>
      <c r="K17" s="221"/>
      <c r="L17" s="232" t="s">
        <v>369</v>
      </c>
      <c r="M17" s="233"/>
      <c r="N17" s="228">
        <f ca="1">TblMili[[#This Row],[Smithies]]</f>
        <v>0</v>
      </c>
      <c r="O17" s="228">
        <f ca="1">TblPop[[#This Row],[Employment]]</f>
        <v>1</v>
      </c>
      <c r="P17" s="228">
        <f ca="1">TblImps[[#This Row],[Population]]</f>
        <v>0.53567888999008917</v>
      </c>
      <c r="Q17" s="178">
        <f ca="1">TblExplore[[#This Row],[Land]]</f>
        <v>250</v>
      </c>
      <c r="R17" s="178">
        <f>TblExplore[[#This Row],[Hour]]</f>
        <v>14</v>
      </c>
      <c r="S17" s="229"/>
      <c r="T17" s="182"/>
      <c r="U17" s="182"/>
      <c r="V17" s="182"/>
      <c r="W17" s="182"/>
      <c r="X17" s="182"/>
      <c r="Y17" s="182"/>
      <c r="Z17" s="182"/>
      <c r="AA17" s="162">
        <f ca="1">TblImps[[#This Row],[Real time]]</f>
        <v>45430.291666666635</v>
      </c>
      <c r="AB17" s="97">
        <f ca="1">TblMili[[#This Row],[Draftees]]</f>
        <v>375</v>
      </c>
      <c r="AC17" s="97">
        <f ca="1">TblProd[[#This Row],[Platinum]]</f>
        <v>35376</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41</v>
      </c>
    </row>
    <row r="18" spans="1:36" x14ac:dyDescent="0.2">
      <c r="A18" s="178">
        <f>TblRezone[[#This Row],[Hour]]</f>
        <v>15</v>
      </c>
      <c r="B18" s="225">
        <f ca="1">TblConstr[[#This Row],[Land]]</f>
        <v>250</v>
      </c>
      <c r="C18" s="226"/>
      <c r="D18" s="227">
        <f ca="1">TblConstr[[#This Row],[Plain]]</f>
        <v>0</v>
      </c>
      <c r="E18" s="185">
        <f ca="1">TblConstr[[#This Row],[Forest]]</f>
        <v>0</v>
      </c>
      <c r="F18" s="385">
        <f ca="1">TblConstr[[#This Row],[Mountain]]</f>
        <v>0</v>
      </c>
      <c r="G18" s="389">
        <f ca="1">TblConstr[[#This Row],[Hill]]</f>
        <v>0</v>
      </c>
      <c r="H18" s="393">
        <f ca="1">TblConstr[[#This Row],[Swamp]]</f>
        <v>0</v>
      </c>
      <c r="I18" s="188">
        <f ca="1">TblConstr[[#This Row],[Cavern]]</f>
        <v>0</v>
      </c>
      <c r="J18" s="189">
        <f ca="1">TblConstr[[#This Row],[Water]]</f>
        <v>0</v>
      </c>
      <c r="K18" s="221"/>
      <c r="L18" s="232" t="s">
        <v>368</v>
      </c>
      <c r="M18" s="233"/>
      <c r="N18" s="228">
        <f ca="1">TblMili[[#This Row],[Smithies]]</f>
        <v>0</v>
      </c>
      <c r="O18" s="228">
        <f ca="1">TblPop[[#This Row],[Employment]]</f>
        <v>1</v>
      </c>
      <c r="P18" s="228">
        <f ca="1">TblImps[[#This Row],[Population]]</f>
        <v>0.57011892963330024</v>
      </c>
      <c r="Q18" s="178">
        <f ca="1">TblExplore[[#This Row],[Land]]</f>
        <v>250</v>
      </c>
      <c r="R18" s="178">
        <f>TblExplore[[#This Row],[Hour]]</f>
        <v>15</v>
      </c>
      <c r="S18" s="229"/>
      <c r="T18" s="182"/>
      <c r="U18" s="182"/>
      <c r="V18" s="182"/>
      <c r="W18" s="182"/>
      <c r="X18" s="182"/>
      <c r="Y18" s="182"/>
      <c r="Z18" s="182"/>
      <c r="AA18" s="162">
        <f ca="1">TblImps[[#This Row],[Real time]]</f>
        <v>45430.333333333299</v>
      </c>
      <c r="AB18" s="97">
        <f ca="1">TblMili[[#This Row],[Draftees]]</f>
        <v>393</v>
      </c>
      <c r="AC18" s="97">
        <f ca="1">TblProd[[#This Row],[Platinum]]</f>
        <v>43350</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51</v>
      </c>
    </row>
    <row r="19" spans="1:36" x14ac:dyDescent="0.2">
      <c r="A19" s="178">
        <f>TblRezone[[#This Row],[Hour]]</f>
        <v>16</v>
      </c>
      <c r="B19" s="225">
        <f ca="1">TblConstr[[#This Row],[Land]]</f>
        <v>250</v>
      </c>
      <c r="C19" s="226"/>
      <c r="D19" s="227">
        <f ca="1">TblConstr[[#This Row],[Plain]]</f>
        <v>0</v>
      </c>
      <c r="E19" s="185">
        <f ca="1">TblConstr[[#This Row],[Forest]]</f>
        <v>0</v>
      </c>
      <c r="F19" s="385">
        <f ca="1">TblConstr[[#This Row],[Mountain]]</f>
        <v>0</v>
      </c>
      <c r="G19" s="389">
        <f ca="1">TblConstr[[#This Row],[Hill]]</f>
        <v>0</v>
      </c>
      <c r="H19" s="393">
        <f ca="1">TblConstr[[#This Row],[Swamp]]</f>
        <v>0</v>
      </c>
      <c r="I19" s="188">
        <f ca="1">TblConstr[[#This Row],[Cavern]]</f>
        <v>0</v>
      </c>
      <c r="J19" s="189">
        <f ca="1">TblConstr[[#This Row],[Water]]</f>
        <v>0</v>
      </c>
      <c r="K19" s="221"/>
      <c r="L19" s="232" t="s">
        <v>366</v>
      </c>
      <c r="M19" s="233"/>
      <c r="N19" s="228">
        <f ca="1">TblMili[[#This Row],[Smithies]]</f>
        <v>0</v>
      </c>
      <c r="O19" s="228">
        <f ca="1">TblPop[[#This Row],[Employment]]</f>
        <v>1</v>
      </c>
      <c r="P19" s="228">
        <f ca="1">TblImps[[#This Row],[Population]]</f>
        <v>0.60703666997026762</v>
      </c>
      <c r="Q19" s="178">
        <f ca="1">TblExplore[[#This Row],[Land]]</f>
        <v>250</v>
      </c>
      <c r="R19" s="178">
        <f>TblExplore[[#This Row],[Hour]]</f>
        <v>16</v>
      </c>
      <c r="S19" s="229"/>
      <c r="T19" s="161"/>
      <c r="U19" s="182"/>
      <c r="V19" s="182"/>
      <c r="W19" s="182"/>
      <c r="X19" s="182"/>
      <c r="Y19" s="182"/>
      <c r="Z19" s="182"/>
      <c r="AA19" s="162">
        <f ca="1">TblImps[[#This Row],[Real time]]</f>
        <v>45430.374999999964</v>
      </c>
      <c r="AB19" s="97">
        <f ca="1">TblMili[[#This Row],[Draftees]]</f>
        <v>412</v>
      </c>
      <c r="AC19" s="97">
        <f ca="1">TblProd[[#This Row],[Platinum]]</f>
        <v>51651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60</v>
      </c>
    </row>
    <row r="20" spans="1:36" x14ac:dyDescent="0.2">
      <c r="A20" s="178">
        <f>TblRezone[[#This Row],[Hour]]</f>
        <v>17</v>
      </c>
      <c r="B20" s="225">
        <f ca="1">TblConstr[[#This Row],[Land]]</f>
        <v>250</v>
      </c>
      <c r="C20" s="226"/>
      <c r="D20" s="227">
        <f ca="1">TblConstr[[#This Row],[Plain]]</f>
        <v>0</v>
      </c>
      <c r="E20" s="185">
        <f ca="1">TblConstr[[#This Row],[Forest]]</f>
        <v>0</v>
      </c>
      <c r="F20" s="385">
        <f ca="1">TblConstr[[#This Row],[Mountain]]</f>
        <v>0</v>
      </c>
      <c r="G20" s="389">
        <f ca="1">TblConstr[[#This Row],[Hill]]</f>
        <v>0</v>
      </c>
      <c r="H20" s="393">
        <f ca="1">TblConstr[[#This Row],[Swamp]]</f>
        <v>0</v>
      </c>
      <c r="I20" s="188">
        <f ca="1">TblConstr[[#This Row],[Cavern]]</f>
        <v>0</v>
      </c>
      <c r="J20" s="189">
        <f ca="1">TblConstr[[#This Row],[Water]]</f>
        <v>0</v>
      </c>
      <c r="K20" s="221"/>
      <c r="L20" s="232" t="s">
        <v>367</v>
      </c>
      <c r="M20" s="233"/>
      <c r="N20" s="228">
        <f ca="1">TblMili[[#This Row],[Smithies]]</f>
        <v>0</v>
      </c>
      <c r="O20" s="228">
        <f ca="1">TblPop[[#This Row],[Employment]]</f>
        <v>1</v>
      </c>
      <c r="P20" s="228">
        <f ca="1">TblImps[[#This Row],[Population]]</f>
        <v>0.64643211100099107</v>
      </c>
      <c r="Q20" s="178">
        <f ca="1">TblExplore[[#This Row],[Land]]</f>
        <v>250</v>
      </c>
      <c r="R20" s="178">
        <f>TblExplore[[#This Row],[Hour]]</f>
        <v>17</v>
      </c>
      <c r="S20" s="229"/>
      <c r="T20" s="161"/>
      <c r="U20" s="182"/>
      <c r="V20" s="182"/>
      <c r="W20" s="182"/>
      <c r="X20" s="182"/>
      <c r="Y20" s="182"/>
      <c r="Z20" s="182"/>
      <c r="AA20" s="162">
        <f ca="1">TblImps[[#This Row],[Real time]]</f>
        <v>45430.416666666628</v>
      </c>
      <c r="AB20" s="97">
        <f ca="1">TblMili[[#This Row],[Draftees]]</f>
        <v>432</v>
      </c>
      <c r="AC20" s="97">
        <f ca="1">TblProd[[#This Row],[Platinum]]</f>
        <v>61168</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71</v>
      </c>
    </row>
    <row r="21" spans="1:36" x14ac:dyDescent="0.2">
      <c r="A21" s="178">
        <f>TblRezone[[#This Row],[Hour]]</f>
        <v>18</v>
      </c>
      <c r="B21" s="225">
        <f ca="1">TblConstr[[#This Row],[Land]]</f>
        <v>274</v>
      </c>
      <c r="C21" s="226"/>
      <c r="D21" s="227">
        <f ca="1">TblConstr[[#This Row],[Plain]]</f>
        <v>0</v>
      </c>
      <c r="E21" s="185">
        <f ca="1">TblConstr[[#This Row],[Forest]]</f>
        <v>0</v>
      </c>
      <c r="F21" s="385">
        <f ca="1">TblConstr[[#This Row],[Mountain]]</f>
        <v>0</v>
      </c>
      <c r="G21" s="389">
        <f ca="1">TblConstr[[#This Row],[Hill]]</f>
        <v>0</v>
      </c>
      <c r="H21" s="393">
        <f ca="1">TblConstr[[#This Row],[Swamp]]</f>
        <v>0</v>
      </c>
      <c r="I21" s="188">
        <f ca="1">TblConstr[[#This Row],[Cavern]]</f>
        <v>0</v>
      </c>
      <c r="J21" s="189">
        <f ca="1">TblConstr[[#This Row],[Water]]</f>
        <v>0</v>
      </c>
      <c r="K21" s="221"/>
      <c r="L21" s="221"/>
      <c r="M21" s="234"/>
      <c r="N21" s="228">
        <f ca="1">TblMili[[#This Row],[Smithies]]</f>
        <v>0</v>
      </c>
      <c r="O21" s="228">
        <f ca="1">TblPop[[#This Row],[Employment]]</f>
        <v>1</v>
      </c>
      <c r="P21" s="228">
        <f ca="1">TblImps[[#This Row],[Population]]</f>
        <v>0.59855942376950777</v>
      </c>
      <c r="Q21" s="178">
        <f ca="1">TblExplore[[#This Row],[Land]]</f>
        <v>274</v>
      </c>
      <c r="R21" s="178">
        <f>TblExplore[[#This Row],[Hour]]</f>
        <v>18</v>
      </c>
      <c r="S21" s="229"/>
      <c r="T21" s="182">
        <v>62</v>
      </c>
      <c r="U21" s="182">
        <v>2</v>
      </c>
      <c r="V21" s="182"/>
      <c r="W21" s="182">
        <v>1</v>
      </c>
      <c r="X21" s="182"/>
      <c r="Y21" s="182"/>
      <c r="Z21" s="182">
        <v>5</v>
      </c>
      <c r="AA21" s="162">
        <f ca="1">TblImps[[#This Row],[Real time]]</f>
        <v>45430.458333333292</v>
      </c>
      <c r="AB21" s="97">
        <f ca="1">TblMili[[#This Row],[Draftees]]</f>
        <v>174</v>
      </c>
      <c r="AC21" s="97">
        <f ca="1">TblProd[[#This Row],[Platinum]]</f>
        <v>980</v>
      </c>
      <c r="AD21" s="226"/>
      <c r="AE21" s="45">
        <f ca="1">TblExplore[[#This Row],[Land]]-TblExplore[[#This Row],[Land Bonus]]*20</f>
        <v>274</v>
      </c>
      <c r="AF21" s="97">
        <f ca="1">ROUND(MAX(0.6*TblExplore[[#This Row],[Land-DB]]^1.299,850)*(1+ tech_2_6*Techs!AC21 + tech_2_9*Techs!AF21 + tech_3_7*Techs!AN21 + Overview!$I$32),0)</f>
        <v>881</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61670</v>
      </c>
      <c r="AI21" s="97">
        <f ca="1">SUM(TblExplore[[#This Row],[Plains Explore]:[Water Explore]])*TblExplore[[#This Row],[Draftees/acre]]</f>
        <v>280</v>
      </c>
      <c r="AJ21" s="45">
        <f ca="1">_xlfn.FLOOR.MATH(MIN(TblExplore[[#This Row],[Platinum]]/TblExplore[[#This Row],[Plat/acre]],TblExplore[[#This Row],[Draftees]]/TblExplore[[#This Row],[Draftees/acre]]))</f>
        <v>1</v>
      </c>
    </row>
    <row r="22" spans="1:36" x14ac:dyDescent="0.2">
      <c r="A22" s="178">
        <f>TblRezone[[#This Row],[Hour]]</f>
        <v>19</v>
      </c>
      <c r="B22" s="225">
        <f ca="1">TblConstr[[#This Row],[Land]]</f>
        <v>275</v>
      </c>
      <c r="C22" s="226"/>
      <c r="D22" s="227">
        <f ca="1">TblConstr[[#This Row],[Plain]]</f>
        <v>0</v>
      </c>
      <c r="E22" s="185">
        <f ca="1">TblConstr[[#This Row],[Forest]]</f>
        <v>0</v>
      </c>
      <c r="F22" s="385">
        <f ca="1">TblConstr[[#This Row],[Mountain]]</f>
        <v>0</v>
      </c>
      <c r="G22" s="389">
        <f ca="1">TblConstr[[#This Row],[Hill]]</f>
        <v>0</v>
      </c>
      <c r="H22" s="393">
        <f ca="1">TblConstr[[#This Row],[Swamp]]</f>
        <v>0</v>
      </c>
      <c r="I22" s="188">
        <f ca="1">TblConstr[[#This Row],[Cavern]]</f>
        <v>0</v>
      </c>
      <c r="J22" s="189">
        <f ca="1">TblConstr[[#This Row],[Water]]</f>
        <v>0</v>
      </c>
      <c r="K22" s="221"/>
      <c r="L22" s="221"/>
      <c r="M22" s="234"/>
      <c r="N22" s="228">
        <f ca="1">TblMili[[#This Row],[Smithies]]</f>
        <v>0</v>
      </c>
      <c r="O22" s="228">
        <f ca="1">TblPop[[#This Row],[Employment]]</f>
        <v>1</v>
      </c>
      <c r="P22" s="228">
        <f ca="1">TblImps[[#This Row],[Population]]</f>
        <v>0.59223300970873782</v>
      </c>
      <c r="Q22" s="178">
        <f ca="1">TblExplore[[#This Row],[Land]]</f>
        <v>275</v>
      </c>
      <c r="R22" s="178">
        <f>TblExplore[[#This Row],[Hour]]</f>
        <v>19</v>
      </c>
      <c r="S22" s="229"/>
      <c r="T22" s="182">
        <v>10</v>
      </c>
      <c r="U22" s="182"/>
      <c r="V22" s="182"/>
      <c r="W22" s="182">
        <v>1</v>
      </c>
      <c r="X22" s="182"/>
      <c r="Y22" s="182"/>
      <c r="Z22" s="182"/>
      <c r="AA22" s="162">
        <f ca="1">TblImps[[#This Row],[Real time]]</f>
        <v>45430.499999999956</v>
      </c>
      <c r="AB22" s="97">
        <f ca="1">TblMili[[#This Row],[Draftees]]</f>
        <v>153</v>
      </c>
      <c r="AC22" s="97">
        <f ca="1">TblProd[[#This Row],[Platinum]]</f>
        <v>1245</v>
      </c>
      <c r="AD22" s="226"/>
      <c r="AE22" s="45">
        <f ca="1">TblExplore[[#This Row],[Land]]-TblExplore[[#This Row],[Land Bonus]]*20</f>
        <v>275</v>
      </c>
      <c r="AF22" s="97">
        <f ca="1">ROUND(MAX(0.6*TblExplore[[#This Row],[Land-DB]]^1.299,850)*(1+ tech_2_6*Techs!AC22 + tech_2_9*Techs!AF22 + tech_3_7*Techs!AN22 + Overview!$I$32),0)</f>
        <v>885</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9735</v>
      </c>
      <c r="AI22" s="97">
        <f ca="1">SUM(TblExplore[[#This Row],[Plains Explore]:[Water Explore]])*TblExplore[[#This Row],[Draftees/acre]]</f>
        <v>44</v>
      </c>
      <c r="AJ22" s="45">
        <f ca="1">_xlfn.FLOOR.MATH(MIN(TblExplore[[#This Row],[Platinum]]/TblExplore[[#This Row],[Plat/acre]],TblExplore[[#This Row],[Draftees]]/TblExplore[[#This Row],[Draftees/acre]]))</f>
        <v>1</v>
      </c>
    </row>
    <row r="23" spans="1:36" x14ac:dyDescent="0.2">
      <c r="A23" s="178">
        <f>TblRezone[[#This Row],[Hour]]</f>
        <v>20</v>
      </c>
      <c r="B23" s="225">
        <f ca="1">TblConstr[[#This Row],[Land]]</f>
        <v>276</v>
      </c>
      <c r="C23" s="226"/>
      <c r="D23" s="227">
        <f ca="1">TblConstr[[#This Row],[Plain]]</f>
        <v>0</v>
      </c>
      <c r="E23" s="185">
        <f ca="1">TblConstr[[#This Row],[Forest]]</f>
        <v>0</v>
      </c>
      <c r="F23" s="385">
        <f ca="1">TblConstr[[#This Row],[Mountain]]</f>
        <v>0</v>
      </c>
      <c r="G23" s="389">
        <f ca="1">TblConstr[[#This Row],[Hill]]</f>
        <v>0</v>
      </c>
      <c r="H23" s="393">
        <f ca="1">TblConstr[[#This Row],[Swamp]]</f>
        <v>0</v>
      </c>
      <c r="I23" s="188">
        <f ca="1">TblConstr[[#This Row],[Cavern]]</f>
        <v>0</v>
      </c>
      <c r="J23" s="189">
        <f ca="1">TblConstr[[#This Row],[Water]]</f>
        <v>0</v>
      </c>
      <c r="K23" s="221"/>
      <c r="L23" s="221"/>
      <c r="M23" s="234"/>
      <c r="N23" s="228">
        <f ca="1">TblMili[[#This Row],[Smithies]]</f>
        <v>0</v>
      </c>
      <c r="O23" s="228">
        <f ca="1">TblPop[[#This Row],[Employment]]</f>
        <v>1</v>
      </c>
      <c r="P23" s="228">
        <f ca="1">TblImps[[#This Row],[Population]]</f>
        <v>0.6209223847019123</v>
      </c>
      <c r="Q23" s="178">
        <f ca="1">TblExplore[[#This Row],[Land]]</f>
        <v>276</v>
      </c>
      <c r="R23" s="178">
        <f>TblExplore[[#This Row],[Hour]]</f>
        <v>20</v>
      </c>
      <c r="S23" s="229"/>
      <c r="T23" s="182">
        <v>10</v>
      </c>
      <c r="U23" s="182"/>
      <c r="V23" s="182"/>
      <c r="W23" s="182">
        <v>1</v>
      </c>
      <c r="X23" s="182">
        <v>1</v>
      </c>
      <c r="Y23" s="182"/>
      <c r="Z23" s="182"/>
      <c r="AA23" s="162">
        <f ca="1">TblImps[[#This Row],[Real time]]</f>
        <v>45430.541666666621</v>
      </c>
      <c r="AB23" s="97">
        <f ca="1">TblMili[[#This Row],[Draftees]]</f>
        <v>130</v>
      </c>
      <c r="AC23" s="97">
        <f ca="1">TblProd[[#This Row],[Platinum]]</f>
        <v>1024</v>
      </c>
      <c r="AD23" s="226"/>
      <c r="AE23" s="45">
        <f ca="1">TblExplore[[#This Row],[Land]]-TblExplore[[#This Row],[Land Bonus]]*20</f>
        <v>276</v>
      </c>
      <c r="AF23" s="97">
        <f ca="1">ROUND(MAX(0.6*TblExplore[[#This Row],[Land-DB]]^1.299,850)*(1+ tech_2_6*Techs!AC23 + tech_2_9*Techs!AF23 + tech_3_7*Techs!AN23 + Overview!$I$32),0)</f>
        <v>889</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10668</v>
      </c>
      <c r="AI23" s="97">
        <f ca="1">SUM(TblExplore[[#This Row],[Plains Explore]:[Water Explore]])*TblExplore[[#This Row],[Draftees/acre]]</f>
        <v>48</v>
      </c>
      <c r="AJ23" s="45">
        <f ca="1">_xlfn.FLOOR.MATH(MIN(TblExplore[[#This Row],[Platinum]]/TblExplore[[#This Row],[Plat/acre]],TblExplore[[#This Row],[Draftees]]/TblExplore[[#This Row],[Draftees/acre]]))</f>
        <v>1</v>
      </c>
    </row>
    <row r="24" spans="1:36" x14ac:dyDescent="0.2">
      <c r="A24" s="178">
        <f>TblRezone[[#This Row],[Hour]]</f>
        <v>21</v>
      </c>
      <c r="B24" s="225">
        <f ca="1">TblConstr[[#This Row],[Land]]</f>
        <v>277</v>
      </c>
      <c r="C24" s="226"/>
      <c r="D24" s="227">
        <f ca="1">TblConstr[[#This Row],[Plain]]</f>
        <v>0</v>
      </c>
      <c r="E24" s="185">
        <f ca="1">TblConstr[[#This Row],[Forest]]</f>
        <v>0</v>
      </c>
      <c r="F24" s="385">
        <f ca="1">TblConstr[[#This Row],[Mountain]]</f>
        <v>0</v>
      </c>
      <c r="G24" s="389">
        <f ca="1">TblConstr[[#This Row],[Hill]]</f>
        <v>0</v>
      </c>
      <c r="H24" s="393">
        <f ca="1">TblConstr[[#This Row],[Swamp]]</f>
        <v>0</v>
      </c>
      <c r="I24" s="188">
        <f ca="1">TblConstr[[#This Row],[Cavern]]</f>
        <v>0</v>
      </c>
      <c r="J24" s="189">
        <f ca="1">TblConstr[[#This Row],[Water]]</f>
        <v>0</v>
      </c>
      <c r="K24" s="221"/>
      <c r="L24" s="221"/>
      <c r="M24" s="221"/>
      <c r="N24" s="228">
        <f ca="1">TblMili[[#This Row],[Smithies]]</f>
        <v>0</v>
      </c>
      <c r="O24" s="228">
        <f ca="1">TblPop[[#This Row],[Employment]]</f>
        <v>1</v>
      </c>
      <c r="P24" s="228">
        <f ca="1">TblImps[[#This Row],[Population]]</f>
        <v>0.65209594261376369</v>
      </c>
      <c r="Q24" s="178">
        <f ca="1">TblExplore[[#This Row],[Land]]</f>
        <v>277</v>
      </c>
      <c r="R24" s="225">
        <f>TblExplore[[#This Row],[Hour]]</f>
        <v>21</v>
      </c>
      <c r="S24" s="229"/>
      <c r="T24" s="182">
        <v>5</v>
      </c>
      <c r="U24" s="182"/>
      <c r="V24" s="182"/>
      <c r="W24" s="182">
        <v>1</v>
      </c>
      <c r="X24" s="182">
        <v>6</v>
      </c>
      <c r="Y24" s="182"/>
      <c r="Z24" s="182"/>
      <c r="AA24" s="162">
        <f ca="1">TblImps[[#This Row],[Real time]]</f>
        <v>45430.583333333285</v>
      </c>
      <c r="AB24" s="97">
        <f ca="1">TblMili[[#This Row],[Draftees]]</f>
        <v>108</v>
      </c>
      <c r="AC24" s="97">
        <f ca="1">TblProd[[#This Row],[Platinum]]</f>
        <v>1231</v>
      </c>
      <c r="AD24" s="226"/>
      <c r="AE24" s="45">
        <f ca="1">TblExplore[[#This Row],[Land]]-TblExplore[[#This Row],[Land Bonus]]*20</f>
        <v>277</v>
      </c>
      <c r="AF24" s="97">
        <f ca="1">ROUND(MAX(0.6*TblExplore[[#This Row],[Land-DB]]^1.299,850)*(1+ tech_2_6*Techs!AC24 + tech_2_9*Techs!AF24 + tech_3_7*Techs!AN24 + Overview!$I$32),0)</f>
        <v>893</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10716</v>
      </c>
      <c r="AI24" s="97">
        <f ca="1">SUM(TblExplore[[#This Row],[Plains Explore]:[Water Explore]])*TblExplore[[#This Row],[Draftees/acre]]</f>
        <v>48</v>
      </c>
      <c r="AJ24" s="45">
        <f ca="1">_xlfn.FLOOR.MATH(MIN(TblExplore[[#This Row],[Platinum]]/TblExplore[[#This Row],[Plat/acre]],TblExplore[[#This Row],[Draftees]]/TblExplore[[#This Row],[Draftees/acre]]))</f>
        <v>1</v>
      </c>
    </row>
    <row r="25" spans="1:36" x14ac:dyDescent="0.2">
      <c r="A25" s="178">
        <f>TblRezone[[#This Row],[Hour]]</f>
        <v>22</v>
      </c>
      <c r="B25" s="225">
        <f ca="1">TblConstr[[#This Row],[Land]]</f>
        <v>278</v>
      </c>
      <c r="C25" s="226"/>
      <c r="D25" s="227">
        <f ca="1">TblConstr[[#This Row],[Plain]]</f>
        <v>0</v>
      </c>
      <c r="E25" s="185">
        <f ca="1">TblConstr[[#This Row],[Forest]]</f>
        <v>0</v>
      </c>
      <c r="F25" s="385">
        <f ca="1">TblConstr[[#This Row],[Mountain]]</f>
        <v>0</v>
      </c>
      <c r="G25" s="389">
        <f ca="1">TblConstr[[#This Row],[Hill]]</f>
        <v>0</v>
      </c>
      <c r="H25" s="393">
        <f ca="1">TblConstr[[#This Row],[Swamp]]</f>
        <v>0</v>
      </c>
      <c r="I25" s="188">
        <f ca="1">TblConstr[[#This Row],[Cavern]]</f>
        <v>0</v>
      </c>
      <c r="J25" s="189">
        <f ca="1">TblConstr[[#This Row],[Water]]</f>
        <v>0</v>
      </c>
      <c r="K25" s="221"/>
      <c r="L25" s="235" t="s">
        <v>382</v>
      </c>
      <c r="M25" s="235"/>
      <c r="N25" s="228">
        <f ca="1">TblMili[[#This Row],[Smithies]]</f>
        <v>0</v>
      </c>
      <c r="O25" s="228">
        <f ca="1">TblPop[[#This Row],[Employment]]</f>
        <v>1</v>
      </c>
      <c r="P25" s="228">
        <f ca="1">TblImps[[#This Row],[Population]]</f>
        <v>0.69376814831360289</v>
      </c>
      <c r="Q25" s="178">
        <f ca="1">TblExplore[[#This Row],[Land]]</f>
        <v>278</v>
      </c>
      <c r="R25" s="225">
        <f>TblExplore[[#This Row],[Hour]]</f>
        <v>22</v>
      </c>
      <c r="S25" s="229"/>
      <c r="T25" s="182">
        <v>2</v>
      </c>
      <c r="U25" s="182"/>
      <c r="V25" s="182"/>
      <c r="W25" s="182">
        <v>1</v>
      </c>
      <c r="X25" s="182"/>
      <c r="Y25" s="182"/>
      <c r="Z25" s="182"/>
      <c r="AA25" s="162">
        <f ca="1">TblImps[[#This Row],[Real time]]</f>
        <v>45430.624999999949</v>
      </c>
      <c r="AB25" s="97">
        <f ca="1">TblMili[[#This Row],[Draftees]]</f>
        <v>124</v>
      </c>
      <c r="AC25" s="97">
        <f ca="1">TblProd[[#This Row],[Platinum]]</f>
        <v>9969</v>
      </c>
      <c r="AD25" s="226"/>
      <c r="AE25" s="45">
        <f ca="1">TblExplore[[#This Row],[Land]]-TblExplore[[#This Row],[Land Bonus]]*20</f>
        <v>278</v>
      </c>
      <c r="AF25" s="97">
        <f ca="1">ROUND(MAX(0.6*TblExplore[[#This Row],[Land-DB]]^1.299,850)*(1+ tech_2_6*Techs!AC25 + tech_2_9*Techs!AF25 + tech_3_7*Techs!AN25 + Overview!$I$32),0)</f>
        <v>897</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2691</v>
      </c>
      <c r="AI25" s="97">
        <f ca="1">SUM(TblExplore[[#This Row],[Plains Explore]:[Water Explore]])*TblExplore[[#This Row],[Draftees/acre]]</f>
        <v>12</v>
      </c>
      <c r="AJ25" s="45">
        <f ca="1">_xlfn.FLOOR.MATH(MIN(TblExplore[[#This Row],[Platinum]]/TblExplore[[#This Row],[Plat/acre]],TblExplore[[#This Row],[Draftees]]/TblExplore[[#This Row],[Draftees/acre]]))</f>
        <v>11</v>
      </c>
    </row>
    <row r="26" spans="1:36" x14ac:dyDescent="0.2">
      <c r="A26" s="178">
        <f>TblRezone[[#This Row],[Hour]]</f>
        <v>23</v>
      </c>
      <c r="B26" s="225">
        <f ca="1">TblConstr[[#This Row],[Land]]</f>
        <v>279</v>
      </c>
      <c r="C26" s="226"/>
      <c r="D26" s="227">
        <f ca="1">TblConstr[[#This Row],[Plain]]</f>
        <v>0</v>
      </c>
      <c r="E26" s="185">
        <f ca="1">TblConstr[[#This Row],[Forest]]</f>
        <v>0</v>
      </c>
      <c r="F26" s="385">
        <f ca="1">TblConstr[[#This Row],[Mountain]]</f>
        <v>0</v>
      </c>
      <c r="G26" s="389">
        <f ca="1">TblConstr[[#This Row],[Hill]]</f>
        <v>0</v>
      </c>
      <c r="H26" s="393">
        <f ca="1">TblConstr[[#This Row],[Swamp]]</f>
        <v>0</v>
      </c>
      <c r="I26" s="188">
        <f ca="1">TblConstr[[#This Row],[Cavern]]</f>
        <v>0</v>
      </c>
      <c r="J26" s="189">
        <f ca="1">TblConstr[[#This Row],[Water]]</f>
        <v>0</v>
      </c>
      <c r="K26" s="221"/>
      <c r="L26" s="235" t="s">
        <v>369</v>
      </c>
      <c r="M26" s="236">
        <f ca="1">Military!AP67</f>
        <v>7459</v>
      </c>
      <c r="N26" s="228">
        <f ca="1">TblMili[[#This Row],[Smithies]]</f>
        <v>0</v>
      </c>
      <c r="O26" s="228">
        <f ca="1">TblPop[[#This Row],[Employment]]</f>
        <v>1</v>
      </c>
      <c r="P26" s="228">
        <f ca="1">TblImps[[#This Row],[Population]]</f>
        <v>0.73892722012018697</v>
      </c>
      <c r="Q26" s="178">
        <f ca="1">TblExplore[[#This Row],[Land]]</f>
        <v>279</v>
      </c>
      <c r="R26" s="178">
        <f>TblExplore[[#This Row],[Hour]]</f>
        <v>23</v>
      </c>
      <c r="S26" s="229"/>
      <c r="T26" s="182">
        <v>1</v>
      </c>
      <c r="U26" s="182"/>
      <c r="V26" s="182"/>
      <c r="W26" s="182">
        <v>1</v>
      </c>
      <c r="X26" s="182"/>
      <c r="Y26" s="182"/>
      <c r="Z26" s="182"/>
      <c r="AA26" s="162">
        <f ca="1">TblImps[[#This Row],[Real time]]</f>
        <v>45430.666666666613</v>
      </c>
      <c r="AB26" s="97">
        <f ca="1">TblMili[[#This Row],[Draftees]]</f>
        <v>146</v>
      </c>
      <c r="AC26" s="97">
        <f ca="1">TblProd[[#This Row],[Platinum]]</f>
        <v>20132</v>
      </c>
      <c r="AD26" s="226"/>
      <c r="AE26" s="45">
        <f ca="1">TblExplore[[#This Row],[Land]]-TblExplore[[#This Row],[Land Bonus]]*20</f>
        <v>279</v>
      </c>
      <c r="AF26" s="97">
        <f ca="1">ROUND(MAX(0.6*TblExplore[[#This Row],[Land-DB]]^1.299,850)*(1+ tech_2_6*Techs!AC26 + tech_2_9*Techs!AF26 + tech_3_7*Techs!AN26 + Overview!$I$32),0)</f>
        <v>902</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1804</v>
      </c>
      <c r="AI26" s="97">
        <f ca="1">SUM(TblExplore[[#This Row],[Plains Explore]:[Water Explore]])*TblExplore[[#This Row],[Draftees/acre]]</f>
        <v>8</v>
      </c>
      <c r="AJ26" s="45">
        <f ca="1">_xlfn.FLOOR.MATH(MIN(TblExplore[[#This Row],[Platinum]]/TblExplore[[#This Row],[Plat/acre]],TblExplore[[#This Row],[Draftees]]/TblExplore[[#This Row],[Draftees/acre]]))</f>
        <v>22</v>
      </c>
    </row>
    <row r="27" spans="1:36" x14ac:dyDescent="0.2">
      <c r="A27" s="178">
        <f>TblRezone[[#This Row],[Hour]]</f>
        <v>24</v>
      </c>
      <c r="B27" s="225">
        <f ca="1">TblConstr[[#This Row],[Land]]</f>
        <v>299</v>
      </c>
      <c r="C27" s="226"/>
      <c r="D27" s="227">
        <f ca="1">TblConstr[[#This Row],[Plain]]</f>
        <v>0</v>
      </c>
      <c r="E27" s="185">
        <f ca="1">TblConstr[[#This Row],[Forest]]</f>
        <v>0</v>
      </c>
      <c r="F27" s="385">
        <f ca="1">TblConstr[[#This Row],[Mountain]]</f>
        <v>0</v>
      </c>
      <c r="G27" s="389">
        <f ca="1">TblConstr[[#This Row],[Hill]]</f>
        <v>0</v>
      </c>
      <c r="H27" s="393">
        <f ca="1">TblConstr[[#This Row],[Swamp]]</f>
        <v>0</v>
      </c>
      <c r="I27" s="188">
        <f ca="1">TblConstr[[#This Row],[Cavern]]</f>
        <v>0</v>
      </c>
      <c r="J27" s="189">
        <f ca="1">TblConstr[[#This Row],[Water]]</f>
        <v>0</v>
      </c>
      <c r="K27" s="221"/>
      <c r="L27" s="235" t="s">
        <v>368</v>
      </c>
      <c r="M27" s="236">
        <f ca="1">Production!S76</f>
        <v>46564</v>
      </c>
      <c r="N27" s="228">
        <f ca="1">TblMili[[#This Row],[Smithies]]</f>
        <v>0</v>
      </c>
      <c r="O27" s="228">
        <f ca="1">TblPop[[#This Row],[Employment]]</f>
        <v>1</v>
      </c>
      <c r="P27" s="228">
        <f ca="1">TblImps[[#This Row],[Population]]</f>
        <v>0.7808614564831261</v>
      </c>
      <c r="Q27" s="178">
        <f ca="1">TblExplore[[#This Row],[Land]]</f>
        <v>299</v>
      </c>
      <c r="R27" s="178">
        <f>TblExplore[[#This Row],[Hour]]</f>
        <v>24</v>
      </c>
      <c r="S27" s="229">
        <v>1</v>
      </c>
      <c r="T27" s="161"/>
      <c r="U27" s="182"/>
      <c r="V27" s="182"/>
      <c r="W27" s="182">
        <v>10</v>
      </c>
      <c r="X27" s="182"/>
      <c r="Y27" s="182"/>
      <c r="Z27" s="182"/>
      <c r="AA27" s="162">
        <f ca="1">TblImps[[#This Row],[Real time]]</f>
        <v>45430.708333333278</v>
      </c>
      <c r="AB27" s="97">
        <f ca="1">TblMili[[#This Row],[Draftees]]</f>
        <v>138</v>
      </c>
      <c r="AC27" s="97">
        <f ca="1">TblProd[[#This Row],[Platinum]]</f>
        <v>26679</v>
      </c>
      <c r="AD27" s="226"/>
      <c r="AE27" s="45">
        <f ca="1">TblExplore[[#This Row],[Land]]-TblExplore[[#This Row],[Land Bonus]]*20</f>
        <v>279</v>
      </c>
      <c r="AF27" s="97">
        <f ca="1">ROUND(MAX(0.6*TblExplore[[#This Row],[Land-DB]]^1.299,850)*(1+ tech_2_6*Techs!AC27 + tech_2_9*Techs!AF27 + tech_3_7*Techs!AN27 + Overview!$I$32),0)</f>
        <v>902</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9020</v>
      </c>
      <c r="AI27" s="97">
        <f ca="1">SUM(TblExplore[[#This Row],[Plains Explore]:[Water Explore]])*TblExplore[[#This Row],[Draftees/acre]]</f>
        <v>40</v>
      </c>
      <c r="AJ27" s="45">
        <f ca="1">_xlfn.FLOOR.MATH(MIN(TblExplore[[#This Row],[Platinum]]/TblExplore[[#This Row],[Plat/acre]],TblExplore[[#This Row],[Draftees]]/TblExplore[[#This Row],[Draftees/acre]]))</f>
        <v>29</v>
      </c>
    </row>
    <row r="28" spans="1:36" x14ac:dyDescent="0.2">
      <c r="A28" s="178">
        <f>TblRezone[[#This Row],[Hour]]</f>
        <v>25</v>
      </c>
      <c r="B28" s="225">
        <f ca="1">TblConstr[[#This Row],[Land]]</f>
        <v>299</v>
      </c>
      <c r="C28" s="226"/>
      <c r="D28" s="227">
        <f ca="1">TblConstr[[#This Row],[Plain]]</f>
        <v>0</v>
      </c>
      <c r="E28" s="185">
        <f ca="1">TblConstr[[#This Row],[Forest]]</f>
        <v>0</v>
      </c>
      <c r="F28" s="385">
        <f ca="1">TblConstr[[#This Row],[Mountain]]</f>
        <v>0</v>
      </c>
      <c r="G28" s="389">
        <f ca="1">TblConstr[[#This Row],[Hill]]</f>
        <v>0</v>
      </c>
      <c r="H28" s="393">
        <f ca="1">TblConstr[[#This Row],[Swamp]]</f>
        <v>0</v>
      </c>
      <c r="I28" s="188">
        <f ca="1">TblConstr[[#This Row],[Cavern]]</f>
        <v>0</v>
      </c>
      <c r="J28" s="189">
        <f ca="1">TblConstr[[#This Row],[Water]]</f>
        <v>0</v>
      </c>
      <c r="K28" s="221"/>
      <c r="L28" s="235" t="s">
        <v>366</v>
      </c>
      <c r="M28" s="236">
        <f ca="1">Military!AA64</f>
        <v>396</v>
      </c>
      <c r="N28" s="228">
        <f ca="1">TblMili[[#This Row],[Smithies]]</f>
        <v>0</v>
      </c>
      <c r="O28" s="228">
        <f ca="1">TblPop[[#This Row],[Employment]]</f>
        <v>1</v>
      </c>
      <c r="P28" s="228">
        <f ca="1">TblImps[[#This Row],[Population]]</f>
        <v>0.77936606587942825</v>
      </c>
      <c r="Q28" s="178">
        <f ca="1">TblExplore[[#This Row],[Land]]</f>
        <v>299</v>
      </c>
      <c r="R28" s="178">
        <f>TblExplore[[#This Row],[Hour]]</f>
        <v>25</v>
      </c>
      <c r="S28" s="229"/>
      <c r="T28" s="182"/>
      <c r="U28" s="182"/>
      <c r="V28" s="182"/>
      <c r="W28" s="182"/>
      <c r="X28" s="182"/>
      <c r="Y28" s="182"/>
      <c r="Z28" s="182"/>
      <c r="AA28" s="162">
        <f ca="1">TblImps[[#This Row],[Real time]]</f>
        <v>45430.749999999942</v>
      </c>
      <c r="AB28" s="97">
        <f ca="1">TblMili[[#This Row],[Draftees]]</f>
        <v>172</v>
      </c>
      <c r="AC28" s="97">
        <f ca="1">TblProd[[#This Row],[Platinum]]</f>
        <v>42902</v>
      </c>
      <c r="AD28" s="226"/>
      <c r="AE28" s="45">
        <f ca="1">TblExplore[[#This Row],[Land]]-TblExplore[[#This Row],[Land Bonus]]*20</f>
        <v>299</v>
      </c>
      <c r="AF28" s="97">
        <f ca="1">ROUND(MAX(0.6*TblExplore[[#This Row],[Land-DB]]^1.299,850)*(1+ tech_2_6*Techs!AC28 + tech_2_9*Techs!AF28 + tech_3_7*Techs!AN28 + Overview!$I$32),0)</f>
        <v>986</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43</v>
      </c>
    </row>
    <row r="29" spans="1:36" x14ac:dyDescent="0.2">
      <c r="A29" s="178">
        <f>TblRezone[[#This Row],[Hour]]</f>
        <v>26</v>
      </c>
      <c r="B29" s="225">
        <f ca="1">TblConstr[[#This Row],[Land]]</f>
        <v>299</v>
      </c>
      <c r="C29" s="226"/>
      <c r="D29" s="227">
        <f ca="1">TblConstr[[#This Row],[Plain]]</f>
        <v>0</v>
      </c>
      <c r="E29" s="185">
        <f ca="1">TblConstr[[#This Row],[Forest]]</f>
        <v>0</v>
      </c>
      <c r="F29" s="385">
        <f ca="1">TblConstr[[#This Row],[Mountain]]</f>
        <v>0</v>
      </c>
      <c r="G29" s="389">
        <f ca="1">TblConstr[[#This Row],[Hill]]</f>
        <v>0</v>
      </c>
      <c r="H29" s="393">
        <f ca="1">TblConstr[[#This Row],[Swamp]]</f>
        <v>0</v>
      </c>
      <c r="I29" s="188">
        <f ca="1">TblConstr[[#This Row],[Cavern]]</f>
        <v>0</v>
      </c>
      <c r="J29" s="189">
        <f ca="1">TblConstr[[#This Row],[Water]]</f>
        <v>0</v>
      </c>
      <c r="K29" s="221"/>
      <c r="L29" s="235" t="s">
        <v>367</v>
      </c>
      <c r="M29" s="237">
        <f ca="1">Q76</f>
        <v>700</v>
      </c>
      <c r="N29" s="228">
        <f ca="1">TblMili[[#This Row],[Smithies]]</f>
        <v>0</v>
      </c>
      <c r="O29" s="228">
        <f ca="1">TblPop[[#This Row],[Employment]]</f>
        <v>1</v>
      </c>
      <c r="P29" s="228">
        <f ca="1">TblImps[[#This Row],[Population]]</f>
        <v>0.83322974932670391</v>
      </c>
      <c r="Q29" s="178">
        <f ca="1">TblExplore[[#This Row],[Land]]</f>
        <v>299</v>
      </c>
      <c r="R29" s="178">
        <f>TblExplore[[#This Row],[Hour]]</f>
        <v>26</v>
      </c>
      <c r="S29" s="229"/>
      <c r="T29" s="161"/>
      <c r="U29" s="182"/>
      <c r="V29" s="182"/>
      <c r="W29" s="182"/>
      <c r="X29" s="182"/>
      <c r="Y29" s="182"/>
      <c r="Z29" s="182"/>
      <c r="AA29" s="162">
        <f ca="1">TblImps[[#This Row],[Real time]]</f>
        <v>45430.791666666606</v>
      </c>
      <c r="AB29" s="97">
        <f ca="1">TblMili[[#This Row],[Draftees]]</f>
        <v>208</v>
      </c>
      <c r="AC29" s="97">
        <f ca="1">TblProd[[#This Row],[Platinum]]</f>
        <v>59751</v>
      </c>
      <c r="AD29" s="226"/>
      <c r="AE29" s="45">
        <f ca="1">TblExplore[[#This Row],[Land]]-TblExplore[[#This Row],[Land Bonus]]*20</f>
        <v>299</v>
      </c>
      <c r="AF29" s="97">
        <f ca="1">ROUND(MAX(0.6*TblExplore[[#This Row],[Land-DB]]^1.299,850)*(1+ tech_2_6*Techs!AC29 + tech_2_9*Techs!AF29 + tech_3_7*Techs!AN29 + Overview!$I$32),0)</f>
        <v>986</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52</v>
      </c>
    </row>
    <row r="30" spans="1:36" x14ac:dyDescent="0.2">
      <c r="A30" s="178">
        <f>TblRezone[[#This Row],[Hour]]</f>
        <v>27</v>
      </c>
      <c r="B30" s="225">
        <f ca="1">TblConstr[[#This Row],[Land]]</f>
        <v>299</v>
      </c>
      <c r="C30" s="226"/>
      <c r="D30" s="227">
        <f ca="1">TblConstr[[#This Row],[Plain]]</f>
        <v>0</v>
      </c>
      <c r="E30" s="185">
        <f ca="1">TblConstr[[#This Row],[Forest]]</f>
        <v>0</v>
      </c>
      <c r="F30" s="385">
        <f ca="1">TblConstr[[#This Row],[Mountain]]</f>
        <v>0</v>
      </c>
      <c r="G30" s="389">
        <f ca="1">TblConstr[[#This Row],[Hill]]</f>
        <v>0</v>
      </c>
      <c r="H30" s="393">
        <f ca="1">TblConstr[[#This Row],[Swamp]]</f>
        <v>0</v>
      </c>
      <c r="I30" s="188">
        <f ca="1">TblConstr[[#This Row],[Cavern]]</f>
        <v>0</v>
      </c>
      <c r="J30" s="189">
        <f ca="1">TblConstr[[#This Row],[Water]]</f>
        <v>0</v>
      </c>
      <c r="K30" s="221"/>
      <c r="L30" s="221"/>
      <c r="M30" s="234"/>
      <c r="N30" s="228">
        <f ca="1">TblMili[[#This Row],[Smithies]]</f>
        <v>0</v>
      </c>
      <c r="O30" s="228">
        <f ca="1">TblPop[[#This Row],[Employment]]</f>
        <v>1</v>
      </c>
      <c r="P30" s="228">
        <f ca="1">TblImps[[#This Row],[Population]]</f>
        <v>0.89061528899937847</v>
      </c>
      <c r="Q30" s="178">
        <f ca="1">TblExplore[[#This Row],[Land]]</f>
        <v>299</v>
      </c>
      <c r="R30" s="178">
        <f>TblExplore[[#This Row],[Hour]]</f>
        <v>27</v>
      </c>
      <c r="S30" s="229"/>
      <c r="T30" s="161"/>
      <c r="U30" s="182"/>
      <c r="V30" s="182"/>
      <c r="W30" s="182"/>
      <c r="X30" s="182"/>
      <c r="Y30" s="182"/>
      <c r="Z30" s="182"/>
      <c r="AA30" s="162">
        <f ca="1">TblImps[[#This Row],[Real time]]</f>
        <v>45430.83333333327</v>
      </c>
      <c r="AB30" s="97">
        <f ca="1">TblMili[[#This Row],[Draftees]]</f>
        <v>246</v>
      </c>
      <c r="AC30" s="97">
        <f ca="1">TblProd[[#This Row],[Platinum]]</f>
        <v>79053</v>
      </c>
      <c r="AD30" s="226"/>
      <c r="AE30" s="45">
        <f ca="1">TblExplore[[#This Row],[Land]]-TblExplore[[#This Row],[Land Bonus]]*20</f>
        <v>299</v>
      </c>
      <c r="AF30" s="97">
        <f ca="1">ROUND(MAX(0.6*TblExplore[[#This Row],[Land-DB]]^1.299,850)*(1+ tech_2_6*Techs!AC30 + tech_2_9*Techs!AF30 + tech_3_7*Techs!AN30 + Overview!$I$32),0)</f>
        <v>986</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61</v>
      </c>
    </row>
    <row r="31" spans="1:36" x14ac:dyDescent="0.2">
      <c r="A31" s="178">
        <f>TblRezone[[#This Row],[Hour]]</f>
        <v>28</v>
      </c>
      <c r="B31" s="225">
        <f ca="1">TblConstr[[#This Row],[Land]]</f>
        <v>299</v>
      </c>
      <c r="C31" s="226"/>
      <c r="D31" s="227">
        <f ca="1">TblConstr[[#This Row],[Plain]]</f>
        <v>0</v>
      </c>
      <c r="E31" s="185">
        <f ca="1">TblConstr[[#This Row],[Forest]]</f>
        <v>0</v>
      </c>
      <c r="F31" s="385">
        <f ca="1">TblConstr[[#This Row],[Mountain]]</f>
        <v>0</v>
      </c>
      <c r="G31" s="389">
        <f ca="1">TblConstr[[#This Row],[Hill]]</f>
        <v>0</v>
      </c>
      <c r="H31" s="393">
        <f ca="1">TblConstr[[#This Row],[Swamp]]</f>
        <v>0</v>
      </c>
      <c r="I31" s="188">
        <f ca="1">TblConstr[[#This Row],[Cavern]]</f>
        <v>0</v>
      </c>
      <c r="J31" s="189">
        <f ca="1">TblConstr[[#This Row],[Water]]</f>
        <v>0</v>
      </c>
      <c r="K31" s="221"/>
      <c r="L31" s="221"/>
      <c r="M31" s="234"/>
      <c r="N31" s="228">
        <f ca="1">TblMili[[#This Row],[Smithies]]</f>
        <v>0</v>
      </c>
      <c r="O31" s="228">
        <f ca="1">TblPop[[#This Row],[Employment]]</f>
        <v>1</v>
      </c>
      <c r="P31" s="228">
        <f ca="1">TblImps[[#This Row],[Population]]</f>
        <v>0.95152268489745184</v>
      </c>
      <c r="Q31" s="178">
        <f ca="1">TblExplore[[#This Row],[Land]]</f>
        <v>299</v>
      </c>
      <c r="R31" s="178">
        <f>TblExplore[[#This Row],[Hour]]</f>
        <v>28</v>
      </c>
      <c r="S31" s="229"/>
      <c r="T31" s="161"/>
      <c r="U31" s="182"/>
      <c r="V31" s="182"/>
      <c r="W31" s="182"/>
      <c r="X31" s="182"/>
      <c r="Y31" s="182"/>
      <c r="Z31" s="182"/>
      <c r="AA31" s="162">
        <f ca="1">TblImps[[#This Row],[Real time]]</f>
        <v>45430.874999999935</v>
      </c>
      <c r="AB31" s="97">
        <f ca="1">TblMili[[#This Row],[Draftees]]</f>
        <v>287</v>
      </c>
      <c r="AC31" s="97">
        <f ca="1">TblProd[[#This Row],[Platinum]]</f>
        <v>99065</v>
      </c>
      <c r="AD31" s="226"/>
      <c r="AE31" s="45">
        <f ca="1">TblExplore[[#This Row],[Land]]-TblExplore[[#This Row],[Land Bonus]]*20</f>
        <v>299</v>
      </c>
      <c r="AF31" s="97">
        <f ca="1">ROUND(MAX(0.6*TblExplore[[#This Row],[Land-DB]]^1.299,850)*(1+ tech_2_6*Techs!AC31 + tech_2_9*Techs!AF31 + tech_3_7*Techs!AN31 + Overview!$I$32),0)</f>
        <v>986</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71</v>
      </c>
    </row>
    <row r="32" spans="1:36" x14ac:dyDescent="0.2">
      <c r="A32" s="178">
        <f>TblRezone[[#This Row],[Hour]]</f>
        <v>29</v>
      </c>
      <c r="B32" s="225">
        <f ca="1">TblConstr[[#This Row],[Land]]</f>
        <v>299</v>
      </c>
      <c r="C32" s="226"/>
      <c r="D32" s="227">
        <f ca="1">TblConstr[[#This Row],[Plain]]</f>
        <v>0</v>
      </c>
      <c r="E32" s="185">
        <f ca="1">TblConstr[[#This Row],[Forest]]</f>
        <v>0</v>
      </c>
      <c r="F32" s="385">
        <f ca="1">TblConstr[[#This Row],[Mountain]]</f>
        <v>0</v>
      </c>
      <c r="G32" s="389">
        <f ca="1">TblConstr[[#This Row],[Hill]]</f>
        <v>0</v>
      </c>
      <c r="H32" s="393">
        <f ca="1">TblConstr[[#This Row],[Swamp]]</f>
        <v>0</v>
      </c>
      <c r="I32" s="188">
        <f ca="1">TblConstr[[#This Row],[Cavern]]</f>
        <v>0</v>
      </c>
      <c r="J32" s="189">
        <f ca="1">TblConstr[[#This Row],[Water]]</f>
        <v>0</v>
      </c>
      <c r="K32" s="221"/>
      <c r="L32" s="221"/>
      <c r="M32" s="234"/>
      <c r="N32" s="228">
        <f ca="1">TblMili[[#This Row],[Smithies]]</f>
        <v>0</v>
      </c>
      <c r="O32" s="228">
        <f ca="1">TblPop[[#This Row],[Employment]]</f>
        <v>1</v>
      </c>
      <c r="P32" s="228">
        <f ca="1">TblImps[[#This Row],[Population]]</f>
        <v>0.93204889165112903</v>
      </c>
      <c r="Q32" s="178">
        <f ca="1">TblExplore[[#This Row],[Land]]</f>
        <v>299</v>
      </c>
      <c r="R32" s="178">
        <f>TblExplore[[#This Row],[Hour]]</f>
        <v>29</v>
      </c>
      <c r="S32" s="229"/>
      <c r="T32" s="161">
        <v>82</v>
      </c>
      <c r="U32" s="182"/>
      <c r="V32" s="182"/>
      <c r="W32" s="182"/>
      <c r="X32" s="182"/>
      <c r="Y32" s="182"/>
      <c r="Z32" s="182"/>
      <c r="AA32" s="162">
        <f ca="1">TblImps[[#This Row],[Real time]]</f>
        <v>45430.916666666599</v>
      </c>
      <c r="AB32" s="97">
        <f ca="1">TblMili[[#This Row],[Draftees]]</f>
        <v>2</v>
      </c>
      <c r="AC32" s="97">
        <f ca="1">TblProd[[#This Row],[Platinum]]</f>
        <v>38976</v>
      </c>
      <c r="AD32" s="226"/>
      <c r="AE32" s="45">
        <f ca="1">TblExplore[[#This Row],[Land]]-TblExplore[[#This Row],[Land Bonus]]*20</f>
        <v>299</v>
      </c>
      <c r="AF32" s="97">
        <f ca="1">ROUND(MAX(0.6*TblExplore[[#This Row],[Land-DB]]^1.299,850)*(1+ tech_2_6*Techs!AC32 + tech_2_9*Techs!AF32 + tech_3_7*Techs!AN32 + Overview!$I$32),0)</f>
        <v>986</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80852</v>
      </c>
      <c r="AI32" s="97">
        <f ca="1">SUM(TblExplore[[#This Row],[Plains Explore]:[Water Explore]])*TblExplore[[#This Row],[Draftees/acre]]</f>
        <v>328</v>
      </c>
      <c r="AJ32" s="45">
        <f ca="1">_xlfn.FLOOR.MATH(MIN(TblExplore[[#This Row],[Platinum]]/TblExplore[[#This Row],[Plat/acre]],TblExplore[[#This Row],[Draftees]]/TblExplore[[#This Row],[Draftees/acre]]))</f>
        <v>0</v>
      </c>
    </row>
    <row r="33" spans="1:36" x14ac:dyDescent="0.2">
      <c r="A33" s="178">
        <f>TblRezone[[#This Row],[Hour]]</f>
        <v>30</v>
      </c>
      <c r="B33" s="225">
        <f ca="1">TblConstr[[#This Row],[Land]]</f>
        <v>369</v>
      </c>
      <c r="C33" s="226"/>
      <c r="D33" s="227">
        <f ca="1">TblConstr[[#This Row],[Plain]]</f>
        <v>0</v>
      </c>
      <c r="E33" s="185">
        <f ca="1">TblConstr[[#This Row],[Forest]]</f>
        <v>0</v>
      </c>
      <c r="F33" s="385">
        <f ca="1">TblConstr[[#This Row],[Mountain]]</f>
        <v>0</v>
      </c>
      <c r="G33" s="389">
        <f ca="1">TblConstr[[#This Row],[Hill]]</f>
        <v>0</v>
      </c>
      <c r="H33" s="393">
        <f ca="1">TblConstr[[#This Row],[Swamp]]</f>
        <v>0</v>
      </c>
      <c r="I33" s="188">
        <f ca="1">TblConstr[[#This Row],[Cavern]]</f>
        <v>0</v>
      </c>
      <c r="J33" s="189">
        <f ca="1">TblConstr[[#This Row],[Water]]</f>
        <v>0</v>
      </c>
      <c r="K33" s="221"/>
      <c r="L33" s="221"/>
      <c r="M33" s="221"/>
      <c r="N33" s="228">
        <f ca="1">TblMili[[#This Row],[Smithies]]</f>
        <v>0</v>
      </c>
      <c r="O33" s="228">
        <f ca="1">TblPop[[#This Row],[Employment]]</f>
        <v>1</v>
      </c>
      <c r="P33" s="228">
        <f ca="1">TblImps[[#This Row],[Population]]</f>
        <v>0.91391237509607992</v>
      </c>
      <c r="Q33" s="178">
        <f ca="1">TblExplore[[#This Row],[Land]]</f>
        <v>369</v>
      </c>
      <c r="R33" s="178">
        <f>TblExplore[[#This Row],[Hour]]</f>
        <v>30</v>
      </c>
      <c r="S33" s="229"/>
      <c r="T33" s="161">
        <v>9</v>
      </c>
      <c r="U33" s="182"/>
      <c r="V33" s="182"/>
      <c r="W33" s="182"/>
      <c r="X33" s="182"/>
      <c r="Y33" s="182"/>
      <c r="Z33" s="182"/>
      <c r="AA33" s="162">
        <f ca="1">TblImps[[#This Row],[Real time]]</f>
        <v>45430.958333333263</v>
      </c>
      <c r="AB33" s="97">
        <f ca="1">TblMili[[#This Row],[Draftees]]</f>
        <v>2</v>
      </c>
      <c r="AC33" s="97">
        <f ca="1">TblProd[[#This Row],[Platinum]]</f>
        <v>21478</v>
      </c>
      <c r="AD33" s="226"/>
      <c r="AE33" s="45">
        <f ca="1">TblExplore[[#This Row],[Land]]-TblExplore[[#This Row],[Land Bonus]]*20</f>
        <v>369</v>
      </c>
      <c r="AF33" s="97">
        <f ca="1">ROUND(MAX(0.6*TblExplore[[#This Row],[Land-DB]]^1.299,850)*(1+ tech_2_6*Techs!AC33 + tech_2_9*Techs!AF33 + tech_3_7*Techs!AN33 + Overview!$I$32),0)</f>
        <v>1296</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97">
        <f ca="1">SUM(TblExplore[[#This Row],[Plains Explore]:[Water Explore]])*TblExplore[[#This Row],[Plat/acre]]</f>
        <v>11664</v>
      </c>
      <c r="AI33" s="97">
        <f ca="1">SUM(TblExplore[[#This Row],[Plains Explore]:[Water Explore]])*TblExplore[[#This Row],[Draftees/acre]]</f>
        <v>45</v>
      </c>
      <c r="AJ33" s="45">
        <f ca="1">_xlfn.FLOOR.MATH(MIN(TblExplore[[#This Row],[Platinum]]/TblExplore[[#This Row],[Plat/acre]],TblExplore[[#This Row],[Draftees]]/TblExplore[[#This Row],[Draftees/acre]]))</f>
        <v>0</v>
      </c>
    </row>
    <row r="34" spans="1:36" x14ac:dyDescent="0.2">
      <c r="A34" s="178">
        <f>TblRezone[[#This Row],[Hour]]</f>
        <v>31</v>
      </c>
      <c r="B34" s="225">
        <f ca="1">TblConstr[[#This Row],[Land]]</f>
        <v>380</v>
      </c>
      <c r="C34" s="226"/>
      <c r="D34" s="227">
        <f ca="1">TblConstr[[#This Row],[Plain]]</f>
        <v>0</v>
      </c>
      <c r="E34" s="185">
        <f ca="1">TblConstr[[#This Row],[Forest]]</f>
        <v>0</v>
      </c>
      <c r="F34" s="385">
        <f ca="1">TblConstr[[#This Row],[Mountain]]</f>
        <v>0</v>
      </c>
      <c r="G34" s="389">
        <f ca="1">TblConstr[[#This Row],[Hill]]</f>
        <v>0</v>
      </c>
      <c r="H34" s="393">
        <f ca="1">TblConstr[[#This Row],[Swamp]]</f>
        <v>0</v>
      </c>
      <c r="I34" s="188">
        <f ca="1">TblConstr[[#This Row],[Cavern]]</f>
        <v>0</v>
      </c>
      <c r="J34" s="189">
        <f ca="1">TblConstr[[#This Row],[Water]]</f>
        <v>0</v>
      </c>
      <c r="K34" s="221"/>
      <c r="L34" s="221"/>
      <c r="M34" s="238"/>
      <c r="N34" s="228">
        <f ca="1">TblMili[[#This Row],[Smithies]]</f>
        <v>0</v>
      </c>
      <c r="O34" s="228">
        <f ca="1">TblPop[[#This Row],[Employment]]</f>
        <v>1</v>
      </c>
      <c r="P34" s="228">
        <f ca="1">TblImps[[#This Row],[Population]]</f>
        <v>0.8349401595744681</v>
      </c>
      <c r="Q34" s="178">
        <f ca="1">TblExplore[[#This Row],[Land]]</f>
        <v>380</v>
      </c>
      <c r="R34" s="178">
        <f>TblExplore[[#This Row],[Hour]]</f>
        <v>31</v>
      </c>
      <c r="S34" s="229"/>
      <c r="T34" s="182">
        <v>10</v>
      </c>
      <c r="U34" s="182"/>
      <c r="V34" s="182"/>
      <c r="W34" s="182"/>
      <c r="X34" s="182"/>
      <c r="Y34" s="182"/>
      <c r="Z34" s="182"/>
      <c r="AA34" s="162">
        <f ca="1">TblImps[[#This Row],[Real time]]</f>
        <v>45430.999999999927</v>
      </c>
      <c r="AB34" s="97">
        <f ca="1">TblMili[[#This Row],[Draftees]]</f>
        <v>0</v>
      </c>
      <c r="AC34" s="97">
        <f ca="1">TblProd[[#This Row],[Platinum]]</f>
        <v>26412</v>
      </c>
      <c r="AD34" s="226"/>
      <c r="AE34" s="45">
        <f ca="1">TblExplore[[#This Row],[Land]]-TblExplore[[#This Row],[Land Bonus]]*20</f>
        <v>380</v>
      </c>
      <c r="AF34" s="97">
        <f ca="1">ROUND(MAX(0.6*TblExplore[[#This Row],[Land-DB]]^1.299,850)*(1+ tech_2_6*Techs!AC34 + tech_2_9*Techs!AF34 + tech_3_7*Techs!AN34 + Overview!$I$32),0)</f>
        <v>1347</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97">
        <f ca="1">SUM(TblExplore[[#This Row],[Plains Explore]:[Water Explore]])*TblExplore[[#This Row],[Plat/acre]]</f>
        <v>13470</v>
      </c>
      <c r="AI34" s="97">
        <f ca="1">SUM(TblExplore[[#This Row],[Plains Explore]:[Water Explore]])*TblExplore[[#This Row],[Draftees/acre]]</f>
        <v>50</v>
      </c>
      <c r="AJ34" s="45">
        <f ca="1">_xlfn.FLOOR.MATH(MIN(TblExplore[[#This Row],[Platinum]]/TblExplore[[#This Row],[Plat/acre]],TblExplore[[#This Row],[Draftees]]/TblExplore[[#This Row],[Draftees/acre]]))</f>
        <v>0</v>
      </c>
    </row>
    <row r="35" spans="1:36" x14ac:dyDescent="0.2">
      <c r="A35" s="178">
        <f>TblRezone[[#This Row],[Hour]]</f>
        <v>32</v>
      </c>
      <c r="B35" s="225">
        <f ca="1">TblConstr[[#This Row],[Land]]</f>
        <v>392</v>
      </c>
      <c r="C35" s="226"/>
      <c r="D35" s="227">
        <f ca="1">TblConstr[[#This Row],[Plain]]</f>
        <v>0</v>
      </c>
      <c r="E35" s="185">
        <f ca="1">TblConstr[[#This Row],[Forest]]</f>
        <v>0</v>
      </c>
      <c r="F35" s="385">
        <f ca="1">TblConstr[[#This Row],[Mountain]]</f>
        <v>0</v>
      </c>
      <c r="G35" s="389">
        <f ca="1">TblConstr[[#This Row],[Hill]]</f>
        <v>0</v>
      </c>
      <c r="H35" s="393">
        <f ca="1">TblConstr[[#This Row],[Swamp]]</f>
        <v>0</v>
      </c>
      <c r="I35" s="188">
        <f ca="1">TblConstr[[#This Row],[Cavern]]</f>
        <v>0</v>
      </c>
      <c r="J35" s="189">
        <f ca="1">TblConstr[[#This Row],[Water]]</f>
        <v>0</v>
      </c>
      <c r="K35" s="221"/>
      <c r="L35" s="221"/>
      <c r="M35" s="238"/>
      <c r="N35" s="228">
        <f ca="1">TblMili[[#This Row],[Smithies]]</f>
        <v>0</v>
      </c>
      <c r="O35" s="228">
        <f ca="1">TblPop[[#This Row],[Employment]]</f>
        <v>1</v>
      </c>
      <c r="P35" s="228">
        <f ca="1">TblImps[[#This Row],[Population]]</f>
        <v>0.85562187449588645</v>
      </c>
      <c r="Q35" s="178">
        <f ca="1">TblExplore[[#This Row],[Land]]</f>
        <v>392</v>
      </c>
      <c r="R35" s="178">
        <f>TblExplore[[#This Row],[Hour]]</f>
        <v>32</v>
      </c>
      <c r="S35" s="229"/>
      <c r="T35" s="182">
        <v>10</v>
      </c>
      <c r="U35" s="182"/>
      <c r="V35" s="182"/>
      <c r="W35" s="182"/>
      <c r="X35" s="182"/>
      <c r="Y35" s="182"/>
      <c r="Z35" s="182"/>
      <c r="AA35" s="162">
        <f ca="1">TblImps[[#This Row],[Real time]]</f>
        <v>45431.041666666591</v>
      </c>
      <c r="AB35" s="97">
        <f ca="1">TblMili[[#This Row],[Draftees]]</f>
        <v>0</v>
      </c>
      <c r="AC35" s="97">
        <f ca="1">TblProd[[#This Row],[Platinum]]</f>
        <v>31118</v>
      </c>
      <c r="AD35" s="226"/>
      <c r="AE35" s="45">
        <f ca="1">TblExplore[[#This Row],[Land]]-TblExplore[[#This Row],[Land Bonus]]*20</f>
        <v>392</v>
      </c>
      <c r="AF35" s="97">
        <f ca="1">ROUND(MAX(0.6*TblExplore[[#This Row],[Land-DB]]^1.299,850)*(1+ tech_2_6*Techs!AC35 + tech_2_9*Techs!AF35 + tech_3_7*Techs!AN35 + Overview!$I$32),0)</f>
        <v>1402</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97">
        <f ca="1">SUM(TblExplore[[#This Row],[Plains Explore]:[Water Explore]])*TblExplore[[#This Row],[Plat/acre]]</f>
        <v>14020</v>
      </c>
      <c r="AI35" s="97">
        <f ca="1">SUM(TblExplore[[#This Row],[Plains Explore]:[Water Explore]])*TblExplore[[#This Row],[Draftees/acre]]</f>
        <v>50</v>
      </c>
      <c r="AJ35" s="45">
        <f ca="1">_xlfn.FLOOR.MATH(MIN(TblExplore[[#This Row],[Platinum]]/TblExplore[[#This Row],[Plat/acre]],TblExplore[[#This Row],[Draftees]]/TblExplore[[#This Row],[Draftees/acre]]))</f>
        <v>0</v>
      </c>
    </row>
    <row r="36" spans="1:36" x14ac:dyDescent="0.2">
      <c r="A36" s="178">
        <f>TblRezone[[#This Row],[Hour]]</f>
        <v>33</v>
      </c>
      <c r="B36" s="225">
        <f ca="1">TblConstr[[#This Row],[Land]]</f>
        <v>404</v>
      </c>
      <c r="C36" s="226"/>
      <c r="D36" s="227">
        <f ca="1">TblConstr[[#This Row],[Plain]]</f>
        <v>0</v>
      </c>
      <c r="E36" s="185">
        <f ca="1">TblConstr[[#This Row],[Forest]]</f>
        <v>0</v>
      </c>
      <c r="F36" s="385">
        <f ca="1">TblConstr[[#This Row],[Mountain]]</f>
        <v>0</v>
      </c>
      <c r="G36" s="389">
        <f ca="1">TblConstr[[#This Row],[Hill]]</f>
        <v>0</v>
      </c>
      <c r="H36" s="393">
        <f ca="1">TblConstr[[#This Row],[Swamp]]</f>
        <v>0</v>
      </c>
      <c r="I36" s="188">
        <f ca="1">TblConstr[[#This Row],[Cavern]]</f>
        <v>0</v>
      </c>
      <c r="J36" s="189">
        <f ca="1">TblConstr[[#This Row],[Water]]</f>
        <v>0</v>
      </c>
      <c r="K36" s="221"/>
      <c r="L36" s="221"/>
      <c r="M36" s="221"/>
      <c r="N36" s="228">
        <f ca="1">TblMili[[#This Row],[Smithies]]</f>
        <v>0</v>
      </c>
      <c r="O36" s="228">
        <f ca="1">TblPop[[#This Row],[Employment]]</f>
        <v>1</v>
      </c>
      <c r="P36" s="228">
        <f ca="1">TblImps[[#This Row],[Population]]</f>
        <v>0.87595807914906931</v>
      </c>
      <c r="Q36" s="178">
        <f ca="1">TblExplore[[#This Row],[Land]]</f>
        <v>404</v>
      </c>
      <c r="R36" s="178">
        <f>TblExplore[[#This Row],[Hour]]</f>
        <v>33</v>
      </c>
      <c r="S36" s="229"/>
      <c r="T36" s="182">
        <v>10</v>
      </c>
      <c r="U36" s="182"/>
      <c r="V36" s="182"/>
      <c r="W36" s="182"/>
      <c r="X36" s="182"/>
      <c r="Y36" s="182"/>
      <c r="Z36" s="182"/>
      <c r="AA36" s="162">
        <f ca="1">TblImps[[#This Row],[Real time]]</f>
        <v>45431.083333333256</v>
      </c>
      <c r="AB36" s="97">
        <f ca="1">TblMili[[#This Row],[Draftees]]</f>
        <v>3</v>
      </c>
      <c r="AC36" s="97">
        <f ca="1">TblProd[[#This Row],[Platinum]]</f>
        <v>36027</v>
      </c>
      <c r="AD36" s="226"/>
      <c r="AE36" s="45">
        <f ca="1">TblExplore[[#This Row],[Land]]-TblExplore[[#This Row],[Land Bonus]]*20</f>
        <v>404</v>
      </c>
      <c r="AF36" s="97">
        <f ca="1">ROUND(MAX(0.6*TblExplore[[#This Row],[Land-DB]]^1.299,850)*(1+ tech_2_6*Techs!AC36 + tech_2_9*Techs!AF36 + tech_3_7*Techs!AN36 + Overview!$I$32),0)</f>
        <v>1458</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97">
        <f ca="1">SUM(TblExplore[[#This Row],[Plains Explore]:[Water Explore]])*TblExplore[[#This Row],[Plat/acre]]</f>
        <v>14580</v>
      </c>
      <c r="AI36" s="97">
        <f ca="1">SUM(TblExplore[[#This Row],[Plains Explore]:[Water Explore]])*TblExplore[[#This Row],[Draftees/acre]]</f>
        <v>50</v>
      </c>
      <c r="AJ36" s="45">
        <f ca="1">_xlfn.FLOOR.MATH(MIN(TblExplore[[#This Row],[Platinum]]/TblExplore[[#This Row],[Plat/acre]],TblExplore[[#This Row],[Draftees]]/TblExplore[[#This Row],[Draftees/acre]]))</f>
        <v>0</v>
      </c>
    </row>
    <row r="37" spans="1:36" x14ac:dyDescent="0.2">
      <c r="A37" s="178">
        <f>TblRezone[[#This Row],[Hour]]</f>
        <v>34</v>
      </c>
      <c r="B37" s="225">
        <f ca="1">TblConstr[[#This Row],[Land]]</f>
        <v>407</v>
      </c>
      <c r="C37" s="226"/>
      <c r="D37" s="227">
        <f ca="1">TblConstr[[#This Row],[Plain]]</f>
        <v>0</v>
      </c>
      <c r="E37" s="185">
        <f ca="1">TblConstr[[#This Row],[Forest]]</f>
        <v>0</v>
      </c>
      <c r="F37" s="385">
        <f ca="1">TblConstr[[#This Row],[Mountain]]</f>
        <v>0</v>
      </c>
      <c r="G37" s="389">
        <f ca="1">TblConstr[[#This Row],[Hill]]</f>
        <v>0</v>
      </c>
      <c r="H37" s="393">
        <f ca="1">TblConstr[[#This Row],[Swamp]]</f>
        <v>0</v>
      </c>
      <c r="I37" s="188">
        <f ca="1">TblConstr[[#This Row],[Cavern]]</f>
        <v>0</v>
      </c>
      <c r="J37" s="189">
        <f ca="1">TblConstr[[#This Row],[Water]]</f>
        <v>0</v>
      </c>
      <c r="K37" s="221"/>
      <c r="L37" s="221"/>
      <c r="M37" s="221"/>
      <c r="N37" s="228">
        <f ca="1">TblMili[[#This Row],[Smithies]]</f>
        <v>0</v>
      </c>
      <c r="O37" s="228">
        <f ca="1">TblPop[[#This Row],[Employment]]</f>
        <v>0.98120555367422957</v>
      </c>
      <c r="P37" s="228">
        <f ca="1">TblImps[[#This Row],[Population]]</f>
        <v>0.90394616090547564</v>
      </c>
      <c r="Q37" s="178">
        <f ca="1">TblExplore[[#This Row],[Land]]</f>
        <v>407</v>
      </c>
      <c r="R37" s="178">
        <f>TblExplore[[#This Row],[Hour]]</f>
        <v>34</v>
      </c>
      <c r="S37" s="229"/>
      <c r="T37" s="182">
        <v>11</v>
      </c>
      <c r="U37" s="182"/>
      <c r="V37" s="182"/>
      <c r="W37" s="182"/>
      <c r="X37" s="182"/>
      <c r="Y37" s="182"/>
      <c r="Z37" s="182"/>
      <c r="AA37" s="162">
        <f ca="1">TblImps[[#This Row],[Real time]]</f>
        <v>45431.12499999992</v>
      </c>
      <c r="AB37" s="97">
        <f ca="1">TblMili[[#This Row],[Draftees]]</f>
        <v>4</v>
      </c>
      <c r="AC37" s="97">
        <f ca="1">TblProd[[#This Row],[Platinum]]</f>
        <v>43944</v>
      </c>
      <c r="AD37" s="226"/>
      <c r="AE37" s="45">
        <f ca="1">TblExplore[[#This Row],[Land]]-TblExplore[[#This Row],[Land Bonus]]*20</f>
        <v>407</v>
      </c>
      <c r="AF37" s="97">
        <f ca="1">ROUND(MAX(0.6*TblExplore[[#This Row],[Land-DB]]^1.299,850)*(1+ tech_2_6*Techs!AC37 + tech_2_9*Techs!AF37 + tech_3_7*Techs!AN37 + Overview!$I$32),0)</f>
        <v>1472</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97">
        <f ca="1">SUM(TblExplore[[#This Row],[Plains Explore]:[Water Explore]])*TblExplore[[#This Row],[Plat/acre]]</f>
        <v>16192</v>
      </c>
      <c r="AI37" s="97">
        <f ca="1">SUM(TblExplore[[#This Row],[Plains Explore]:[Water Explore]])*TblExplore[[#This Row],[Draftees/acre]]</f>
        <v>55</v>
      </c>
      <c r="AJ37" s="45">
        <f ca="1">_xlfn.FLOOR.MATH(MIN(TblExplore[[#This Row],[Platinum]]/TblExplore[[#This Row],[Plat/acre]],TblExplore[[#This Row],[Draftees]]/TblExplore[[#This Row],[Draftees/acre]]))</f>
        <v>0</v>
      </c>
    </row>
    <row r="38" spans="1:36" x14ac:dyDescent="0.2">
      <c r="A38" s="178">
        <f>TblRezone[[#This Row],[Hour]]</f>
        <v>35</v>
      </c>
      <c r="B38" s="225">
        <f ca="1">TblConstr[[#This Row],[Land]]</f>
        <v>409</v>
      </c>
      <c r="C38" s="226"/>
      <c r="D38" s="227">
        <f ca="1">TblConstr[[#This Row],[Plain]]</f>
        <v>0</v>
      </c>
      <c r="E38" s="185">
        <f ca="1">TblConstr[[#This Row],[Forest]]</f>
        <v>0</v>
      </c>
      <c r="F38" s="385">
        <f ca="1">TblConstr[[#This Row],[Mountain]]</f>
        <v>0</v>
      </c>
      <c r="G38" s="389">
        <f ca="1">TblConstr[[#This Row],[Hill]]</f>
        <v>0</v>
      </c>
      <c r="H38" s="393">
        <f ca="1">TblConstr[[#This Row],[Swamp]]</f>
        <v>0</v>
      </c>
      <c r="I38" s="188">
        <f ca="1">TblConstr[[#This Row],[Cavern]]</f>
        <v>0</v>
      </c>
      <c r="J38" s="189">
        <f ca="1">TblConstr[[#This Row],[Water]]</f>
        <v>0</v>
      </c>
      <c r="K38" s="221"/>
      <c r="L38" s="221"/>
      <c r="M38" s="221"/>
      <c r="N38" s="228">
        <f ca="1">TblMili[[#This Row],[Smithies]]</f>
        <v>0</v>
      </c>
      <c r="O38" s="228">
        <f ca="1">TblPop[[#This Row],[Employment]]</f>
        <v>1</v>
      </c>
      <c r="P38" s="228">
        <f ca="1">TblImps[[#This Row],[Population]]</f>
        <v>0.94727245099528945</v>
      </c>
      <c r="Q38" s="178">
        <f ca="1">TblExplore[[#This Row],[Land]]</f>
        <v>409</v>
      </c>
      <c r="R38" s="178">
        <f>TblExplore[[#This Row],[Hour]]</f>
        <v>35</v>
      </c>
      <c r="S38" s="229"/>
      <c r="T38" s="161">
        <v>12</v>
      </c>
      <c r="U38" s="182"/>
      <c r="V38" s="182"/>
      <c r="W38" s="182"/>
      <c r="X38" s="182"/>
      <c r="Y38" s="182"/>
      <c r="Z38" s="182"/>
      <c r="AA38" s="162">
        <f ca="1">TblImps[[#This Row],[Real time]]</f>
        <v>45431.166666666584</v>
      </c>
      <c r="AB38" s="97">
        <f ca="1">TblMili[[#This Row],[Draftees]]</f>
        <v>3</v>
      </c>
      <c r="AC38" s="97">
        <f ca="1">TblProd[[#This Row],[Platinum]]</f>
        <v>51273</v>
      </c>
      <c r="AD38" s="226"/>
      <c r="AE38" s="45">
        <f ca="1">TblExplore[[#This Row],[Land]]-TblExplore[[#This Row],[Land Bonus]]*20</f>
        <v>409</v>
      </c>
      <c r="AF38" s="97">
        <f ca="1">ROUND(MAX(0.6*TblExplore[[#This Row],[Land-DB]]^1.299,850)*(1+ tech_2_6*Techs!AC38 + tech_2_9*Techs!AF38 + tech_3_7*Techs!AN38 + Overview!$I$32),0)</f>
        <v>1482</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97">
        <f ca="1">SUM(TblExplore[[#This Row],[Plains Explore]:[Water Explore]])*TblExplore[[#This Row],[Plat/acre]]</f>
        <v>17784</v>
      </c>
      <c r="AI38" s="97">
        <f ca="1">SUM(TblExplore[[#This Row],[Plains Explore]:[Water Explore]])*TblExplore[[#This Row],[Draftees/acre]]</f>
        <v>60</v>
      </c>
      <c r="AJ38" s="45">
        <f ca="1">_xlfn.FLOOR.MATH(MIN(TblExplore[[#This Row],[Platinum]]/TblExplore[[#This Row],[Plat/acre]],TblExplore[[#This Row],[Draftees]]/TblExplore[[#This Row],[Draftees/acre]]))</f>
        <v>0</v>
      </c>
    </row>
    <row r="39" spans="1:36" x14ac:dyDescent="0.2">
      <c r="A39" s="178">
        <f>TblRezone[[#This Row],[Hour]]</f>
        <v>36</v>
      </c>
      <c r="B39" s="225">
        <f ca="1">TblConstr[[#This Row],[Land]]</f>
        <v>419</v>
      </c>
      <c r="C39" s="226"/>
      <c r="D39" s="227">
        <f ca="1">TblConstr[[#This Row],[Plain]]</f>
        <v>0</v>
      </c>
      <c r="E39" s="185">
        <f ca="1">TblConstr[[#This Row],[Forest]]</f>
        <v>0</v>
      </c>
      <c r="F39" s="385">
        <f ca="1">TblConstr[[#This Row],[Mountain]]</f>
        <v>0</v>
      </c>
      <c r="G39" s="389">
        <f ca="1">TblConstr[[#This Row],[Hill]]</f>
        <v>0</v>
      </c>
      <c r="H39" s="393">
        <f ca="1">TblConstr[[#This Row],[Swamp]]</f>
        <v>0</v>
      </c>
      <c r="I39" s="188">
        <f ca="1">TblConstr[[#This Row],[Cavern]]</f>
        <v>0</v>
      </c>
      <c r="J39" s="189">
        <f ca="1">TblConstr[[#This Row],[Water]]</f>
        <v>0</v>
      </c>
      <c r="K39" s="221"/>
      <c r="L39" s="221"/>
      <c r="M39" s="221"/>
      <c r="N39" s="228">
        <f ca="1">TblMili[[#This Row],[Smithies]]</f>
        <v>0</v>
      </c>
      <c r="O39" s="228">
        <f ca="1">TblPop[[#This Row],[Employment]]</f>
        <v>0.94886623040633089</v>
      </c>
      <c r="P39" s="228">
        <f ca="1">TblImps[[#This Row],[Population]]</f>
        <v>0.98708126783836558</v>
      </c>
      <c r="Q39" s="178">
        <f ca="1">TblExplore[[#This Row],[Land]]</f>
        <v>419</v>
      </c>
      <c r="R39" s="178">
        <f>TblExplore[[#This Row],[Hour]]</f>
        <v>36</v>
      </c>
      <c r="S39" s="229"/>
      <c r="T39" s="182">
        <v>13</v>
      </c>
      <c r="U39" s="182"/>
      <c r="V39" s="182"/>
      <c r="W39" s="182"/>
      <c r="X39" s="182"/>
      <c r="Y39" s="182"/>
      <c r="Z39" s="182"/>
      <c r="AA39" s="162">
        <f ca="1">TblImps[[#This Row],[Real time]]</f>
        <v>45431.208333333248</v>
      </c>
      <c r="AB39" s="97">
        <f ca="1">TblMili[[#This Row],[Draftees]]</f>
        <v>0</v>
      </c>
      <c r="AC39" s="97">
        <f ca="1">TblProd[[#This Row],[Platinum]]</f>
        <v>55040</v>
      </c>
      <c r="AD39" s="226"/>
      <c r="AE39" s="45">
        <f ca="1">TblExplore[[#This Row],[Land]]-TblExplore[[#This Row],[Land Bonus]]*20</f>
        <v>419</v>
      </c>
      <c r="AF39" s="97">
        <f ca="1">ROUND(MAX(0.6*TblExplore[[#This Row],[Land-DB]]^1.299,850)*(1+ tech_2_6*Techs!AC39 + tech_2_9*Techs!AF39 + tech_3_7*Techs!AN39 + Overview!$I$32),0)</f>
        <v>1529</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97">
        <f ca="1">SUM(TblExplore[[#This Row],[Plains Explore]:[Water Explore]])*TblExplore[[#This Row],[Plat/acre]]</f>
        <v>19877</v>
      </c>
      <c r="AI39" s="97">
        <f ca="1">SUM(TblExplore[[#This Row],[Plains Explore]:[Water Explore]])*TblExplore[[#This Row],[Draftees/acre]]</f>
        <v>65</v>
      </c>
      <c r="AJ39" s="45">
        <f ca="1">_xlfn.FLOOR.MATH(MIN(TblExplore[[#This Row],[Platinum]]/TblExplore[[#This Row],[Plat/acre]],TblExplore[[#This Row],[Draftees]]/TblExplore[[#This Row],[Draftees/acre]]))</f>
        <v>0</v>
      </c>
    </row>
    <row r="40" spans="1:36" ht="12.75" customHeight="1" x14ac:dyDescent="0.2">
      <c r="A40" s="178">
        <f>TblRezone[[#This Row],[Hour]]</f>
        <v>37</v>
      </c>
      <c r="B40" s="225">
        <f ca="1">TblConstr[[#This Row],[Land]]</f>
        <v>419</v>
      </c>
      <c r="C40" s="226"/>
      <c r="D40" s="227">
        <f ca="1">TblConstr[[#This Row],[Plain]]</f>
        <v>0</v>
      </c>
      <c r="E40" s="185">
        <f ca="1">TblConstr[[#This Row],[Forest]]</f>
        <v>0</v>
      </c>
      <c r="F40" s="385">
        <f ca="1">TblConstr[[#This Row],[Mountain]]</f>
        <v>0</v>
      </c>
      <c r="G40" s="389">
        <f ca="1">TblConstr[[#This Row],[Hill]]</f>
        <v>0</v>
      </c>
      <c r="H40" s="393">
        <f ca="1">TblConstr[[#This Row],[Swamp]]</f>
        <v>0</v>
      </c>
      <c r="I40" s="188">
        <f ca="1">TblConstr[[#This Row],[Cavern]]</f>
        <v>0</v>
      </c>
      <c r="J40" s="189">
        <f ca="1">TblConstr[[#This Row],[Water]]</f>
        <v>0</v>
      </c>
      <c r="K40" s="221"/>
      <c r="L40" s="221"/>
      <c r="M40" s="221"/>
      <c r="N40" s="228">
        <f ca="1">TblMili[[#This Row],[Smithies]]</f>
        <v>0</v>
      </c>
      <c r="O40" s="228">
        <f ca="1">TblPop[[#This Row],[Employment]]</f>
        <v>0.93087488802627649</v>
      </c>
      <c r="P40" s="228">
        <f ca="1">TblImps[[#This Row],[Population]]</f>
        <v>0.99039030159668839</v>
      </c>
      <c r="Q40" s="178">
        <f ca="1">TblExplore[[#This Row],[Land]]</f>
        <v>419</v>
      </c>
      <c r="R40" s="178">
        <f>TblExplore[[#This Row],[Hour]]</f>
        <v>37</v>
      </c>
      <c r="S40" s="229"/>
      <c r="T40" s="182">
        <v>13</v>
      </c>
      <c r="U40" s="182"/>
      <c r="V40" s="182"/>
      <c r="W40" s="182"/>
      <c r="X40" s="182"/>
      <c r="Y40" s="182"/>
      <c r="Z40" s="182"/>
      <c r="AA40" s="162">
        <f ca="1">TblImps[[#This Row],[Real time]]</f>
        <v>45431.249999999913</v>
      </c>
      <c r="AB40" s="97">
        <f ca="1">TblMili[[#This Row],[Draftees]]</f>
        <v>1</v>
      </c>
      <c r="AC40" s="97">
        <f ca="1">TblProd[[#This Row],[Platinum]]</f>
        <v>63059</v>
      </c>
      <c r="AD40" s="226"/>
      <c r="AE40" s="45">
        <f ca="1">TblExplore[[#This Row],[Land]]-TblExplore[[#This Row],[Land Bonus]]*20</f>
        <v>419</v>
      </c>
      <c r="AF40" s="97">
        <f ca="1">ROUND(MAX(0.6*TblExplore[[#This Row],[Land-DB]]^1.299,850)*(1+ tech_2_6*Techs!AC40 + tech_2_9*Techs!AF40 + tech_3_7*Techs!AN40 + Overview!$I$32),0)</f>
        <v>1529</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97">
        <f ca="1">SUM(TblExplore[[#This Row],[Plains Explore]:[Water Explore]])*TblExplore[[#This Row],[Plat/acre]]</f>
        <v>19877</v>
      </c>
      <c r="AI40" s="97">
        <f ca="1">SUM(TblExplore[[#This Row],[Plains Explore]:[Water Explore]])*TblExplore[[#This Row],[Draftees/acre]]</f>
        <v>65</v>
      </c>
      <c r="AJ40" s="45">
        <f ca="1">_xlfn.FLOOR.MATH(MIN(TblExplore[[#This Row],[Platinum]]/TblExplore[[#This Row],[Plat/acre]],TblExplore[[#This Row],[Draftees]]/TblExplore[[#This Row],[Draftees/acre]]))</f>
        <v>0</v>
      </c>
    </row>
    <row r="41" spans="1:36" x14ac:dyDescent="0.2">
      <c r="A41" s="178">
        <f>TblRezone[[#This Row],[Hour]]</f>
        <v>38</v>
      </c>
      <c r="B41" s="225">
        <f ca="1">TblConstr[[#This Row],[Land]]</f>
        <v>419</v>
      </c>
      <c r="C41" s="226"/>
      <c r="D41" s="227">
        <f ca="1">TblConstr[[#This Row],[Plain]]</f>
        <v>0</v>
      </c>
      <c r="E41" s="185">
        <f ca="1">TblConstr[[#This Row],[Forest]]</f>
        <v>0</v>
      </c>
      <c r="F41" s="385">
        <f ca="1">TblConstr[[#This Row],[Mountain]]</f>
        <v>0</v>
      </c>
      <c r="G41" s="389">
        <f ca="1">TblConstr[[#This Row],[Hill]]</f>
        <v>0</v>
      </c>
      <c r="H41" s="393">
        <f ca="1">TblConstr[[#This Row],[Swamp]]</f>
        <v>0</v>
      </c>
      <c r="I41" s="188">
        <f ca="1">TblConstr[[#This Row],[Cavern]]</f>
        <v>0</v>
      </c>
      <c r="J41" s="189">
        <f ca="1">TblConstr[[#This Row],[Water]]</f>
        <v>0</v>
      </c>
      <c r="K41" s="221"/>
      <c r="L41" s="221"/>
      <c r="M41" s="221"/>
      <c r="N41" s="228">
        <f ca="1">TblMili[[#This Row],[Smithies]]</f>
        <v>0</v>
      </c>
      <c r="O41" s="228">
        <f ca="1">TblPop[[#This Row],[Employment]]</f>
        <v>0.9311529271206691</v>
      </c>
      <c r="P41" s="228">
        <f ca="1">TblImps[[#This Row],[Population]]</f>
        <v>0.99039030159668839</v>
      </c>
      <c r="Q41" s="178">
        <f ca="1">TblExplore[[#This Row],[Land]]</f>
        <v>419</v>
      </c>
      <c r="R41" s="178">
        <f>TblExplore[[#This Row],[Hour]]</f>
        <v>38</v>
      </c>
      <c r="S41" s="229"/>
      <c r="T41" s="182">
        <v>7</v>
      </c>
      <c r="U41" s="182"/>
      <c r="V41" s="182"/>
      <c r="W41" s="182"/>
      <c r="X41" s="182"/>
      <c r="Y41" s="182"/>
      <c r="Z41" s="182">
        <v>6</v>
      </c>
      <c r="AA41" s="162">
        <f ca="1">TblImps[[#This Row],[Real time]]</f>
        <v>45431.291666666577</v>
      </c>
      <c r="AB41" s="97">
        <f ca="1">TblMili[[#This Row],[Draftees]]</f>
        <v>3</v>
      </c>
      <c r="AC41" s="97">
        <f ca="1">TblProd[[#This Row],[Platinum]]</f>
        <v>71078</v>
      </c>
      <c r="AD41" s="226"/>
      <c r="AE41" s="45">
        <f ca="1">TblExplore[[#This Row],[Land]]-TblExplore[[#This Row],[Land Bonus]]*20</f>
        <v>419</v>
      </c>
      <c r="AF41" s="97">
        <f ca="1">ROUND(MAX(0.6*TblExplore[[#This Row],[Land-DB]]^1.299,850)*(1+ tech_2_6*Techs!AC41 + tech_2_9*Techs!AF41 + tech_3_7*Techs!AN41 + Overview!$I$32),0)</f>
        <v>1529</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97">
        <f ca="1">SUM(TblExplore[[#This Row],[Plains Explore]:[Water Explore]])*TblExplore[[#This Row],[Plat/acre]]</f>
        <v>19877</v>
      </c>
      <c r="AI41" s="97">
        <f ca="1">SUM(TblExplore[[#This Row],[Plains Explore]:[Water Explore]])*TblExplore[[#This Row],[Draftees/acre]]</f>
        <v>65</v>
      </c>
      <c r="AJ41" s="45">
        <f ca="1">_xlfn.FLOOR.MATH(MIN(TblExplore[[#This Row],[Platinum]]/TblExplore[[#This Row],[Plat/acre]],TblExplore[[#This Row],[Draftees]]/TblExplore[[#This Row],[Draftees/acre]]))</f>
        <v>0</v>
      </c>
    </row>
    <row r="42" spans="1:36" x14ac:dyDescent="0.2">
      <c r="A42" s="178">
        <f>TblRezone[[#This Row],[Hour]]</f>
        <v>39</v>
      </c>
      <c r="B42" s="225">
        <f ca="1">TblConstr[[#This Row],[Land]]</f>
        <v>419</v>
      </c>
      <c r="C42" s="226"/>
      <c r="D42" s="227">
        <f ca="1">TblConstr[[#This Row],[Plain]]</f>
        <v>0</v>
      </c>
      <c r="E42" s="185">
        <f ca="1">TblConstr[[#This Row],[Forest]]</f>
        <v>0</v>
      </c>
      <c r="F42" s="385">
        <f ca="1">TblConstr[[#This Row],[Mountain]]</f>
        <v>0</v>
      </c>
      <c r="G42" s="389">
        <f ca="1">TblConstr[[#This Row],[Hill]]</f>
        <v>0</v>
      </c>
      <c r="H42" s="393">
        <f ca="1">TblConstr[[#This Row],[Swamp]]</f>
        <v>0</v>
      </c>
      <c r="I42" s="188">
        <f ca="1">TblConstr[[#This Row],[Cavern]]</f>
        <v>0</v>
      </c>
      <c r="J42" s="189">
        <f ca="1">TblConstr[[#This Row],[Water]]</f>
        <v>0</v>
      </c>
      <c r="K42" s="221"/>
      <c r="L42" s="221"/>
      <c r="M42" s="221"/>
      <c r="N42" s="228">
        <f ca="1">TblMili[[#This Row],[Smithies]]</f>
        <v>0</v>
      </c>
      <c r="O42" s="228">
        <f ca="1">TblPop[[#This Row],[Employment]]</f>
        <v>0.93143113235733488</v>
      </c>
      <c r="P42" s="228">
        <f ca="1">TblImps[[#This Row],[Population]]</f>
        <v>0.98965109402720286</v>
      </c>
      <c r="Q42" s="178">
        <f ca="1">TblExplore[[#This Row],[Land]]</f>
        <v>419</v>
      </c>
      <c r="R42" s="178">
        <f>TblExplore[[#This Row],[Hour]]</f>
        <v>39</v>
      </c>
      <c r="S42" s="229"/>
      <c r="T42" s="182">
        <v>6</v>
      </c>
      <c r="U42" s="182"/>
      <c r="V42" s="182"/>
      <c r="W42" s="182"/>
      <c r="X42" s="182"/>
      <c r="Y42" s="182"/>
      <c r="Z42" s="182">
        <v>8</v>
      </c>
      <c r="AA42" s="162">
        <f ca="1">TblImps[[#This Row],[Real time]]</f>
        <v>45431.333333333241</v>
      </c>
      <c r="AB42" s="97">
        <f ca="1">TblMili[[#This Row],[Draftees]]</f>
        <v>0</v>
      </c>
      <c r="AC42" s="97">
        <f ca="1">TblProd[[#This Row],[Platinum]]</f>
        <v>77568</v>
      </c>
      <c r="AD42" s="226"/>
      <c r="AE42" s="45">
        <f ca="1">TblExplore[[#This Row],[Land]]-TblExplore[[#This Row],[Land Bonus]]*20</f>
        <v>419</v>
      </c>
      <c r="AF42" s="97">
        <f ca="1">ROUND(MAX(0.6*TblExplore[[#This Row],[Land-DB]]^1.299,850)*(1+ tech_2_6*Techs!AC42 + tech_2_9*Techs!AF42 + tech_3_7*Techs!AN42 + Overview!$I$32),0)</f>
        <v>1529</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97">
        <f ca="1">SUM(TblExplore[[#This Row],[Plains Explore]:[Water Explore]])*TblExplore[[#This Row],[Plat/acre]]</f>
        <v>21406</v>
      </c>
      <c r="AI42" s="97">
        <f ca="1">SUM(TblExplore[[#This Row],[Plains Explore]:[Water Explore]])*TblExplore[[#This Row],[Draftees/acre]]</f>
        <v>70</v>
      </c>
      <c r="AJ42" s="45">
        <f ca="1">_xlfn.FLOOR.MATH(MIN(TblExplore[[#This Row],[Platinum]]/TblExplore[[#This Row],[Plat/acre]],TblExplore[[#This Row],[Draftees]]/TblExplore[[#This Row],[Draftees/acre]]))</f>
        <v>0</v>
      </c>
    </row>
    <row r="43" spans="1:36" x14ac:dyDescent="0.2">
      <c r="A43" s="178">
        <f>TblRezone[[#This Row],[Hour]]</f>
        <v>40</v>
      </c>
      <c r="B43" s="225">
        <f ca="1">TblConstr[[#This Row],[Land]]</f>
        <v>419</v>
      </c>
      <c r="C43" s="226"/>
      <c r="D43" s="227">
        <f ca="1">TblConstr[[#This Row],[Plain]]</f>
        <v>0</v>
      </c>
      <c r="E43" s="185">
        <f ca="1">TblConstr[[#This Row],[Forest]]</f>
        <v>0</v>
      </c>
      <c r="F43" s="385">
        <f ca="1">TblConstr[[#This Row],[Mountain]]</f>
        <v>0</v>
      </c>
      <c r="G43" s="389">
        <f ca="1">TblConstr[[#This Row],[Hill]]</f>
        <v>0</v>
      </c>
      <c r="H43" s="393">
        <f ca="1">TblConstr[[#This Row],[Swamp]]</f>
        <v>0</v>
      </c>
      <c r="I43" s="188">
        <f ca="1">TblConstr[[#This Row],[Cavern]]</f>
        <v>0</v>
      </c>
      <c r="J43" s="189">
        <f ca="1">TblConstr[[#This Row],[Water]]</f>
        <v>0</v>
      </c>
      <c r="K43" s="221"/>
      <c r="L43" s="221"/>
      <c r="M43" s="221"/>
      <c r="N43" s="228">
        <f ca="1">TblMili[[#This Row],[Smithies]]</f>
        <v>0</v>
      </c>
      <c r="O43" s="228">
        <f ca="1">TblPop[[#This Row],[Employment]]</f>
        <v>0.93101388681499175</v>
      </c>
      <c r="P43" s="228">
        <f ca="1">TblImps[[#This Row],[Population]]</f>
        <v>0.99039030159668839</v>
      </c>
      <c r="Q43" s="178">
        <f ca="1">TblExplore[[#This Row],[Land]]</f>
        <v>419</v>
      </c>
      <c r="R43" s="178">
        <f>TblExplore[[#This Row],[Hour]]</f>
        <v>40</v>
      </c>
      <c r="S43" s="229"/>
      <c r="T43" s="182">
        <v>2</v>
      </c>
      <c r="U43" s="182"/>
      <c r="V43" s="182"/>
      <c r="W43" s="182">
        <v>11</v>
      </c>
      <c r="X43" s="182"/>
      <c r="Y43" s="182"/>
      <c r="Z43" s="182"/>
      <c r="AA43" s="162">
        <f ca="1">TblImps[[#This Row],[Real time]]</f>
        <v>45431.374999999905</v>
      </c>
      <c r="AB43" s="97">
        <f ca="1">TblMili[[#This Row],[Draftees]]</f>
        <v>2</v>
      </c>
      <c r="AC43" s="97">
        <f ca="1">TblProd[[#This Row],[Platinum]]</f>
        <v>85587</v>
      </c>
      <c r="AD43" s="226"/>
      <c r="AE43" s="45">
        <f ca="1">TblExplore[[#This Row],[Land]]-TblExplore[[#This Row],[Land Bonus]]*20</f>
        <v>419</v>
      </c>
      <c r="AF43" s="97">
        <f ca="1">ROUND(MAX(0.6*TblExplore[[#This Row],[Land-DB]]^1.299,850)*(1+ tech_2_6*Techs!AC43 + tech_2_9*Techs!AF43 + tech_3_7*Techs!AN43 + Overview!$I$32),0)</f>
        <v>1529</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97">
        <f ca="1">SUM(TblExplore[[#This Row],[Plains Explore]:[Water Explore]])*TblExplore[[#This Row],[Plat/acre]]</f>
        <v>19877</v>
      </c>
      <c r="AI43" s="97">
        <f ca="1">SUM(TblExplore[[#This Row],[Plains Explore]:[Water Explore]])*TblExplore[[#This Row],[Draftees/acre]]</f>
        <v>65</v>
      </c>
      <c r="AJ43" s="45">
        <f ca="1">_xlfn.FLOOR.MATH(MIN(TblExplore[[#This Row],[Platinum]]/TblExplore[[#This Row],[Plat/acre]],TblExplore[[#This Row],[Draftees]]/TblExplore[[#This Row],[Draftees/acre]]))</f>
        <v>0</v>
      </c>
    </row>
    <row r="44" spans="1:36" x14ac:dyDescent="0.2">
      <c r="A44" s="178">
        <f>TblRezone[[#This Row],[Hour]]</f>
        <v>41</v>
      </c>
      <c r="B44" s="225">
        <f ca="1">TblConstr[[#This Row],[Land]]</f>
        <v>501</v>
      </c>
      <c r="C44" s="226"/>
      <c r="D44" s="227">
        <f ca="1">TblConstr[[#This Row],[Plain]]</f>
        <v>0</v>
      </c>
      <c r="E44" s="185">
        <f ca="1">TblConstr[[#This Row],[Forest]]</f>
        <v>0</v>
      </c>
      <c r="F44" s="385">
        <f ca="1">TblConstr[[#This Row],[Mountain]]</f>
        <v>0</v>
      </c>
      <c r="G44" s="389">
        <f ca="1">TblConstr[[#This Row],[Hill]]</f>
        <v>0</v>
      </c>
      <c r="H44" s="393">
        <f ca="1">TblConstr[[#This Row],[Swamp]]</f>
        <v>0</v>
      </c>
      <c r="I44" s="188">
        <f ca="1">TblConstr[[#This Row],[Cavern]]</f>
        <v>0</v>
      </c>
      <c r="J44" s="189">
        <f ca="1">TblConstr[[#This Row],[Water]]</f>
        <v>0</v>
      </c>
      <c r="K44" s="221"/>
      <c r="L44" s="221"/>
      <c r="M44" s="221"/>
      <c r="N44" s="228">
        <f ca="1">TblMili[[#This Row],[Smithies]]</f>
        <v>0</v>
      </c>
      <c r="O44" s="228">
        <f ca="1">TblPop[[#This Row],[Employment]]</f>
        <v>1</v>
      </c>
      <c r="P44" s="228">
        <f ca="1">TblImps[[#This Row],[Population]]</f>
        <v>0.97751561415683552</v>
      </c>
      <c r="Q44" s="178">
        <f ca="1">TblExplore[[#This Row],[Land]]</f>
        <v>501</v>
      </c>
      <c r="R44" s="178">
        <f>TblExplore[[#This Row],[Hour]]</f>
        <v>41</v>
      </c>
      <c r="S44" s="229"/>
      <c r="T44" s="182"/>
      <c r="U44" s="182"/>
      <c r="V44" s="182"/>
      <c r="W44" s="182">
        <v>11</v>
      </c>
      <c r="X44" s="182"/>
      <c r="Y44" s="182"/>
      <c r="Z44" s="182"/>
      <c r="AA44" s="162">
        <f ca="1">TblImps[[#This Row],[Real time]]</f>
        <v>45431.41666666657</v>
      </c>
      <c r="AB44" s="97">
        <f ca="1">TblMili[[#This Row],[Draftees]]</f>
        <v>3</v>
      </c>
      <c r="AC44" s="97">
        <f ca="1">TblProd[[#This Row],[Platinum]]</f>
        <v>54134</v>
      </c>
      <c r="AD44" s="226"/>
      <c r="AE44" s="45">
        <f ca="1">TblExplore[[#This Row],[Land]]-TblExplore[[#This Row],[Land Bonus]]*20</f>
        <v>501</v>
      </c>
      <c r="AF44" s="97">
        <f ca="1">ROUND(MAX(0.6*TblExplore[[#This Row],[Land-DB]]^1.299,850)*(1+ tech_2_6*Techs!AC44 + tech_2_9*Techs!AF44 + tech_3_7*Techs!AN44 + Overview!$I$32),0)</f>
        <v>1929</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97">
        <f ca="1">SUM(TblExplore[[#This Row],[Plains Explore]:[Water Explore]])*TblExplore[[#This Row],[Plat/acre]]</f>
        <v>21219</v>
      </c>
      <c r="AI44" s="97">
        <f ca="1">SUM(TblExplore[[#This Row],[Plains Explore]:[Water Explore]])*TblExplore[[#This Row],[Draftees/acre]]</f>
        <v>66</v>
      </c>
      <c r="AJ44" s="45">
        <f ca="1">_xlfn.FLOOR.MATH(MIN(TblExplore[[#This Row],[Platinum]]/TblExplore[[#This Row],[Plat/acre]],TblExplore[[#This Row],[Draftees]]/TblExplore[[#This Row],[Draftees/acre]]))</f>
        <v>0</v>
      </c>
    </row>
    <row r="45" spans="1:36" x14ac:dyDescent="0.2">
      <c r="A45" s="178">
        <f>TblRezone[[#This Row],[Hour]]</f>
        <v>42</v>
      </c>
      <c r="B45" s="225">
        <f ca="1">TblConstr[[#This Row],[Land]]</f>
        <v>510</v>
      </c>
      <c r="C45" s="226"/>
      <c r="D45" s="227">
        <f ca="1">TblConstr[[#This Row],[Plain]]</f>
        <v>0</v>
      </c>
      <c r="E45" s="185">
        <f ca="1">TblConstr[[#This Row],[Forest]]</f>
        <v>0</v>
      </c>
      <c r="F45" s="385">
        <f ca="1">TblConstr[[#This Row],[Mountain]]</f>
        <v>0</v>
      </c>
      <c r="G45" s="389">
        <f ca="1">TblConstr[[#This Row],[Hill]]</f>
        <v>0</v>
      </c>
      <c r="H45" s="393">
        <f ca="1">TblConstr[[#This Row],[Swamp]]</f>
        <v>0</v>
      </c>
      <c r="I45" s="188">
        <f ca="1">TblConstr[[#This Row],[Cavern]]</f>
        <v>0</v>
      </c>
      <c r="J45" s="189">
        <f ca="1">TblConstr[[#This Row],[Water]]</f>
        <v>0</v>
      </c>
      <c r="K45" s="221"/>
      <c r="L45" s="221"/>
      <c r="M45" s="221"/>
      <c r="N45" s="228">
        <f ca="1">TblMili[[#This Row],[Smithies]]</f>
        <v>0</v>
      </c>
      <c r="O45" s="228">
        <f ca="1">TblPop[[#This Row],[Employment]]</f>
        <v>1</v>
      </c>
      <c r="P45" s="228">
        <f ca="1">TblImps[[#This Row],[Population]]</f>
        <v>0.90953785644051133</v>
      </c>
      <c r="Q45" s="178">
        <f ca="1">TblExplore[[#This Row],[Land]]</f>
        <v>510</v>
      </c>
      <c r="R45" s="178">
        <f>TblExplore[[#This Row],[Hour]]</f>
        <v>42</v>
      </c>
      <c r="S45" s="229"/>
      <c r="T45" s="182"/>
      <c r="U45" s="182"/>
      <c r="V45" s="182"/>
      <c r="W45" s="182">
        <v>12</v>
      </c>
      <c r="X45" s="182"/>
      <c r="Y45" s="182"/>
      <c r="Z45" s="182"/>
      <c r="AA45" s="162">
        <f ca="1">TblImps[[#This Row],[Real time]]</f>
        <v>45431.458333333234</v>
      </c>
      <c r="AB45" s="97">
        <f ca="1">TblMili[[#This Row],[Draftees]]</f>
        <v>1</v>
      </c>
      <c r="AC45" s="97">
        <f ca="1">TblProd[[#This Row],[Platinum]]</f>
        <v>60267</v>
      </c>
      <c r="AD45" s="226"/>
      <c r="AE45" s="45">
        <f ca="1">TblExplore[[#This Row],[Land]]-TblExplore[[#This Row],[Land Bonus]]*20</f>
        <v>510</v>
      </c>
      <c r="AF45" s="97">
        <f ca="1">ROUND(MAX(0.6*TblExplore[[#This Row],[Land-DB]]^1.299,850)*(1+ tech_2_6*Techs!AC45 + tech_2_9*Techs!AF45 + tech_3_7*Techs!AN45 + Overview!$I$32),0)</f>
        <v>1974</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97">
        <f ca="1">SUM(TblExplore[[#This Row],[Plains Explore]:[Water Explore]])*TblExplore[[#This Row],[Plat/acre]]</f>
        <v>23688</v>
      </c>
      <c r="AI45" s="97">
        <f ca="1">SUM(TblExplore[[#This Row],[Plains Explore]:[Water Explore]])*TblExplore[[#This Row],[Draftees/acre]]</f>
        <v>72</v>
      </c>
      <c r="AJ45" s="45">
        <f ca="1">_xlfn.FLOOR.MATH(MIN(TblExplore[[#This Row],[Platinum]]/TblExplore[[#This Row],[Plat/acre]],TblExplore[[#This Row],[Draftees]]/TblExplore[[#This Row],[Draftees/acre]]))</f>
        <v>0</v>
      </c>
    </row>
    <row r="46" spans="1:36" x14ac:dyDescent="0.2">
      <c r="A46" s="178">
        <f>TblRezone[[#This Row],[Hour]]</f>
        <v>43</v>
      </c>
      <c r="B46" s="225">
        <f ca="1">TblConstr[[#This Row],[Land]]</f>
        <v>520</v>
      </c>
      <c r="C46" s="226"/>
      <c r="D46" s="227">
        <f ca="1">TblConstr[[#This Row],[Plain]]</f>
        <v>0</v>
      </c>
      <c r="E46" s="185">
        <f ca="1">TblConstr[[#This Row],[Forest]]</f>
        <v>0</v>
      </c>
      <c r="F46" s="385">
        <f ca="1">TblConstr[[#This Row],[Mountain]]</f>
        <v>0</v>
      </c>
      <c r="G46" s="389">
        <f ca="1">TblConstr[[#This Row],[Hill]]</f>
        <v>0</v>
      </c>
      <c r="H46" s="393">
        <f ca="1">TblConstr[[#This Row],[Swamp]]</f>
        <v>0</v>
      </c>
      <c r="I46" s="188">
        <f ca="1">TblConstr[[#This Row],[Cavern]]</f>
        <v>0</v>
      </c>
      <c r="J46" s="189">
        <f ca="1">TblConstr[[#This Row],[Water]]</f>
        <v>0</v>
      </c>
      <c r="K46" s="221"/>
      <c r="L46" s="221"/>
      <c r="M46" s="221"/>
      <c r="N46" s="228">
        <f ca="1">TblMili[[#This Row],[Smithies]]</f>
        <v>0</v>
      </c>
      <c r="O46" s="228">
        <f ca="1">TblPop[[#This Row],[Employment]]</f>
        <v>1</v>
      </c>
      <c r="P46" s="228">
        <f ca="1">TblImps[[#This Row],[Population]]</f>
        <v>0.94135392783878369</v>
      </c>
      <c r="Q46" s="178">
        <f ca="1">TblExplore[[#This Row],[Land]]</f>
        <v>520</v>
      </c>
      <c r="R46" s="178">
        <f>TblExplore[[#This Row],[Hour]]</f>
        <v>43</v>
      </c>
      <c r="S46" s="229"/>
      <c r="T46" s="182"/>
      <c r="U46" s="182"/>
      <c r="V46" s="182"/>
      <c r="W46" s="182">
        <v>4</v>
      </c>
      <c r="X46" s="182">
        <v>4</v>
      </c>
      <c r="Y46" s="182"/>
      <c r="Z46" s="182"/>
      <c r="AA46" s="162">
        <f ca="1">TblImps[[#This Row],[Real time]]</f>
        <v>45431.499999999898</v>
      </c>
      <c r="AB46" s="97">
        <f ca="1">TblMili[[#This Row],[Draftees]]</f>
        <v>27</v>
      </c>
      <c r="AC46" s="97">
        <f ca="1">TblProd[[#This Row],[Platinum]]</f>
        <v>75080</v>
      </c>
      <c r="AD46" s="226"/>
      <c r="AE46" s="45">
        <f ca="1">TblExplore[[#This Row],[Land]]-TblExplore[[#This Row],[Land Bonus]]*20</f>
        <v>520</v>
      </c>
      <c r="AF46" s="97">
        <f ca="1">ROUND(MAX(0.6*TblExplore[[#This Row],[Land-DB]]^1.299,850)*(1+ tech_2_6*Techs!AC46 + tech_2_9*Techs!AF46 + tech_3_7*Techs!AN46 + Overview!$I$32),0)</f>
        <v>2024</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97">
        <f ca="1">SUM(TblExplore[[#This Row],[Plains Explore]:[Water Explore]])*TblExplore[[#This Row],[Plat/acre]]</f>
        <v>16192</v>
      </c>
      <c r="AI46" s="97">
        <f ca="1">SUM(TblExplore[[#This Row],[Plains Explore]:[Water Explore]])*TblExplore[[#This Row],[Draftees/acre]]</f>
        <v>48</v>
      </c>
      <c r="AJ46" s="45">
        <f ca="1">_xlfn.FLOOR.MATH(MIN(TblExplore[[#This Row],[Platinum]]/TblExplore[[#This Row],[Plat/acre]],TblExplore[[#This Row],[Draftees]]/TblExplore[[#This Row],[Draftees/acre]]))</f>
        <v>4</v>
      </c>
    </row>
    <row r="47" spans="1:36" x14ac:dyDescent="0.2">
      <c r="A47" s="178">
        <f>TblRezone[[#This Row],[Hour]]</f>
        <v>44</v>
      </c>
      <c r="B47" s="225">
        <f ca="1">TblConstr[[#This Row],[Land]]</f>
        <v>530</v>
      </c>
      <c r="C47" s="226"/>
      <c r="D47" s="227">
        <f ca="1">TblConstr[[#This Row],[Plain]]</f>
        <v>0</v>
      </c>
      <c r="E47" s="185">
        <f ca="1">TblConstr[[#This Row],[Forest]]</f>
        <v>0</v>
      </c>
      <c r="F47" s="385">
        <f ca="1">TblConstr[[#This Row],[Mountain]]</f>
        <v>0</v>
      </c>
      <c r="G47" s="389">
        <f ca="1">TblConstr[[#This Row],[Hill]]</f>
        <v>0</v>
      </c>
      <c r="H47" s="393">
        <f ca="1">TblConstr[[#This Row],[Swamp]]</f>
        <v>0</v>
      </c>
      <c r="I47" s="188">
        <f ca="1">TblConstr[[#This Row],[Cavern]]</f>
        <v>0</v>
      </c>
      <c r="J47" s="189">
        <f ca="1">TblConstr[[#This Row],[Water]]</f>
        <v>0</v>
      </c>
      <c r="K47" s="221"/>
      <c r="L47" s="221"/>
      <c r="M47" s="221"/>
      <c r="N47" s="228">
        <f ca="1">TblMili[[#This Row],[Smithies]]</f>
        <v>0</v>
      </c>
      <c r="O47" s="228">
        <f ca="1">TblPop[[#This Row],[Employment]]</f>
        <v>1</v>
      </c>
      <c r="P47" s="228">
        <f ca="1">TblImps[[#This Row],[Population]]</f>
        <v>0.97881406083560185</v>
      </c>
      <c r="Q47" s="178">
        <f ca="1">TblExplore[[#This Row],[Land]]</f>
        <v>530</v>
      </c>
      <c r="R47" s="178">
        <f>TblExplore[[#This Row],[Hour]]</f>
        <v>44</v>
      </c>
      <c r="S47" s="229"/>
      <c r="T47" s="182"/>
      <c r="U47" s="182"/>
      <c r="V47" s="182"/>
      <c r="W47" s="182"/>
      <c r="X47" s="182"/>
      <c r="Y47" s="182"/>
      <c r="Z47" s="182"/>
      <c r="AA47" s="162">
        <f ca="1">TblImps[[#This Row],[Real time]]</f>
        <v>45431.541666666562</v>
      </c>
      <c r="AB47" s="97">
        <f ca="1">TblMili[[#This Row],[Draftees]]</f>
        <v>105</v>
      </c>
      <c r="AC47" s="97">
        <f ca="1">TblProd[[#This Row],[Platinum]]</f>
        <v>107787</v>
      </c>
      <c r="AD47" s="226"/>
      <c r="AE47" s="45">
        <f ca="1">TblExplore[[#This Row],[Land]]-TblExplore[[#This Row],[Land Bonus]]*20</f>
        <v>530</v>
      </c>
      <c r="AF47" s="97">
        <f ca="1">ROUND(MAX(0.6*TblExplore[[#This Row],[Land-DB]]^1.299,850)*(1+ tech_2_6*Techs!AC47 + tech_2_9*Techs!AF47 + tech_3_7*Techs!AN47 + Overview!$I$32),0)</f>
        <v>2075</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17</v>
      </c>
    </row>
    <row r="48" spans="1:36" x14ac:dyDescent="0.2">
      <c r="A48" s="178">
        <f>TblRezone[[#This Row],[Hour]]</f>
        <v>45</v>
      </c>
      <c r="B48" s="225">
        <f ca="1">TblConstr[[#This Row],[Land]]</f>
        <v>540</v>
      </c>
      <c r="C48" s="226"/>
      <c r="D48" s="227">
        <f ca="1">TblConstr[[#This Row],[Plain]]</f>
        <v>0</v>
      </c>
      <c r="E48" s="185">
        <f ca="1">TblConstr[[#This Row],[Forest]]</f>
        <v>0</v>
      </c>
      <c r="F48" s="385">
        <f ca="1">TblConstr[[#This Row],[Mountain]]</f>
        <v>0</v>
      </c>
      <c r="G48" s="389">
        <f ca="1">TblConstr[[#This Row],[Hill]]</f>
        <v>0</v>
      </c>
      <c r="H48" s="393">
        <f ca="1">TblConstr[[#This Row],[Swamp]]</f>
        <v>0</v>
      </c>
      <c r="I48" s="188">
        <f ca="1">TblConstr[[#This Row],[Cavern]]</f>
        <v>0</v>
      </c>
      <c r="J48" s="189">
        <f ca="1">TblConstr[[#This Row],[Water]]</f>
        <v>0</v>
      </c>
      <c r="K48" s="221"/>
      <c r="L48" s="221"/>
      <c r="M48" s="221"/>
      <c r="N48" s="228">
        <f ca="1">TblMili[[#This Row],[Smithies]]</f>
        <v>0</v>
      </c>
      <c r="O48" s="228">
        <f ca="1">TblPop[[#This Row],[Employment]]</f>
        <v>0.99964383236376586</v>
      </c>
      <c r="P48" s="228">
        <f ca="1">TblImps[[#This Row],[Population]]</f>
        <v>1</v>
      </c>
      <c r="Q48" s="178">
        <f ca="1">TblExplore[[#This Row],[Land]]</f>
        <v>540</v>
      </c>
      <c r="R48" s="178">
        <f>TblExplore[[#This Row],[Hour]]</f>
        <v>45</v>
      </c>
      <c r="S48" s="229"/>
      <c r="T48" s="182"/>
      <c r="U48" s="182"/>
      <c r="V48" s="182"/>
      <c r="W48" s="182"/>
      <c r="X48" s="182"/>
      <c r="Y48" s="182"/>
      <c r="Z48" s="182"/>
      <c r="AA48" s="162">
        <f ca="1">TblImps[[#This Row],[Real time]]</f>
        <v>45431.583333333227</v>
      </c>
      <c r="AB48" s="97">
        <f ca="1">TblMili[[#This Row],[Draftees]]</f>
        <v>187</v>
      </c>
      <c r="AC48" s="97">
        <f ca="1">TblProd[[#This Row],[Platinum]]</f>
        <v>141605</v>
      </c>
      <c r="AD48" s="226"/>
      <c r="AE48" s="45">
        <f ca="1">TblExplore[[#This Row],[Land]]-TblExplore[[#This Row],[Land Bonus]]*20</f>
        <v>540</v>
      </c>
      <c r="AF48" s="97">
        <f ca="1">ROUND(MAX(0.6*TblExplore[[#This Row],[Land-DB]]^1.299,850)*(1+ tech_2_6*Techs!AC48 + tech_2_9*Techs!AF48 + tech_3_7*Techs!AN48 + Overview!$I$32),0)</f>
        <v>2126</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31</v>
      </c>
    </row>
    <row r="49" spans="1:36" x14ac:dyDescent="0.2">
      <c r="A49" s="178">
        <f>TblRezone[[#This Row],[Hour]]</f>
        <v>46</v>
      </c>
      <c r="B49" s="225">
        <f ca="1">TblConstr[[#This Row],[Land]]</f>
        <v>551</v>
      </c>
      <c r="C49" s="226"/>
      <c r="D49" s="227">
        <f ca="1">TblConstr[[#This Row],[Plain]]</f>
        <v>0</v>
      </c>
      <c r="E49" s="185">
        <f ca="1">TblConstr[[#This Row],[Forest]]</f>
        <v>0</v>
      </c>
      <c r="F49" s="385">
        <f ca="1">TblConstr[[#This Row],[Mountain]]</f>
        <v>0</v>
      </c>
      <c r="G49" s="389">
        <f ca="1">TblConstr[[#This Row],[Hill]]</f>
        <v>0</v>
      </c>
      <c r="H49" s="393">
        <f ca="1">TblConstr[[#This Row],[Swamp]]</f>
        <v>0</v>
      </c>
      <c r="I49" s="188">
        <f ca="1">TblConstr[[#This Row],[Cavern]]</f>
        <v>0</v>
      </c>
      <c r="J49" s="189">
        <f ca="1">TblConstr[[#This Row],[Water]]</f>
        <v>0</v>
      </c>
      <c r="K49" s="221"/>
      <c r="L49" s="221"/>
      <c r="M49" s="221"/>
      <c r="N49" s="228">
        <f ca="1">TblMili[[#This Row],[Smithies]]</f>
        <v>0</v>
      </c>
      <c r="O49" s="228">
        <f ca="1">TblPop[[#This Row],[Employment]]</f>
        <v>0.9951798730308018</v>
      </c>
      <c r="P49" s="228">
        <f ca="1">TblImps[[#This Row],[Population]]</f>
        <v>1</v>
      </c>
      <c r="Q49" s="178">
        <f ca="1">TblExplore[[#This Row],[Land]]</f>
        <v>551</v>
      </c>
      <c r="R49" s="178">
        <f>TblExplore[[#This Row],[Hour]]</f>
        <v>46</v>
      </c>
      <c r="S49" s="229"/>
      <c r="T49" s="182"/>
      <c r="U49" s="182"/>
      <c r="V49" s="182"/>
      <c r="W49" s="182"/>
      <c r="X49" s="182"/>
      <c r="Y49" s="182"/>
      <c r="Z49" s="182"/>
      <c r="AA49" s="162">
        <f ca="1">TblImps[[#This Row],[Real time]]</f>
        <v>45431.624999999891</v>
      </c>
      <c r="AB49" s="97">
        <f ca="1">TblMili[[#This Row],[Draftees]]</f>
        <v>271</v>
      </c>
      <c r="AC49" s="97">
        <f ca="1">TblProd[[#This Row],[Platinum]]</f>
        <v>175641</v>
      </c>
      <c r="AD49" s="226"/>
      <c r="AE49" s="45">
        <f ca="1">TblExplore[[#This Row],[Land]]-TblExplore[[#This Row],[Land Bonus]]*20</f>
        <v>551</v>
      </c>
      <c r="AF49" s="97">
        <f ca="1">ROUND(MAX(0.6*TblExplore[[#This Row],[Land-DB]]^1.299,850)*(1+ tech_2_6*Techs!AC49 + tech_2_9*Techs!AF49 + tech_3_7*Techs!AN49 + Overview!$I$32),0)</f>
        <v>2182</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45</v>
      </c>
    </row>
    <row r="50" spans="1:36" x14ac:dyDescent="0.2">
      <c r="A50" s="178">
        <f>TblRezone[[#This Row],[Hour]]</f>
        <v>47</v>
      </c>
      <c r="B50" s="225">
        <f ca="1">TblConstr[[#This Row],[Land]]</f>
        <v>563</v>
      </c>
      <c r="C50" s="226"/>
      <c r="D50" s="227">
        <f ca="1">TblConstr[[#This Row],[Plain]]</f>
        <v>0</v>
      </c>
      <c r="E50" s="185">
        <f ca="1">TblConstr[[#This Row],[Forest]]</f>
        <v>0</v>
      </c>
      <c r="F50" s="385">
        <f ca="1">TblConstr[[#This Row],[Mountain]]</f>
        <v>0</v>
      </c>
      <c r="G50" s="389">
        <f ca="1">TblConstr[[#This Row],[Hill]]</f>
        <v>0</v>
      </c>
      <c r="H50" s="393">
        <f ca="1">TblConstr[[#This Row],[Swamp]]</f>
        <v>0</v>
      </c>
      <c r="I50" s="188">
        <f ca="1">TblConstr[[#This Row],[Cavern]]</f>
        <v>0</v>
      </c>
      <c r="J50" s="189">
        <f ca="1">TblConstr[[#This Row],[Water]]</f>
        <v>0</v>
      </c>
      <c r="K50" s="221"/>
      <c r="L50" s="221"/>
      <c r="M50" s="221"/>
      <c r="N50" s="228">
        <f ca="1">TblMili[[#This Row],[Smithies]]</f>
        <v>0</v>
      </c>
      <c r="O50" s="228">
        <f ca="1">TblPop[[#This Row],[Employment]]</f>
        <v>1</v>
      </c>
      <c r="P50" s="228">
        <f ca="1">TblImps[[#This Row],[Population]]</f>
        <v>1</v>
      </c>
      <c r="Q50" s="178">
        <f ca="1">TblExplore[[#This Row],[Land]]</f>
        <v>563</v>
      </c>
      <c r="R50" s="178">
        <f>TblExplore[[#This Row],[Hour]]</f>
        <v>47</v>
      </c>
      <c r="S50" s="229"/>
      <c r="T50" s="182"/>
      <c r="U50" s="182"/>
      <c r="V50" s="182"/>
      <c r="W50" s="182"/>
      <c r="X50" s="182"/>
      <c r="Y50" s="182"/>
      <c r="Z50" s="182"/>
      <c r="AA50" s="162">
        <f ca="1">TblImps[[#This Row],[Real time]]</f>
        <v>45431.666666666555</v>
      </c>
      <c r="AB50" s="97">
        <f ca="1">TblMili[[#This Row],[Draftees]]</f>
        <v>356</v>
      </c>
      <c r="AC50" s="97">
        <f ca="1">TblProd[[#This Row],[Platinum]]</f>
        <v>209248</v>
      </c>
      <c r="AD50" s="226"/>
      <c r="AE50" s="45">
        <f ca="1">TblExplore[[#This Row],[Land]]-TblExplore[[#This Row],[Land Bonus]]*20</f>
        <v>563</v>
      </c>
      <c r="AF50" s="97">
        <f ca="1">ROUND(MAX(0.6*TblExplore[[#This Row],[Land-DB]]^1.299,850)*(1+ tech_2_6*Techs!AC50 + tech_2_9*Techs!AF50 + tech_3_7*Techs!AN50 + Overview!$I$32),0)</f>
        <v>2244</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59</v>
      </c>
    </row>
    <row r="51" spans="1:36" x14ac:dyDescent="0.2">
      <c r="A51" s="178">
        <f>TblRezone[[#This Row],[Hour]]</f>
        <v>48</v>
      </c>
      <c r="B51" s="225">
        <f ca="1">TblConstr[[#This Row],[Land]]</f>
        <v>596</v>
      </c>
      <c r="C51" s="226"/>
      <c r="D51" s="227">
        <f ca="1">TblConstr[[#This Row],[Plain]]</f>
        <v>0</v>
      </c>
      <c r="E51" s="185">
        <f ca="1">TblConstr[[#This Row],[Forest]]</f>
        <v>0</v>
      </c>
      <c r="F51" s="385">
        <f ca="1">TblConstr[[#This Row],[Mountain]]</f>
        <v>0</v>
      </c>
      <c r="G51" s="389">
        <f ca="1">TblConstr[[#This Row],[Hill]]</f>
        <v>0</v>
      </c>
      <c r="H51" s="393">
        <f ca="1">TblConstr[[#This Row],[Swamp]]</f>
        <v>0</v>
      </c>
      <c r="I51" s="188">
        <f ca="1">TblConstr[[#This Row],[Cavern]]</f>
        <v>0</v>
      </c>
      <c r="J51" s="189">
        <f ca="1">TblConstr[[#This Row],[Water]]</f>
        <v>0</v>
      </c>
      <c r="K51" s="221"/>
      <c r="L51" s="221"/>
      <c r="M51" s="221"/>
      <c r="N51" s="228">
        <f ca="1">TblMili[[#This Row],[Smithies]]</f>
        <v>0</v>
      </c>
      <c r="O51" s="228">
        <f ca="1">TblPop[[#This Row],[Employment]]</f>
        <v>0.99977056326717906</v>
      </c>
      <c r="P51" s="228">
        <f ca="1">TblImps[[#This Row],[Population]]</f>
        <v>1</v>
      </c>
      <c r="Q51" s="178">
        <f ca="1">TblExplore[[#This Row],[Land]]</f>
        <v>596</v>
      </c>
      <c r="R51" s="178">
        <f>TblExplore[[#This Row],[Hour]]</f>
        <v>48</v>
      </c>
      <c r="S51" s="229">
        <v>1</v>
      </c>
      <c r="T51" s="182"/>
      <c r="U51" s="182"/>
      <c r="V51" s="182"/>
      <c r="W51" s="182"/>
      <c r="X51" s="182"/>
      <c r="Y51" s="182"/>
      <c r="Z51" s="182"/>
      <c r="AA51" s="162">
        <f ca="1">TblImps[[#This Row],[Real time]]</f>
        <v>45431.708333333219</v>
      </c>
      <c r="AB51" s="97">
        <f ca="1">TblMili[[#This Row],[Draftees]]</f>
        <v>442</v>
      </c>
      <c r="AC51" s="97">
        <f ca="1">TblProd[[#This Row],[Platinum]]</f>
        <v>267289</v>
      </c>
      <c r="AD51" s="226"/>
      <c r="AE51" s="45">
        <f ca="1">TblExplore[[#This Row],[Land]]-TblExplore[[#This Row],[Land Bonus]]*20</f>
        <v>576</v>
      </c>
      <c r="AF51" s="97">
        <f ca="1">ROUND(MAX(0.6*TblExplore[[#This Row],[Land-DB]]^1.299,850)*(1+ tech_2_6*Techs!AC51 + tech_2_9*Techs!AF51 + tech_3_7*Techs!AN51 + Overview!$I$32),0)</f>
        <v>2312</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73</v>
      </c>
    </row>
    <row r="52" spans="1:36" x14ac:dyDescent="0.2">
      <c r="A52" s="178">
        <f>TblRezone[[#This Row],[Hour]]</f>
        <v>49</v>
      </c>
      <c r="B52" s="225">
        <f ca="1">TblConstr[[#This Row],[Land]]</f>
        <v>629</v>
      </c>
      <c r="C52" s="226"/>
      <c r="D52" s="227">
        <f ca="1">TblConstr[[#This Row],[Plain]]</f>
        <v>0</v>
      </c>
      <c r="E52" s="185">
        <f ca="1">TblConstr[[#This Row],[Forest]]</f>
        <v>0</v>
      </c>
      <c r="F52" s="385">
        <f ca="1">TblConstr[[#This Row],[Mountain]]</f>
        <v>0</v>
      </c>
      <c r="G52" s="389">
        <f ca="1">TblConstr[[#This Row],[Hill]]</f>
        <v>0</v>
      </c>
      <c r="H52" s="393">
        <f ca="1">TblConstr[[#This Row],[Swamp]]</f>
        <v>0</v>
      </c>
      <c r="I52" s="188">
        <f ca="1">TblConstr[[#This Row],[Cavern]]</f>
        <v>0</v>
      </c>
      <c r="J52" s="189">
        <f ca="1">TblConstr[[#This Row],[Water]]</f>
        <v>0</v>
      </c>
      <c r="K52" s="221"/>
      <c r="L52" s="239"/>
      <c r="M52" s="240"/>
      <c r="N52" s="228">
        <f ca="1">TblMili[[#This Row],[Smithies]]</f>
        <v>0</v>
      </c>
      <c r="O52" s="228">
        <f ca="1">TblPop[[#This Row],[Employment]]</f>
        <v>0.95370978332238998</v>
      </c>
      <c r="P52" s="228">
        <f ca="1">TblImps[[#This Row],[Population]]</f>
        <v>0.99742055303342958</v>
      </c>
      <c r="Q52" s="178">
        <f ca="1">TblExplore[[#This Row],[Land]]</f>
        <v>629</v>
      </c>
      <c r="R52" s="178">
        <f>TblExplore[[#This Row],[Hour]]</f>
        <v>49</v>
      </c>
      <c r="S52" s="229">
        <v>1</v>
      </c>
      <c r="T52" s="182"/>
      <c r="U52" s="182"/>
      <c r="V52" s="182"/>
      <c r="W52" s="182"/>
      <c r="X52" s="182"/>
      <c r="Y52" s="182"/>
      <c r="Z52" s="182"/>
      <c r="AA52" s="162">
        <f ca="1">TblImps[[#This Row],[Real time]]</f>
        <v>45431.749999999884</v>
      </c>
      <c r="AB52" s="97">
        <f ca="1">TblMili[[#This Row],[Draftees]]</f>
        <v>529</v>
      </c>
      <c r="AC52" s="97">
        <f ca="1">TblProd[[#This Row],[Platinum]]</f>
        <v>290264</v>
      </c>
      <c r="AD52" s="226"/>
      <c r="AE52" s="45">
        <f ca="1">TblExplore[[#This Row],[Land]]-TblExplore[[#This Row],[Land Bonus]]*20</f>
        <v>609</v>
      </c>
      <c r="AF52" s="97">
        <f ca="1">ROUND(MAX(0.6*TblExplore[[#This Row],[Land-DB]]^1.299,850)*(1+ tech_2_6*Techs!AC52 + tech_2_9*Techs!AF52 + tech_3_7*Techs!AN52 + Overview!$I$32),0)</f>
        <v>2485</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88</v>
      </c>
    </row>
    <row r="53" spans="1:36" x14ac:dyDescent="0.2">
      <c r="A53" s="178">
        <f>TblRezone[[#This Row],[Hour]]</f>
        <v>50</v>
      </c>
      <c r="B53" s="225">
        <f ca="1">TblConstr[[#This Row],[Land]]</f>
        <v>642</v>
      </c>
      <c r="C53" s="226"/>
      <c r="D53" s="227">
        <f ca="1">TblConstr[[#This Row],[Plain]]</f>
        <v>0</v>
      </c>
      <c r="E53" s="185">
        <f ca="1">TblConstr[[#This Row],[Forest]]</f>
        <v>0</v>
      </c>
      <c r="F53" s="385">
        <f ca="1">TblConstr[[#This Row],[Mountain]]</f>
        <v>0</v>
      </c>
      <c r="G53" s="389">
        <f ca="1">TblConstr[[#This Row],[Hill]]</f>
        <v>0</v>
      </c>
      <c r="H53" s="393">
        <f ca="1">TblConstr[[#This Row],[Swamp]]</f>
        <v>0</v>
      </c>
      <c r="I53" s="188">
        <f ca="1">TblConstr[[#This Row],[Cavern]]</f>
        <v>0</v>
      </c>
      <c r="J53" s="189">
        <f ca="1">TblConstr[[#This Row],[Water]]</f>
        <v>0</v>
      </c>
      <c r="K53" s="221"/>
      <c r="L53" s="241"/>
      <c r="M53" s="240"/>
      <c r="N53" s="228">
        <f ca="1">TblMili[[#This Row],[Smithies]]</f>
        <v>0</v>
      </c>
      <c r="O53" s="228">
        <f ca="1">TblPop[[#This Row],[Employment]]</f>
        <v>0.91037292384832336</v>
      </c>
      <c r="P53" s="228">
        <f ca="1">TblImps[[#This Row],[Population]]</f>
        <v>0.99696791862284817</v>
      </c>
      <c r="Q53" s="178">
        <f ca="1">TblExplore[[#This Row],[Land]]</f>
        <v>642</v>
      </c>
      <c r="R53" s="178">
        <f>TblExplore[[#This Row],[Hour]]</f>
        <v>50</v>
      </c>
      <c r="S53" s="229"/>
      <c r="T53" s="182"/>
      <c r="U53" s="182"/>
      <c r="V53" s="182"/>
      <c r="W53" s="182"/>
      <c r="X53" s="182"/>
      <c r="Y53" s="182"/>
      <c r="Z53" s="182"/>
      <c r="AA53" s="162">
        <f ca="1">TblImps[[#This Row],[Real time]]</f>
        <v>45431.791666666548</v>
      </c>
      <c r="AB53" s="97">
        <f ca="1">TblMili[[#This Row],[Draftees]]</f>
        <v>620</v>
      </c>
      <c r="AC53" s="97">
        <f ca="1">TblProd[[#This Row],[Platinum]]</f>
        <v>323598</v>
      </c>
      <c r="AD53" s="226"/>
      <c r="AE53" s="45">
        <f ca="1">TblExplore[[#This Row],[Land]]-TblExplore[[#This Row],[Land Bonus]]*20</f>
        <v>642</v>
      </c>
      <c r="AF53" s="97">
        <f ca="1">ROUND(MAX(0.6*TblExplore[[#This Row],[Land-DB]]^1.299,850)*(1+ tech_2_6*Techs!AC53 + tech_2_9*Techs!AF53 + tech_3_7*Techs!AN53 + Overview!$I$32),0)</f>
        <v>2662</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88</v>
      </c>
    </row>
    <row r="54" spans="1:36" x14ac:dyDescent="0.2">
      <c r="A54" s="178">
        <f>TblRezone[[#This Row],[Hour]]</f>
        <v>51</v>
      </c>
      <c r="B54" s="225">
        <f ca="1">TblConstr[[#This Row],[Land]]</f>
        <v>656</v>
      </c>
      <c r="C54" s="226"/>
      <c r="D54" s="227">
        <f ca="1">TblConstr[[#This Row],[Plain]]</f>
        <v>0</v>
      </c>
      <c r="E54" s="185">
        <f ca="1">TblConstr[[#This Row],[Forest]]</f>
        <v>0</v>
      </c>
      <c r="F54" s="385">
        <f ca="1">TblConstr[[#This Row],[Mountain]]</f>
        <v>0</v>
      </c>
      <c r="G54" s="389">
        <f ca="1">TblConstr[[#This Row],[Hill]]</f>
        <v>0</v>
      </c>
      <c r="H54" s="393">
        <f ca="1">TblConstr[[#This Row],[Swamp]]</f>
        <v>0</v>
      </c>
      <c r="I54" s="188">
        <f ca="1">TblConstr[[#This Row],[Cavern]]</f>
        <v>0</v>
      </c>
      <c r="J54" s="189">
        <f ca="1">TblConstr[[#This Row],[Water]]</f>
        <v>0</v>
      </c>
      <c r="K54" s="221"/>
      <c r="L54" s="397" t="s">
        <v>1049</v>
      </c>
      <c r="M54" s="398" t="s">
        <v>303</v>
      </c>
      <c r="N54" s="228">
        <f ca="1">TblMili[[#This Row],[Smithies]]</f>
        <v>0</v>
      </c>
      <c r="O54" s="228">
        <f ca="1">TblPop[[#This Row],[Employment]]</f>
        <v>0.89623611682435211</v>
      </c>
      <c r="P54" s="228">
        <f ca="1">TblImps[[#This Row],[Population]]</f>
        <v>1</v>
      </c>
      <c r="Q54" s="178">
        <f ca="1">TblExplore[[#This Row],[Land]]</f>
        <v>656</v>
      </c>
      <c r="R54" s="178">
        <f>TblExplore[[#This Row],[Hour]]</f>
        <v>51</v>
      </c>
      <c r="S54" s="229"/>
      <c r="T54" s="182"/>
      <c r="U54" s="182"/>
      <c r="V54" s="182"/>
      <c r="W54" s="182"/>
      <c r="X54" s="182"/>
      <c r="Y54" s="182"/>
      <c r="Z54" s="182"/>
      <c r="AA54" s="162">
        <f ca="1">TblImps[[#This Row],[Real time]]</f>
        <v>45431.833333333212</v>
      </c>
      <c r="AB54" s="97">
        <f ca="1">TblMili[[#This Row],[Draftees]]</f>
        <v>716</v>
      </c>
      <c r="AC54" s="97">
        <f ca="1">TblProd[[#This Row],[Platinum]]</f>
        <v>356298</v>
      </c>
      <c r="AD54" s="226"/>
      <c r="AE54" s="45">
        <f ca="1">TblExplore[[#This Row],[Land]]-TblExplore[[#This Row],[Land Bonus]]*20</f>
        <v>656</v>
      </c>
      <c r="AF54" s="97">
        <f ca="1">ROUND(MAX(0.6*TblExplore[[#This Row],[Land-DB]]^1.299,850)*(1+ tech_2_6*Techs!AC54 + tech_2_9*Techs!AF54 + tech_3_7*Techs!AN54 + Overview!$I$32),0)</f>
        <v>2737</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102</v>
      </c>
    </row>
    <row r="55" spans="1:36" x14ac:dyDescent="0.2">
      <c r="A55" s="178">
        <f>TblRezone[[#This Row],[Hour]]</f>
        <v>52</v>
      </c>
      <c r="B55" s="225">
        <f ca="1">TblConstr[[#This Row],[Land]]</f>
        <v>669</v>
      </c>
      <c r="C55" s="226"/>
      <c r="D55" s="227">
        <f ca="1">TblConstr[[#This Row],[Plain]]</f>
        <v>0</v>
      </c>
      <c r="E55" s="185">
        <f ca="1">TblConstr[[#This Row],[Forest]]</f>
        <v>0</v>
      </c>
      <c r="F55" s="385">
        <f ca="1">TblConstr[[#This Row],[Mountain]]</f>
        <v>0</v>
      </c>
      <c r="G55" s="389">
        <f ca="1">TblConstr[[#This Row],[Hill]]</f>
        <v>0</v>
      </c>
      <c r="H55" s="393">
        <f ca="1">TblConstr[[#This Row],[Swamp]]</f>
        <v>0</v>
      </c>
      <c r="I55" s="188">
        <f ca="1">TblConstr[[#This Row],[Cavern]]</f>
        <v>0</v>
      </c>
      <c r="J55" s="189">
        <f ca="1">TblConstr[[#This Row],[Water]]</f>
        <v>0</v>
      </c>
      <c r="K55" s="221"/>
      <c r="L55" s="399">
        <v>4</v>
      </c>
      <c r="M55" s="400">
        <v>299</v>
      </c>
      <c r="N55" s="228">
        <f ca="1">TblMili[[#This Row],[Smithies]]</f>
        <v>0</v>
      </c>
      <c r="O55" s="228">
        <f ca="1">TblPop[[#This Row],[Employment]]</f>
        <v>1</v>
      </c>
      <c r="P55" s="228">
        <f ca="1">TblImps[[#This Row],[Population]]</f>
        <v>1</v>
      </c>
      <c r="Q55" s="178">
        <f ca="1">TblExplore[[#This Row],[Land]]</f>
        <v>669</v>
      </c>
      <c r="R55" s="178">
        <f>TblExplore[[#This Row],[Hour]]</f>
        <v>52</v>
      </c>
      <c r="S55" s="229"/>
      <c r="T55" s="182"/>
      <c r="U55" s="182"/>
      <c r="V55" s="182"/>
      <c r="W55" s="182"/>
      <c r="X55" s="182"/>
      <c r="Y55" s="182"/>
      <c r="Z55" s="182"/>
      <c r="AA55" s="162">
        <f ca="1">TblImps[[#This Row],[Real time]]</f>
        <v>45431.874999999876</v>
      </c>
      <c r="AB55" s="97">
        <f ca="1">TblMili[[#This Row],[Draftees]]</f>
        <v>813</v>
      </c>
      <c r="AC55" s="97">
        <f ca="1">TblProd[[#This Row],[Platinum]]</f>
        <v>389463</v>
      </c>
      <c r="AD55" s="226"/>
      <c r="AE55" s="45">
        <f ca="1">TblExplore[[#This Row],[Land]]-TblExplore[[#This Row],[Land Bonus]]*20</f>
        <v>669</v>
      </c>
      <c r="AF55" s="97">
        <f ca="1">ROUND(MAX(0.6*TblExplore[[#This Row],[Land-DB]]^1.299,850)*(1+ tech_2_6*Techs!AC55 + tech_2_9*Techs!AF55 + tech_3_7*Techs!AN55 + Overview!$I$32),0)</f>
        <v>2808</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116</v>
      </c>
    </row>
    <row r="56" spans="1:36" x14ac:dyDescent="0.2">
      <c r="A56" s="178">
        <f>TblRezone[[#This Row],[Hour]]</f>
        <v>53</v>
      </c>
      <c r="B56" s="225">
        <f ca="1">TblConstr[[#This Row],[Land]]</f>
        <v>680</v>
      </c>
      <c r="C56" s="226"/>
      <c r="D56" s="227">
        <f ca="1">TblConstr[[#This Row],[Plain]]</f>
        <v>0</v>
      </c>
      <c r="E56" s="185">
        <f ca="1">TblConstr[[#This Row],[Forest]]</f>
        <v>0</v>
      </c>
      <c r="F56" s="385">
        <f ca="1">TblConstr[[#This Row],[Mountain]]</f>
        <v>0</v>
      </c>
      <c r="G56" s="389">
        <f ca="1">TblConstr[[#This Row],[Hill]]</f>
        <v>0</v>
      </c>
      <c r="H56" s="393">
        <f ca="1">TblConstr[[#This Row],[Swamp]]</f>
        <v>0</v>
      </c>
      <c r="I56" s="188">
        <f ca="1">TblConstr[[#This Row],[Cavern]]</f>
        <v>0</v>
      </c>
      <c r="J56" s="189">
        <f ca="1">TblConstr[[#This Row],[Water]]</f>
        <v>0</v>
      </c>
      <c r="K56" s="221"/>
      <c r="L56" s="399">
        <v>5</v>
      </c>
      <c r="M56" s="400">
        <f>ROUNDDOWN(227.945*(L56+0.5 - 5)^0.934579 + 300,0)</f>
        <v>419</v>
      </c>
      <c r="N56" s="228">
        <f ca="1">TblMili[[#This Row],[Smithies]]</f>
        <v>6.9117647058823534E-2</v>
      </c>
      <c r="O56" s="228">
        <f ca="1">TblPop[[#This Row],[Employment]]</f>
        <v>1</v>
      </c>
      <c r="P56" s="228">
        <f ca="1">TblImps[[#This Row],[Population]]</f>
        <v>1</v>
      </c>
      <c r="Q56" s="178">
        <f ca="1">TblExplore[[#This Row],[Land]]</f>
        <v>680</v>
      </c>
      <c r="R56" s="178">
        <f>TblExplore[[#This Row],[Hour]]</f>
        <v>53</v>
      </c>
      <c r="S56" s="229"/>
      <c r="T56" s="182"/>
      <c r="U56" s="182"/>
      <c r="V56" s="182"/>
      <c r="W56" s="182"/>
      <c r="X56" s="182"/>
      <c r="Y56" s="182"/>
      <c r="Z56" s="182"/>
      <c r="AA56" s="162">
        <f ca="1">TblImps[[#This Row],[Real time]]</f>
        <v>45431.916666666541</v>
      </c>
      <c r="AB56" s="97">
        <f ca="1">TblMili[[#This Row],[Draftees]]</f>
        <v>911</v>
      </c>
      <c r="AC56" s="97">
        <f ca="1">TblProd[[#This Row],[Platinum]]</f>
        <v>429145</v>
      </c>
      <c r="AD56" s="226"/>
      <c r="AE56" s="45">
        <f ca="1">TblExplore[[#This Row],[Land]]-TblExplore[[#This Row],[Land Bonus]]*20</f>
        <v>680</v>
      </c>
      <c r="AF56" s="97">
        <f ca="1">ROUND(MAX(0.6*TblExplore[[#This Row],[Land-DB]]^1.299,850)*(1+ tech_2_6*Techs!AC56 + tech_2_9*Techs!AF56 + tech_3_7*Techs!AN56 + Overview!$I$32),0)</f>
        <v>2868</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130</v>
      </c>
    </row>
    <row r="57" spans="1:36" x14ac:dyDescent="0.2">
      <c r="A57" s="178">
        <f>TblRezone[[#This Row],[Hour]]</f>
        <v>54</v>
      </c>
      <c r="B57" s="225">
        <f ca="1">TblConstr[[#This Row],[Land]]</f>
        <v>692</v>
      </c>
      <c r="C57" s="226"/>
      <c r="D57" s="227">
        <f ca="1">TblConstr[[#This Row],[Plain]]</f>
        <v>0</v>
      </c>
      <c r="E57" s="185">
        <f ca="1">TblConstr[[#This Row],[Forest]]</f>
        <v>0</v>
      </c>
      <c r="F57" s="385">
        <f ca="1">TblConstr[[#This Row],[Mountain]]</f>
        <v>0</v>
      </c>
      <c r="G57" s="389">
        <f ca="1">TblConstr[[#This Row],[Hill]]</f>
        <v>0</v>
      </c>
      <c r="H57" s="393">
        <f ca="1">TblConstr[[#This Row],[Swamp]]</f>
        <v>0</v>
      </c>
      <c r="I57" s="188">
        <f ca="1">TblConstr[[#This Row],[Cavern]]</f>
        <v>0</v>
      </c>
      <c r="J57" s="189">
        <f ca="1">TblConstr[[#This Row],[Water]]</f>
        <v>0</v>
      </c>
      <c r="K57" s="221"/>
      <c r="L57" s="399">
        <v>6</v>
      </c>
      <c r="M57" s="400">
        <f t="shared" ref="M57:M69" si="0">ROUNDDOWN(227.945*(L57+0.5 - 5)^0.934579 + 300,0)</f>
        <v>632</v>
      </c>
      <c r="N57" s="228">
        <f ca="1">TblMili[[#This Row],[Smithies]]</f>
        <v>7.947976878612717E-2</v>
      </c>
      <c r="O57" s="228">
        <f ca="1">TblPop[[#This Row],[Employment]]</f>
        <v>1</v>
      </c>
      <c r="P57" s="228">
        <f ca="1">TblImps[[#This Row],[Population]]</f>
        <v>1</v>
      </c>
      <c r="Q57" s="178">
        <f ca="1">TblExplore[[#This Row],[Land]]</f>
        <v>692</v>
      </c>
      <c r="R57" s="178">
        <f>TblExplore[[#This Row],[Hour]]</f>
        <v>54</v>
      </c>
      <c r="S57" s="229"/>
      <c r="T57" s="182"/>
      <c r="U57" s="182"/>
      <c r="V57" s="182"/>
      <c r="W57" s="182"/>
      <c r="X57" s="182"/>
      <c r="Y57" s="182"/>
      <c r="Z57" s="182"/>
      <c r="AA57" s="162">
        <f ca="1">TblImps[[#This Row],[Real time]]</f>
        <v>45431.958333333205</v>
      </c>
      <c r="AB57" s="97">
        <f ca="1">TblMili[[#This Row],[Draftees]]</f>
        <v>1010</v>
      </c>
      <c r="AC57" s="97">
        <f ca="1">TblProd[[#This Row],[Platinum]]</f>
        <v>468410</v>
      </c>
      <c r="AD57" s="226"/>
      <c r="AE57" s="45">
        <f ca="1">TblExplore[[#This Row],[Land]]-TblExplore[[#This Row],[Land Bonus]]*20</f>
        <v>692</v>
      </c>
      <c r="AF57" s="97">
        <f ca="1">ROUND(MAX(0.6*TblExplore[[#This Row],[Land-DB]]^1.299,850)*(1+ tech_2_6*Techs!AC57 + tech_2_9*Techs!AF57 + tech_3_7*Techs!AN57 + Overview!$I$32),0)</f>
        <v>2934</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144</v>
      </c>
    </row>
    <row r="58" spans="1:36" x14ac:dyDescent="0.2">
      <c r="A58" s="178">
        <f>TblRezone[[#This Row],[Hour]]</f>
        <v>55</v>
      </c>
      <c r="B58" s="225">
        <f ca="1">TblConstr[[#This Row],[Land]]</f>
        <v>700</v>
      </c>
      <c r="C58" s="226"/>
      <c r="D58" s="227">
        <f ca="1">TblConstr[[#This Row],[Plain]]</f>
        <v>0</v>
      </c>
      <c r="E58" s="185">
        <f ca="1">TblConstr[[#This Row],[Forest]]</f>
        <v>0</v>
      </c>
      <c r="F58" s="385">
        <f ca="1">TblConstr[[#This Row],[Mountain]]</f>
        <v>0</v>
      </c>
      <c r="G58" s="389">
        <f ca="1">TblConstr[[#This Row],[Hill]]</f>
        <v>0</v>
      </c>
      <c r="H58" s="393">
        <f ca="1">TblConstr[[#This Row],[Swamp]]</f>
        <v>0</v>
      </c>
      <c r="I58" s="188">
        <f ca="1">TblConstr[[#This Row],[Cavern]]</f>
        <v>0</v>
      </c>
      <c r="J58" s="189">
        <f ca="1">TblConstr[[#This Row],[Water]]</f>
        <v>0</v>
      </c>
      <c r="K58" s="221"/>
      <c r="L58" s="399">
        <v>7</v>
      </c>
      <c r="M58" s="400">
        <f t="shared" si="0"/>
        <v>836</v>
      </c>
      <c r="N58" s="228">
        <f ca="1">TblMili[[#This Row],[Smithies]]</f>
        <v>9.1428571428571428E-2</v>
      </c>
      <c r="O58" s="228">
        <f ca="1">TblPop[[#This Row],[Employment]]</f>
        <v>1</v>
      </c>
      <c r="P58" s="228">
        <f ca="1">TblImps[[#This Row],[Population]]</f>
        <v>1</v>
      </c>
      <c r="Q58" s="178">
        <f ca="1">TblExplore[[#This Row],[Land]]</f>
        <v>700</v>
      </c>
      <c r="R58" s="178">
        <f>TblExplore[[#This Row],[Hour]]</f>
        <v>55</v>
      </c>
      <c r="S58" s="229"/>
      <c r="T58" s="182"/>
      <c r="U58" s="182"/>
      <c r="V58" s="182"/>
      <c r="W58" s="182"/>
      <c r="X58" s="182"/>
      <c r="Y58" s="182"/>
      <c r="Z58" s="182"/>
      <c r="AA58" s="162">
        <f ca="1">TblImps[[#This Row],[Real time]]</f>
        <v>45431.999999999869</v>
      </c>
      <c r="AB58" s="97">
        <f ca="1">TblMili[[#This Row],[Draftees]]</f>
        <v>1110</v>
      </c>
      <c r="AC58" s="97">
        <f ca="1">TblProd[[#This Row],[Platinum]]</f>
        <v>510224</v>
      </c>
      <c r="AD58" s="226"/>
      <c r="AE58" s="45">
        <f ca="1">TblExplore[[#This Row],[Land]]-TblExplore[[#This Row],[Land Bonus]]*20</f>
        <v>700</v>
      </c>
      <c r="AF58" s="97">
        <f ca="1">ROUND(MAX(0.6*TblExplore[[#This Row],[Land-DB]]^1.299,850)*(1+ tech_2_6*Techs!AC58 + tech_2_9*Techs!AF58 + tech_3_7*Techs!AN58 + Overview!$I$32),0)</f>
        <v>2978</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158</v>
      </c>
    </row>
    <row r="59" spans="1:36" x14ac:dyDescent="0.2">
      <c r="A59" s="178">
        <f>TblRezone[[#This Row],[Hour]]</f>
        <v>56</v>
      </c>
      <c r="B59" s="225">
        <f ca="1">TblConstr[[#This Row],[Land]]</f>
        <v>700</v>
      </c>
      <c r="C59" s="226"/>
      <c r="D59" s="227">
        <f ca="1">TblConstr[[#This Row],[Plain]]</f>
        <v>0</v>
      </c>
      <c r="E59" s="185">
        <f ca="1">TblConstr[[#This Row],[Forest]]</f>
        <v>0</v>
      </c>
      <c r="F59" s="385">
        <f ca="1">TblConstr[[#This Row],[Mountain]]</f>
        <v>0</v>
      </c>
      <c r="G59" s="389">
        <f ca="1">TblConstr[[#This Row],[Hill]]</f>
        <v>0</v>
      </c>
      <c r="H59" s="393">
        <f ca="1">TblConstr[[#This Row],[Swamp]]</f>
        <v>0</v>
      </c>
      <c r="I59" s="188">
        <f ca="1">TblConstr[[#This Row],[Cavern]]</f>
        <v>0</v>
      </c>
      <c r="J59" s="189">
        <f ca="1">TblConstr[[#This Row],[Water]]</f>
        <v>0</v>
      </c>
      <c r="K59" s="221"/>
      <c r="L59" s="399">
        <v>8</v>
      </c>
      <c r="M59" s="400">
        <f t="shared" si="0"/>
        <v>1035</v>
      </c>
      <c r="N59" s="228">
        <f ca="1">TblMili[[#This Row],[Smithies]]</f>
        <v>0.10428571428571429</v>
      </c>
      <c r="O59" s="228">
        <f ca="1">TblPop[[#This Row],[Employment]]</f>
        <v>1</v>
      </c>
      <c r="P59" s="228">
        <f ca="1">TblImps[[#This Row],[Population]]</f>
        <v>1</v>
      </c>
      <c r="Q59" s="178">
        <f ca="1">TblExplore[[#This Row],[Land]]</f>
        <v>700</v>
      </c>
      <c r="R59" s="178">
        <f>TblExplore[[#This Row],[Hour]]</f>
        <v>56</v>
      </c>
      <c r="S59" s="229"/>
      <c r="T59" s="182"/>
      <c r="U59" s="182"/>
      <c r="V59" s="182"/>
      <c r="W59" s="182"/>
      <c r="X59" s="182"/>
      <c r="Y59" s="182"/>
      <c r="Z59" s="182"/>
      <c r="AA59" s="162">
        <f ca="1">TblImps[[#This Row],[Real time]]</f>
        <v>45432.041666666533</v>
      </c>
      <c r="AB59" s="97">
        <f ca="1">TblMili[[#This Row],[Draftees]]</f>
        <v>1211</v>
      </c>
      <c r="AC59" s="97">
        <f ca="1">TblProd[[#This Row],[Platinum]]</f>
        <v>556484</v>
      </c>
      <c r="AD59" s="226"/>
      <c r="AE59" s="45">
        <f ca="1">TblExplore[[#This Row],[Land]]-TblExplore[[#This Row],[Land Bonus]]*20</f>
        <v>700</v>
      </c>
      <c r="AF59" s="97">
        <f ca="1">ROUND(MAX(0.6*TblExplore[[#This Row],[Land-DB]]^1.299,850)*(1+ tech_2_6*Techs!AC59 + tech_2_9*Techs!AF59 + tech_3_7*Techs!AN59 + Overview!$I$32),0)</f>
        <v>2978</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173</v>
      </c>
    </row>
    <row r="60" spans="1:36" x14ac:dyDescent="0.2">
      <c r="A60" s="178">
        <f>TblRezone[[#This Row],[Hour]]</f>
        <v>57</v>
      </c>
      <c r="B60" s="225">
        <f ca="1">TblConstr[[#This Row],[Land]]</f>
        <v>700</v>
      </c>
      <c r="C60" s="226"/>
      <c r="D60" s="227">
        <f ca="1">TblConstr[[#This Row],[Plain]]</f>
        <v>0</v>
      </c>
      <c r="E60" s="185">
        <f ca="1">TblConstr[[#This Row],[Forest]]</f>
        <v>0</v>
      </c>
      <c r="F60" s="385">
        <f ca="1">TblConstr[[#This Row],[Mountain]]</f>
        <v>0</v>
      </c>
      <c r="G60" s="389">
        <f ca="1">TblConstr[[#This Row],[Hill]]</f>
        <v>0</v>
      </c>
      <c r="H60" s="393">
        <f ca="1">TblConstr[[#This Row],[Swamp]]</f>
        <v>0</v>
      </c>
      <c r="I60" s="188">
        <f ca="1">TblConstr[[#This Row],[Cavern]]</f>
        <v>0</v>
      </c>
      <c r="J60" s="189">
        <f ca="1">TblConstr[[#This Row],[Water]]</f>
        <v>0</v>
      </c>
      <c r="K60" s="221"/>
      <c r="L60" s="399">
        <v>9</v>
      </c>
      <c r="M60" s="400">
        <f t="shared" si="0"/>
        <v>1229</v>
      </c>
      <c r="N60" s="228">
        <f ca="1">TblMili[[#This Row],[Smithies]]</f>
        <v>0.11714285714285715</v>
      </c>
      <c r="O60" s="228">
        <f ca="1">TblPop[[#This Row],[Employment]]</f>
        <v>1</v>
      </c>
      <c r="P60" s="228">
        <f ca="1">TblImps[[#This Row],[Population]]</f>
        <v>1</v>
      </c>
      <c r="Q60" s="178">
        <f ca="1">TblExplore[[#This Row],[Land]]</f>
        <v>700</v>
      </c>
      <c r="R60" s="178">
        <f>TblExplore[[#This Row],[Hour]]</f>
        <v>57</v>
      </c>
      <c r="S60" s="229"/>
      <c r="T60" s="182"/>
      <c r="U60" s="182"/>
      <c r="V60" s="182"/>
      <c r="W60" s="182"/>
      <c r="X60" s="182"/>
      <c r="Y60" s="182"/>
      <c r="Z60" s="182"/>
      <c r="AA60" s="162">
        <f ca="1">TblImps[[#This Row],[Real time]]</f>
        <v>45432.083333333198</v>
      </c>
      <c r="AB60" s="97">
        <f ca="1">TblMili[[#This Row],[Draftees]]</f>
        <v>1312</v>
      </c>
      <c r="AC60" s="97">
        <f ca="1">TblProd[[#This Row],[Platinum]]</f>
        <v>602753</v>
      </c>
      <c r="AD60" s="226"/>
      <c r="AE60" s="45">
        <f ca="1">TblExplore[[#This Row],[Land]]-TblExplore[[#This Row],[Land Bonus]]*20</f>
        <v>700</v>
      </c>
      <c r="AF60" s="97">
        <f ca="1">ROUND(MAX(0.6*TblExplore[[#This Row],[Land-DB]]^1.299,850)*(1+ tech_2_6*Techs!AC60 + tech_2_9*Techs!AF60 + tech_3_7*Techs!AN60 + Overview!$I$32),0)</f>
        <v>2978</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187</v>
      </c>
    </row>
    <row r="61" spans="1:36" x14ac:dyDescent="0.2">
      <c r="A61" s="178">
        <f>TblRezone[[#This Row],[Hour]]</f>
        <v>58</v>
      </c>
      <c r="B61" s="225">
        <f ca="1">TblConstr[[#This Row],[Land]]</f>
        <v>700</v>
      </c>
      <c r="C61" s="226"/>
      <c r="D61" s="227">
        <f ca="1">TblConstr[[#This Row],[Plain]]</f>
        <v>0</v>
      </c>
      <c r="E61" s="185">
        <f ca="1">TblConstr[[#This Row],[Forest]]</f>
        <v>0</v>
      </c>
      <c r="F61" s="385">
        <f ca="1">TblConstr[[#This Row],[Mountain]]</f>
        <v>0</v>
      </c>
      <c r="G61" s="389">
        <f ca="1">TblConstr[[#This Row],[Hill]]</f>
        <v>0</v>
      </c>
      <c r="H61" s="393">
        <f ca="1">TblConstr[[#This Row],[Swamp]]</f>
        <v>0</v>
      </c>
      <c r="I61" s="188">
        <f ca="1">TblConstr[[#This Row],[Cavern]]</f>
        <v>0</v>
      </c>
      <c r="J61" s="189">
        <f ca="1">TblConstr[[#This Row],[Water]]</f>
        <v>0</v>
      </c>
      <c r="K61" s="221"/>
      <c r="L61" s="399">
        <v>10</v>
      </c>
      <c r="M61" s="400">
        <f t="shared" si="0"/>
        <v>1421</v>
      </c>
      <c r="N61" s="228">
        <f ca="1">TblMili[[#This Row],[Smithies]]</f>
        <v>0.13142857142857142</v>
      </c>
      <c r="O61" s="228">
        <f ca="1">TblPop[[#This Row],[Employment]]</f>
        <v>1</v>
      </c>
      <c r="P61" s="228">
        <f ca="1">TblImps[[#This Row],[Population]]</f>
        <v>1</v>
      </c>
      <c r="Q61" s="178">
        <f ca="1">TblExplore[[#This Row],[Land]]</f>
        <v>700</v>
      </c>
      <c r="R61" s="178">
        <f>TblExplore[[#This Row],[Hour]]</f>
        <v>58</v>
      </c>
      <c r="S61" s="229"/>
      <c r="T61" s="182"/>
      <c r="U61" s="182"/>
      <c r="V61" s="182"/>
      <c r="W61" s="182"/>
      <c r="X61" s="182"/>
      <c r="Y61" s="182"/>
      <c r="Z61" s="182"/>
      <c r="AA61" s="162">
        <f ca="1">TblImps[[#This Row],[Real time]]</f>
        <v>45432.124999999862</v>
      </c>
      <c r="AB61" s="97">
        <f ca="1">TblMili[[#This Row],[Draftees]]</f>
        <v>1412</v>
      </c>
      <c r="AC61" s="97">
        <f ca="1">TblProd[[#This Row],[Platinum]]</f>
        <v>648776</v>
      </c>
      <c r="AD61" s="226"/>
      <c r="AE61" s="45">
        <f ca="1">TblExplore[[#This Row],[Land]]-TblExplore[[#This Row],[Land Bonus]]*20</f>
        <v>700</v>
      </c>
      <c r="AF61" s="97">
        <f ca="1">ROUND(MAX(0.6*TblExplore[[#This Row],[Land-DB]]^1.299,850)*(1+ tech_2_6*Techs!AC61 + tech_2_9*Techs!AF61 + tech_3_7*Techs!AN61 + Overview!$I$32),0)</f>
        <v>2978</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201</v>
      </c>
    </row>
    <row r="62" spans="1:36" x14ac:dyDescent="0.2">
      <c r="A62" s="178">
        <f>TblRezone[[#This Row],[Hour]]</f>
        <v>59</v>
      </c>
      <c r="B62" s="225">
        <f ca="1">TblConstr[[#This Row],[Land]]</f>
        <v>700</v>
      </c>
      <c r="C62" s="226"/>
      <c r="D62" s="227">
        <f ca="1">TblConstr[[#This Row],[Plain]]</f>
        <v>0</v>
      </c>
      <c r="E62" s="185">
        <f ca="1">TblConstr[[#This Row],[Forest]]</f>
        <v>0</v>
      </c>
      <c r="F62" s="385">
        <f ca="1">TblConstr[[#This Row],[Mountain]]</f>
        <v>0</v>
      </c>
      <c r="G62" s="389">
        <f ca="1">TblConstr[[#This Row],[Hill]]</f>
        <v>0</v>
      </c>
      <c r="H62" s="393">
        <f ca="1">TblConstr[[#This Row],[Swamp]]</f>
        <v>0</v>
      </c>
      <c r="I62" s="188">
        <f ca="1">TblConstr[[#This Row],[Cavern]]</f>
        <v>0</v>
      </c>
      <c r="J62" s="189">
        <f ca="1">TblConstr[[#This Row],[Water]]</f>
        <v>0</v>
      </c>
      <c r="K62" s="221"/>
      <c r="L62" s="399">
        <v>11</v>
      </c>
      <c r="M62" s="400">
        <f t="shared" si="0"/>
        <v>1610</v>
      </c>
      <c r="N62" s="228">
        <f ca="1">TblMili[[#This Row],[Smithies]]</f>
        <v>0.14571428571428571</v>
      </c>
      <c r="O62" s="228">
        <f ca="1">TblPop[[#This Row],[Employment]]</f>
        <v>1</v>
      </c>
      <c r="P62" s="228">
        <f ca="1">TblImps[[#This Row],[Population]]</f>
        <v>1</v>
      </c>
      <c r="Q62" s="178">
        <f ca="1">TblExplore[[#This Row],[Land]]</f>
        <v>700</v>
      </c>
      <c r="R62" s="178">
        <f>TblExplore[[#This Row],[Hour]]</f>
        <v>59</v>
      </c>
      <c r="S62" s="229"/>
      <c r="T62" s="182"/>
      <c r="U62" s="182"/>
      <c r="V62" s="182"/>
      <c r="W62" s="182"/>
      <c r="X62" s="182"/>
      <c r="Y62" s="182"/>
      <c r="Z62" s="182"/>
      <c r="AA62" s="162">
        <f ca="1">TblImps[[#This Row],[Real time]]</f>
        <v>45432.166666666526</v>
      </c>
      <c r="AB62" s="97">
        <f ca="1">TblMili[[#This Row],[Draftees]]</f>
        <v>1511</v>
      </c>
      <c r="AC62" s="97">
        <f ca="1">TblProd[[#This Row],[Platinum]]</f>
        <v>694619</v>
      </c>
      <c r="AD62" s="226"/>
      <c r="AE62" s="45">
        <f ca="1">TblExplore[[#This Row],[Land]]-TblExplore[[#This Row],[Land Bonus]]*20</f>
        <v>700</v>
      </c>
      <c r="AF62" s="97">
        <f ca="1">ROUND(MAX(0.6*TblExplore[[#This Row],[Land-DB]]^1.299,850)*(1+ tech_2_6*Techs!AC62 + tech_2_9*Techs!AF62 + tech_3_7*Techs!AN62 + Overview!$I$32),0)</f>
        <v>2978</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215</v>
      </c>
    </row>
    <row r="63" spans="1:36" x14ac:dyDescent="0.2">
      <c r="A63" s="178">
        <f>TblRezone[[#This Row],[Hour]]</f>
        <v>60</v>
      </c>
      <c r="B63" s="225">
        <f ca="1">TblConstr[[#This Row],[Land]]</f>
        <v>700</v>
      </c>
      <c r="C63" s="226"/>
      <c r="D63" s="227">
        <f ca="1">TblConstr[[#This Row],[Plain]]</f>
        <v>0</v>
      </c>
      <c r="E63" s="185">
        <f ca="1">TblConstr[[#This Row],[Forest]]</f>
        <v>0</v>
      </c>
      <c r="F63" s="385">
        <f ca="1">TblConstr[[#This Row],[Mountain]]</f>
        <v>0</v>
      </c>
      <c r="G63" s="389">
        <f ca="1">TblConstr[[#This Row],[Hill]]</f>
        <v>0</v>
      </c>
      <c r="H63" s="393">
        <f ca="1">TblConstr[[#This Row],[Swamp]]</f>
        <v>0</v>
      </c>
      <c r="I63" s="188">
        <f ca="1">TblConstr[[#This Row],[Cavern]]</f>
        <v>0</v>
      </c>
      <c r="J63" s="189">
        <f ca="1">TblConstr[[#This Row],[Water]]</f>
        <v>0</v>
      </c>
      <c r="K63" s="221"/>
      <c r="L63" s="399">
        <v>12</v>
      </c>
      <c r="M63" s="400">
        <f t="shared" si="0"/>
        <v>1798</v>
      </c>
      <c r="N63" s="228">
        <f ca="1">TblMili[[#This Row],[Smithies]]</f>
        <v>0.16285714285714287</v>
      </c>
      <c r="O63" s="228">
        <f ca="1">TblPop[[#This Row],[Employment]]</f>
        <v>1</v>
      </c>
      <c r="P63" s="228">
        <f ca="1">TblImps[[#This Row],[Population]]</f>
        <v>1</v>
      </c>
      <c r="Q63" s="178">
        <f ca="1">TblExplore[[#This Row],[Land]]</f>
        <v>700</v>
      </c>
      <c r="R63" s="178">
        <f>TblExplore[[#This Row],[Hour]]</f>
        <v>60</v>
      </c>
      <c r="S63" s="229"/>
      <c r="T63" s="182"/>
      <c r="U63" s="182"/>
      <c r="V63" s="182"/>
      <c r="W63" s="182"/>
      <c r="X63" s="182"/>
      <c r="Y63" s="182"/>
      <c r="Z63" s="182"/>
      <c r="AA63" s="162">
        <f ca="1">TblImps[[#This Row],[Real time]]</f>
        <v>45432.20833333319</v>
      </c>
      <c r="AB63" s="97">
        <f ca="1">TblMili[[#This Row],[Draftees]]</f>
        <v>1609</v>
      </c>
      <c r="AC63" s="97">
        <f ca="1">TblProd[[#This Row],[Platinum]]</f>
        <v>740222</v>
      </c>
      <c r="AD63" s="226"/>
      <c r="AE63" s="45">
        <f ca="1">TblExplore[[#This Row],[Land]]-TblExplore[[#This Row],[Land Bonus]]*20</f>
        <v>700</v>
      </c>
      <c r="AF63" s="97">
        <f ca="1">ROUND(MAX(0.6*TblExplore[[#This Row],[Land-DB]]^1.299,850)*(1+ tech_2_6*Techs!AC63 + tech_2_9*Techs!AF63 + tech_3_7*Techs!AN63 + Overview!$I$32),0)</f>
        <v>2978</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229</v>
      </c>
    </row>
    <row r="64" spans="1:36" x14ac:dyDescent="0.2">
      <c r="A64" s="178">
        <f>TblRezone[[#This Row],[Hour]]</f>
        <v>61</v>
      </c>
      <c r="B64" s="225">
        <f ca="1">TblConstr[[#This Row],[Land]]</f>
        <v>700</v>
      </c>
      <c r="C64" s="226"/>
      <c r="D64" s="227">
        <f ca="1">TblConstr[[#This Row],[Plain]]</f>
        <v>0</v>
      </c>
      <c r="E64" s="185">
        <f ca="1">TblConstr[[#This Row],[Forest]]</f>
        <v>0</v>
      </c>
      <c r="F64" s="385">
        <f ca="1">TblConstr[[#This Row],[Mountain]]</f>
        <v>0</v>
      </c>
      <c r="G64" s="389">
        <f ca="1">TblConstr[[#This Row],[Hill]]</f>
        <v>0</v>
      </c>
      <c r="H64" s="393">
        <f ca="1">TblConstr[[#This Row],[Swamp]]</f>
        <v>0</v>
      </c>
      <c r="I64" s="188">
        <f ca="1">TblConstr[[#This Row],[Cavern]]</f>
        <v>0</v>
      </c>
      <c r="J64" s="189">
        <f ca="1">TblConstr[[#This Row],[Water]]</f>
        <v>0</v>
      </c>
      <c r="K64" s="221"/>
      <c r="L64" s="399">
        <v>13</v>
      </c>
      <c r="M64" s="400">
        <f t="shared" si="0"/>
        <v>1984</v>
      </c>
      <c r="N64" s="228">
        <f ca="1">TblMili[[#This Row],[Smithies]]</f>
        <v>0.18</v>
      </c>
      <c r="O64" s="228">
        <f ca="1">TblPop[[#This Row],[Employment]]</f>
        <v>1</v>
      </c>
      <c r="P64" s="228">
        <f ca="1">TblImps[[#This Row],[Population]]</f>
        <v>1</v>
      </c>
      <c r="Q64" s="178">
        <f ca="1">TblExplore[[#This Row],[Land]]</f>
        <v>700</v>
      </c>
      <c r="R64" s="178">
        <f>TblExplore[[#This Row],[Hour]]</f>
        <v>61</v>
      </c>
      <c r="S64" s="229"/>
      <c r="T64" s="182"/>
      <c r="U64" s="182"/>
      <c r="V64" s="182"/>
      <c r="W64" s="182"/>
      <c r="X64" s="182"/>
      <c r="Y64" s="182"/>
      <c r="Z64" s="182"/>
      <c r="AA64" s="162">
        <f ca="1">TblImps[[#This Row],[Real time]]</f>
        <v>45432.249999999854</v>
      </c>
      <c r="AB64" s="97">
        <f ca="1">TblMili[[#This Row],[Draftees]]</f>
        <v>396</v>
      </c>
      <c r="AC64" s="97">
        <f ca="1">TblProd[[#This Row],[Platinum]]</f>
        <v>12986</v>
      </c>
      <c r="AD64" s="226"/>
      <c r="AE64" s="45">
        <f ca="1">TblExplore[[#This Row],[Land]]-TblExplore[[#This Row],[Land Bonus]]*20</f>
        <v>700</v>
      </c>
      <c r="AF64" s="97">
        <f ca="1">ROUND(MAX(0.6*TblExplore[[#This Row],[Land-DB]]^1.299,850)*(1+ tech_2_6*Techs!AC64 + tech_2_9*Techs!AF64 + tech_3_7*Techs!AN64 + Overview!$I$32),0)</f>
        <v>2978</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4</v>
      </c>
    </row>
    <row r="65" spans="1:37" x14ac:dyDescent="0.2">
      <c r="A65" s="178">
        <f>TblRezone[[#This Row],[Hour]]</f>
        <v>62</v>
      </c>
      <c r="B65" s="225">
        <f ca="1">TblConstr[[#This Row],[Land]]</f>
        <v>700</v>
      </c>
      <c r="C65" s="226"/>
      <c r="D65" s="227">
        <f ca="1">TblConstr[[#This Row],[Plain]]</f>
        <v>0</v>
      </c>
      <c r="E65" s="185">
        <f ca="1">TblConstr[[#This Row],[Forest]]</f>
        <v>0</v>
      </c>
      <c r="F65" s="385">
        <f ca="1">TblConstr[[#This Row],[Mountain]]</f>
        <v>0</v>
      </c>
      <c r="G65" s="389">
        <f ca="1">TblConstr[[#This Row],[Hill]]</f>
        <v>0</v>
      </c>
      <c r="H65" s="393">
        <f ca="1">TblConstr[[#This Row],[Swamp]]</f>
        <v>0</v>
      </c>
      <c r="I65" s="188">
        <f ca="1">TblConstr[[#This Row],[Cavern]]</f>
        <v>0</v>
      </c>
      <c r="J65" s="189">
        <f ca="1">TblConstr[[#This Row],[Water]]</f>
        <v>0</v>
      </c>
      <c r="K65" s="221"/>
      <c r="L65" s="399">
        <v>14</v>
      </c>
      <c r="M65" s="400">
        <f t="shared" si="0"/>
        <v>2168</v>
      </c>
      <c r="N65" s="228">
        <f ca="1">TblMili[[#This Row],[Smithies]]</f>
        <v>0.18</v>
      </c>
      <c r="O65" s="228">
        <f ca="1">TblPop[[#This Row],[Employment]]</f>
        <v>1</v>
      </c>
      <c r="P65" s="228">
        <f ca="1">TblImps[[#This Row],[Population]]</f>
        <v>1</v>
      </c>
      <c r="Q65" s="178">
        <f ca="1">TblExplore[[#This Row],[Land]]</f>
        <v>700</v>
      </c>
      <c r="R65" s="178">
        <f>TblExplore[[#This Row],[Hour]]</f>
        <v>62</v>
      </c>
      <c r="S65" s="229"/>
      <c r="T65" s="182"/>
      <c r="U65" s="182"/>
      <c r="V65" s="182"/>
      <c r="W65" s="182"/>
      <c r="X65" s="182"/>
      <c r="Y65" s="182"/>
      <c r="Z65" s="182"/>
      <c r="AA65" s="162">
        <f ca="1">TblImps[[#This Row],[Real time]]</f>
        <v>45432.291666666519</v>
      </c>
      <c r="AB65" s="97">
        <f ca="1">TblMili[[#This Row],[Draftees]]</f>
        <v>498</v>
      </c>
      <c r="AC65" s="97">
        <f ca="1">TblProd[[#This Row],[Platinum]]</f>
        <v>55184</v>
      </c>
      <c r="AD65" s="226"/>
      <c r="AE65" s="45">
        <f ca="1">TblExplore[[#This Row],[Land]]-TblExplore[[#This Row],[Land Bonus]]*20</f>
        <v>700</v>
      </c>
      <c r="AF65" s="97">
        <f ca="1">ROUND(MAX(0.6*TblExplore[[#This Row],[Land-DB]]^1.299,850)*(1+ tech_2_6*Techs!AC65 + tech_2_9*Techs!AF65 + tech_3_7*Techs!AN65 + Overview!$I$32),0)</f>
        <v>2978</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18</v>
      </c>
    </row>
    <row r="66" spans="1:37" x14ac:dyDescent="0.2">
      <c r="A66" s="178">
        <f>TblRezone[[#This Row],[Hour]]</f>
        <v>63</v>
      </c>
      <c r="B66" s="225">
        <f ca="1">TblConstr[[#This Row],[Land]]</f>
        <v>700</v>
      </c>
      <c r="C66" s="226"/>
      <c r="D66" s="227">
        <f ca="1">TblConstr[[#This Row],[Plain]]</f>
        <v>0</v>
      </c>
      <c r="E66" s="185">
        <f ca="1">TblConstr[[#This Row],[Forest]]</f>
        <v>0</v>
      </c>
      <c r="F66" s="385">
        <f ca="1">TblConstr[[#This Row],[Mountain]]</f>
        <v>0</v>
      </c>
      <c r="G66" s="389">
        <f ca="1">TblConstr[[#This Row],[Hill]]</f>
        <v>0</v>
      </c>
      <c r="H66" s="393">
        <f ca="1">TblConstr[[#This Row],[Swamp]]</f>
        <v>0</v>
      </c>
      <c r="I66" s="188">
        <f ca="1">TblConstr[[#This Row],[Cavern]]</f>
        <v>0</v>
      </c>
      <c r="J66" s="189">
        <f ca="1">TblConstr[[#This Row],[Water]]</f>
        <v>0</v>
      </c>
      <c r="K66" s="221"/>
      <c r="L66" s="399">
        <v>15</v>
      </c>
      <c r="M66" s="400">
        <f t="shared" si="0"/>
        <v>2352</v>
      </c>
      <c r="N66" s="228">
        <f ca="1">TblMili[[#This Row],[Smithies]]</f>
        <v>0.18</v>
      </c>
      <c r="O66" s="228">
        <f ca="1">TblPop[[#This Row],[Employment]]</f>
        <v>1</v>
      </c>
      <c r="P66" s="228">
        <f ca="1">TblImps[[#This Row],[Population]]</f>
        <v>1</v>
      </c>
      <c r="Q66" s="178">
        <f ca="1">TblExplore[[#This Row],[Land]]</f>
        <v>700</v>
      </c>
      <c r="R66" s="178">
        <f>TblExplore[[#This Row],[Hour]]</f>
        <v>63</v>
      </c>
      <c r="S66" s="229"/>
      <c r="T66" s="182"/>
      <c r="U66" s="182"/>
      <c r="V66" s="182"/>
      <c r="W66" s="182"/>
      <c r="X66" s="182"/>
      <c r="Y66" s="182"/>
      <c r="Z66" s="182"/>
      <c r="AA66" s="162">
        <f ca="1">TblImps[[#This Row],[Real time]]</f>
        <v>45432.333333333183</v>
      </c>
      <c r="AB66" s="97">
        <f ca="1">TblMili[[#This Row],[Draftees]]</f>
        <v>599</v>
      </c>
      <c r="AC66" s="97">
        <f ca="1">TblProd[[#This Row],[Platinum]]</f>
        <v>96824</v>
      </c>
      <c r="AD66" s="226"/>
      <c r="AE66" s="45">
        <f ca="1">TblExplore[[#This Row],[Land]]-TblExplore[[#This Row],[Land Bonus]]*20</f>
        <v>700</v>
      </c>
      <c r="AF66" s="97">
        <f ca="1">ROUND(MAX(0.6*TblExplore[[#This Row],[Land-DB]]^1.299,850)*(1+ tech_2_6*Techs!AC66 + tech_2_9*Techs!AF66 + tech_3_7*Techs!AN66 + Overview!$I$32),0)</f>
        <v>2978</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32</v>
      </c>
    </row>
    <row r="67" spans="1:37" x14ac:dyDescent="0.2">
      <c r="A67" s="178">
        <f>TblRezone[[#This Row],[Hour]]</f>
        <v>64</v>
      </c>
      <c r="B67" s="225">
        <f ca="1">TblConstr[[#This Row],[Land]]</f>
        <v>700</v>
      </c>
      <c r="C67" s="226"/>
      <c r="D67" s="227">
        <f ca="1">TblConstr[[#This Row],[Plain]]</f>
        <v>0</v>
      </c>
      <c r="E67" s="185">
        <f ca="1">TblConstr[[#This Row],[Forest]]</f>
        <v>0</v>
      </c>
      <c r="F67" s="385">
        <f ca="1">TblConstr[[#This Row],[Mountain]]</f>
        <v>0</v>
      </c>
      <c r="G67" s="389">
        <f ca="1">TblConstr[[#This Row],[Hill]]</f>
        <v>0</v>
      </c>
      <c r="H67" s="393">
        <f ca="1">TblConstr[[#This Row],[Swamp]]</f>
        <v>0</v>
      </c>
      <c r="I67" s="188">
        <f ca="1">TblConstr[[#This Row],[Cavern]]</f>
        <v>0</v>
      </c>
      <c r="J67" s="189">
        <f ca="1">TblConstr[[#This Row],[Water]]</f>
        <v>0</v>
      </c>
      <c r="K67" s="221"/>
      <c r="L67" s="399">
        <v>16</v>
      </c>
      <c r="M67" s="400">
        <f t="shared" si="0"/>
        <v>2534</v>
      </c>
      <c r="N67" s="228">
        <f ca="1">TblMili[[#This Row],[Smithies]]</f>
        <v>0.18</v>
      </c>
      <c r="O67" s="228">
        <f ca="1">TblPop[[#This Row],[Employment]]</f>
        <v>1</v>
      </c>
      <c r="P67" s="228">
        <f ca="1">TblImps[[#This Row],[Population]]</f>
        <v>1</v>
      </c>
      <c r="Q67" s="178">
        <f ca="1">TblExplore[[#This Row],[Land]]</f>
        <v>700</v>
      </c>
      <c r="R67" s="178">
        <f>TblExplore[[#This Row],[Hour]]</f>
        <v>64</v>
      </c>
      <c r="S67" s="229"/>
      <c r="T67" s="182"/>
      <c r="U67" s="182"/>
      <c r="V67" s="182"/>
      <c r="W67" s="182"/>
      <c r="X67" s="182"/>
      <c r="Y67" s="182"/>
      <c r="Z67" s="182"/>
      <c r="AA67" s="162">
        <f ca="1">TblImps[[#This Row],[Real time]]</f>
        <v>45432.374999999847</v>
      </c>
      <c r="AB67" s="97">
        <f ca="1">TblMili[[#This Row],[Draftees]]</f>
        <v>0</v>
      </c>
      <c r="AC67" s="97">
        <f ca="1">TblProd[[#This Row],[Platinum]]</f>
        <v>7459</v>
      </c>
      <c r="AD67" s="226"/>
      <c r="AE67" s="45">
        <f ca="1">TblExplore[[#This Row],[Land]]-TblExplore[[#This Row],[Land Bonus]]*20</f>
        <v>700</v>
      </c>
      <c r="AF67" s="97">
        <f ca="1">ROUND(MAX(0.6*TblExplore[[#This Row],[Land-DB]]^1.299,850)*(1+ tech_2_6*Techs!AC67 + tech_2_9*Techs!AF67 + tech_3_7*Techs!AN67 + Overview!$I$32),0)</f>
        <v>2978</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0</v>
      </c>
    </row>
    <row r="68" spans="1:37" x14ac:dyDescent="0.2">
      <c r="A68" s="178">
        <f>TblRezone[[#This Row],[Hour]]</f>
        <v>65</v>
      </c>
      <c r="B68" s="225">
        <f ca="1">TblConstr[[#This Row],[Land]]</f>
        <v>700</v>
      </c>
      <c r="C68" s="226"/>
      <c r="D68" s="227">
        <f ca="1">TblConstr[[#This Row],[Plain]]</f>
        <v>0</v>
      </c>
      <c r="E68" s="185">
        <f ca="1">TblConstr[[#This Row],[Forest]]</f>
        <v>0</v>
      </c>
      <c r="F68" s="385">
        <f ca="1">TblConstr[[#This Row],[Mountain]]</f>
        <v>0</v>
      </c>
      <c r="G68" s="389">
        <f ca="1">TblConstr[[#This Row],[Hill]]</f>
        <v>0</v>
      </c>
      <c r="H68" s="393">
        <f ca="1">TblConstr[[#This Row],[Swamp]]</f>
        <v>0</v>
      </c>
      <c r="I68" s="188">
        <f ca="1">TblConstr[[#This Row],[Cavern]]</f>
        <v>0</v>
      </c>
      <c r="J68" s="189">
        <f ca="1">TblConstr[[#This Row],[Water]]</f>
        <v>0</v>
      </c>
      <c r="K68" s="221"/>
      <c r="L68" s="399">
        <v>17</v>
      </c>
      <c r="M68" s="400">
        <f t="shared" si="0"/>
        <v>2715</v>
      </c>
      <c r="N68" s="228">
        <f ca="1">TblMili[[#This Row],[Smithies]]</f>
        <v>0.18</v>
      </c>
      <c r="O68" s="228">
        <f ca="1">TblPop[[#This Row],[Employment]]</f>
        <v>1</v>
      </c>
      <c r="P68" s="228">
        <f ca="1">TblImps[[#This Row],[Population]]</f>
        <v>1</v>
      </c>
      <c r="Q68" s="178">
        <f ca="1">TblExplore[[#This Row],[Land]]</f>
        <v>700</v>
      </c>
      <c r="R68" s="178">
        <f>TblExplore[[#This Row],[Hour]]</f>
        <v>65</v>
      </c>
      <c r="S68" s="229"/>
      <c r="T68" s="182"/>
      <c r="U68" s="182"/>
      <c r="V68" s="182"/>
      <c r="W68" s="182"/>
      <c r="X68" s="182"/>
      <c r="Y68" s="182"/>
      <c r="Z68" s="182"/>
      <c r="AA68" s="162">
        <f ca="1">TblImps[[#This Row],[Real time]]</f>
        <v>45432.416666666511</v>
      </c>
      <c r="AB68" s="97">
        <f ca="1">TblMili[[#This Row],[Draftees]]</f>
        <v>3</v>
      </c>
      <c r="AC68" s="97">
        <f ca="1">TblProd[[#This Row],[Platinum]]</f>
        <v>36150</v>
      </c>
      <c r="AD68" s="226"/>
      <c r="AE68" s="45">
        <f ca="1">TblExplore[[#This Row],[Land]]-TblExplore[[#This Row],[Land Bonus]]*20</f>
        <v>700</v>
      </c>
      <c r="AF68" s="97">
        <f ca="1">ROUND(MAX(0.6*TblExplore[[#This Row],[Land-DB]]^1.299,850)*(1+ tech_2_6*Techs!AC68 + tech_2_9*Techs!AF68 + tech_3_7*Techs!AN68 + Overview!$I$32),0)</f>
        <v>2978</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0</v>
      </c>
    </row>
    <row r="69" spans="1:37" x14ac:dyDescent="0.2">
      <c r="A69" s="178">
        <f>TblRezone[[#This Row],[Hour]]</f>
        <v>66</v>
      </c>
      <c r="B69" s="225">
        <f ca="1">TblConstr[[#This Row],[Land]]</f>
        <v>700</v>
      </c>
      <c r="C69" s="226"/>
      <c r="D69" s="227">
        <f ca="1">TblConstr[[#This Row],[Plain]]</f>
        <v>0</v>
      </c>
      <c r="E69" s="185">
        <f ca="1">TblConstr[[#This Row],[Forest]]</f>
        <v>0</v>
      </c>
      <c r="F69" s="385">
        <f ca="1">TblConstr[[#This Row],[Mountain]]</f>
        <v>0</v>
      </c>
      <c r="G69" s="389">
        <f ca="1">TblConstr[[#This Row],[Hill]]</f>
        <v>0</v>
      </c>
      <c r="H69" s="393">
        <f ca="1">TblConstr[[#This Row],[Swamp]]</f>
        <v>0</v>
      </c>
      <c r="I69" s="188">
        <f ca="1">TblConstr[[#This Row],[Cavern]]</f>
        <v>0</v>
      </c>
      <c r="J69" s="189">
        <f ca="1">TblConstr[[#This Row],[Water]]</f>
        <v>0</v>
      </c>
      <c r="K69" s="221"/>
      <c r="L69" s="401">
        <v>18</v>
      </c>
      <c r="M69" s="402">
        <f t="shared" si="0"/>
        <v>2895</v>
      </c>
      <c r="N69" s="228">
        <f ca="1">TblMili[[#This Row],[Smithies]]</f>
        <v>0.18</v>
      </c>
      <c r="O69" s="228">
        <f ca="1">TblPop[[#This Row],[Employment]]</f>
        <v>1</v>
      </c>
      <c r="P69" s="228">
        <f ca="1">TblImps[[#This Row],[Population]]</f>
        <v>1</v>
      </c>
      <c r="Q69" s="178">
        <f ca="1">TblExplore[[#This Row],[Land]]</f>
        <v>700</v>
      </c>
      <c r="R69" s="178">
        <f>TblExplore[[#This Row],[Hour]]</f>
        <v>66</v>
      </c>
      <c r="S69" s="229"/>
      <c r="T69" s="182"/>
      <c r="U69" s="182"/>
      <c r="V69" s="182"/>
      <c r="W69" s="182"/>
      <c r="X69" s="182"/>
      <c r="Y69" s="182"/>
      <c r="Z69" s="182"/>
      <c r="AA69" s="162">
        <f ca="1">TblImps[[#This Row],[Real time]]</f>
        <v>45432.458333333176</v>
      </c>
      <c r="AB69" s="97">
        <f ca="1">TblMili[[#This Row],[Draftees]]</f>
        <v>6</v>
      </c>
      <c r="AC69" s="97">
        <f ca="1">TblProd[[#This Row],[Platinum]]</f>
        <v>64993</v>
      </c>
      <c r="AD69" s="226"/>
      <c r="AE69" s="45">
        <f ca="1">TblExplore[[#This Row],[Land]]-TblExplore[[#This Row],[Land Bonus]]*20</f>
        <v>700</v>
      </c>
      <c r="AF69" s="97">
        <f ca="1">ROUND(MAX(0.6*TblExplore[[#This Row],[Land-DB]]^1.299,850)*(1+ tech_2_6*Techs!AC69 + tech_2_9*Techs!AF69 + tech_3_7*Techs!AN69 + Overview!$I$32),0)</f>
        <v>2978</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0</v>
      </c>
    </row>
    <row r="70" spans="1:37" x14ac:dyDescent="0.2">
      <c r="A70" s="178">
        <f>TblRezone[[#This Row],[Hour]]</f>
        <v>67</v>
      </c>
      <c r="B70" s="225">
        <f ca="1">TblConstr[[#This Row],[Land]]</f>
        <v>700</v>
      </c>
      <c r="C70" s="226"/>
      <c r="D70" s="227">
        <f ca="1">TblConstr[[#This Row],[Plain]]</f>
        <v>0</v>
      </c>
      <c r="E70" s="185">
        <f ca="1">TblConstr[[#This Row],[Forest]]</f>
        <v>0</v>
      </c>
      <c r="F70" s="385">
        <f ca="1">TblConstr[[#This Row],[Mountain]]</f>
        <v>0</v>
      </c>
      <c r="G70" s="389">
        <f ca="1">TblConstr[[#This Row],[Hill]]</f>
        <v>0</v>
      </c>
      <c r="H70" s="393">
        <f ca="1">TblConstr[[#This Row],[Swamp]]</f>
        <v>0</v>
      </c>
      <c r="I70" s="188">
        <f ca="1">TblConstr[[#This Row],[Cavern]]</f>
        <v>0</v>
      </c>
      <c r="J70" s="189">
        <f ca="1">TblConstr[[#This Row],[Water]]</f>
        <v>0</v>
      </c>
      <c r="K70" s="221"/>
      <c r="L70" s="221"/>
      <c r="M70" s="221"/>
      <c r="N70" s="228">
        <f ca="1">TblMili[[#This Row],[Smithies]]</f>
        <v>0.18</v>
      </c>
      <c r="O70" s="228">
        <f ca="1">TblPop[[#This Row],[Employment]]</f>
        <v>1</v>
      </c>
      <c r="P70" s="228">
        <f ca="1">TblImps[[#This Row],[Population]]</f>
        <v>1</v>
      </c>
      <c r="Q70" s="178">
        <f ca="1">TblExplore[[#This Row],[Land]]</f>
        <v>700</v>
      </c>
      <c r="R70" s="178">
        <f>TblExplore[[#This Row],[Hour]]</f>
        <v>67</v>
      </c>
      <c r="S70" s="229"/>
      <c r="T70" s="182"/>
      <c r="U70" s="182"/>
      <c r="V70" s="182"/>
      <c r="W70" s="182"/>
      <c r="X70" s="182"/>
      <c r="Y70" s="182"/>
      <c r="Z70" s="182"/>
      <c r="AA70" s="162">
        <f ca="1">TblImps[[#This Row],[Real time]]</f>
        <v>45432.49999999984</v>
      </c>
      <c r="AB70" s="97">
        <f ca="1">TblMili[[#This Row],[Draftees]]</f>
        <v>0</v>
      </c>
      <c r="AC70" s="97">
        <f ca="1">TblProd[[#This Row],[Platinum]]</f>
        <v>68189</v>
      </c>
      <c r="AD70" s="226"/>
      <c r="AE70" s="45">
        <f ca="1">TblExplore[[#This Row],[Land]]-TblExplore[[#This Row],[Land Bonus]]*20</f>
        <v>700</v>
      </c>
      <c r="AF70" s="97">
        <f ca="1">ROUND(MAX(0.6*TblExplore[[#This Row],[Land-DB]]^1.299,850)*(1+ tech_2_6*Techs!AC70 + tech_2_9*Techs!AF70 + tech_3_7*Techs!AN70 + Overview!$I$32),0)</f>
        <v>2978</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0</v>
      </c>
    </row>
    <row r="71" spans="1:37" x14ac:dyDescent="0.2">
      <c r="A71" s="178">
        <f>TblRezone[[#This Row],[Hour]]</f>
        <v>68</v>
      </c>
      <c r="B71" s="225">
        <f ca="1">TblConstr[[#This Row],[Land]]</f>
        <v>700</v>
      </c>
      <c r="C71" s="226"/>
      <c r="D71" s="227">
        <f ca="1">TblConstr[[#This Row],[Plain]]</f>
        <v>0</v>
      </c>
      <c r="E71" s="185">
        <f ca="1">TblConstr[[#This Row],[Forest]]</f>
        <v>0</v>
      </c>
      <c r="F71" s="385">
        <f ca="1">TblConstr[[#This Row],[Mountain]]</f>
        <v>0</v>
      </c>
      <c r="G71" s="389">
        <f ca="1">TblConstr[[#This Row],[Hill]]</f>
        <v>0</v>
      </c>
      <c r="H71" s="393">
        <f ca="1">TblConstr[[#This Row],[Swamp]]</f>
        <v>0</v>
      </c>
      <c r="I71" s="188">
        <f ca="1">TblConstr[[#This Row],[Cavern]]</f>
        <v>0</v>
      </c>
      <c r="J71" s="189">
        <f ca="1">TblConstr[[#This Row],[Water]]</f>
        <v>0</v>
      </c>
      <c r="K71" s="221"/>
      <c r="L71" s="221"/>
      <c r="M71" s="221"/>
      <c r="N71" s="228">
        <f ca="1">TblMili[[#This Row],[Smithies]]</f>
        <v>0.18</v>
      </c>
      <c r="O71" s="228">
        <f ca="1">TblPop[[#This Row],[Employment]]</f>
        <v>1</v>
      </c>
      <c r="P71" s="228">
        <f ca="1">TblImps[[#This Row],[Population]]</f>
        <v>1</v>
      </c>
      <c r="Q71" s="178">
        <f ca="1">TblExplore[[#This Row],[Land]]</f>
        <v>700</v>
      </c>
      <c r="R71" s="178">
        <f>TblExplore[[#This Row],[Hour]]</f>
        <v>68</v>
      </c>
      <c r="S71" s="229"/>
      <c r="T71" s="182"/>
      <c r="U71" s="182"/>
      <c r="V71" s="182"/>
      <c r="W71" s="182"/>
      <c r="X71" s="182"/>
      <c r="Y71" s="182"/>
      <c r="Z71" s="182"/>
      <c r="AA71" s="162">
        <f ca="1">TblImps[[#This Row],[Real time]]</f>
        <v>45432.541666666504</v>
      </c>
      <c r="AB71" s="97">
        <f ca="1">TblMili[[#This Row],[Draftees]]</f>
        <v>0</v>
      </c>
      <c r="AC71" s="97">
        <f ca="1">TblProd[[#This Row],[Platinum]]</f>
        <v>74962</v>
      </c>
      <c r="AD71" s="226"/>
      <c r="AE71" s="45">
        <f ca="1">TblExplore[[#This Row],[Land]]-TblExplore[[#This Row],[Land Bonus]]*20</f>
        <v>700</v>
      </c>
      <c r="AF71" s="97">
        <f ca="1">ROUND(MAX(0.6*TblExplore[[#This Row],[Land-DB]]^1.299,850)*(1+ tech_2_6*Techs!AC71 + tech_2_9*Techs!AF71 + tech_3_7*Techs!AN71 + Overview!$I$32),0)</f>
        <v>2978</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0</v>
      </c>
    </row>
    <row r="72" spans="1:37" x14ac:dyDescent="0.2">
      <c r="A72" s="178">
        <f>TblRezone[[#This Row],[Hour]]</f>
        <v>69</v>
      </c>
      <c r="B72" s="225">
        <f ca="1">TblConstr[[#This Row],[Land]]</f>
        <v>700</v>
      </c>
      <c r="C72" s="226"/>
      <c r="D72" s="227">
        <f ca="1">TblConstr[[#This Row],[Plain]]</f>
        <v>0</v>
      </c>
      <c r="E72" s="185">
        <f ca="1">TblConstr[[#This Row],[Forest]]</f>
        <v>0</v>
      </c>
      <c r="F72" s="385">
        <f ca="1">TblConstr[[#This Row],[Mountain]]</f>
        <v>0</v>
      </c>
      <c r="G72" s="389">
        <f ca="1">TblConstr[[#This Row],[Hill]]</f>
        <v>0</v>
      </c>
      <c r="H72" s="393">
        <f ca="1">TblConstr[[#This Row],[Swamp]]</f>
        <v>0</v>
      </c>
      <c r="I72" s="188">
        <f ca="1">TblConstr[[#This Row],[Cavern]]</f>
        <v>0</v>
      </c>
      <c r="J72" s="189">
        <f ca="1">TblConstr[[#This Row],[Water]]</f>
        <v>0</v>
      </c>
      <c r="K72" s="221"/>
      <c r="L72" s="221"/>
      <c r="M72" s="221"/>
      <c r="N72" s="228">
        <f ca="1">TblMili[[#This Row],[Smithies]]</f>
        <v>0.18</v>
      </c>
      <c r="O72" s="228">
        <f ca="1">TblPop[[#This Row],[Employment]]</f>
        <v>1</v>
      </c>
      <c r="P72" s="228">
        <f ca="1">TblImps[[#This Row],[Population]]</f>
        <v>1</v>
      </c>
      <c r="Q72" s="178">
        <f ca="1">TblExplore[[#This Row],[Land]]</f>
        <v>700</v>
      </c>
      <c r="R72" s="178">
        <f>TblExplore[[#This Row],[Hour]]</f>
        <v>69</v>
      </c>
      <c r="S72" s="229"/>
      <c r="T72" s="182"/>
      <c r="U72" s="182"/>
      <c r="V72" s="182"/>
      <c r="W72" s="182"/>
      <c r="X72" s="182"/>
      <c r="Y72" s="182"/>
      <c r="Z72" s="182"/>
      <c r="AA72" s="162">
        <f ca="1">TblImps[[#This Row],[Real time]]</f>
        <v>45432.583333333168</v>
      </c>
      <c r="AB72" s="97">
        <f ca="1">TblMili[[#This Row],[Draftees]]</f>
        <v>0</v>
      </c>
      <c r="AC72" s="97">
        <f ca="1">TblProd[[#This Row],[Platinum]]</f>
        <v>60402</v>
      </c>
      <c r="AD72" s="226"/>
      <c r="AE72" s="45">
        <f ca="1">TblExplore[[#This Row],[Land]]-TblExplore[[#This Row],[Land Bonus]]*20</f>
        <v>700</v>
      </c>
      <c r="AF72" s="97">
        <f ca="1">ROUND(MAX(0.6*TblExplore[[#This Row],[Land-DB]]^1.299,850)*(1+ tech_2_6*Techs!AC72 + tech_2_9*Techs!AF72 + tech_3_7*Techs!AN72 + Overview!$I$32),0)</f>
        <v>2978</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0</v>
      </c>
    </row>
    <row r="73" spans="1:37" x14ac:dyDescent="0.2">
      <c r="A73" s="178">
        <f>TblRezone[[#This Row],[Hour]]</f>
        <v>70</v>
      </c>
      <c r="B73" s="225">
        <f ca="1">TblConstr[[#This Row],[Land]]</f>
        <v>700</v>
      </c>
      <c r="C73" s="226"/>
      <c r="D73" s="227">
        <f ca="1">TblConstr[[#This Row],[Plain]]</f>
        <v>0</v>
      </c>
      <c r="E73" s="185">
        <f ca="1">TblConstr[[#This Row],[Forest]]</f>
        <v>0</v>
      </c>
      <c r="F73" s="385">
        <f ca="1">TblConstr[[#This Row],[Mountain]]</f>
        <v>0</v>
      </c>
      <c r="G73" s="389">
        <f ca="1">TblConstr[[#This Row],[Hill]]</f>
        <v>0</v>
      </c>
      <c r="H73" s="393">
        <f ca="1">TblConstr[[#This Row],[Swamp]]</f>
        <v>0</v>
      </c>
      <c r="I73" s="188">
        <f ca="1">TblConstr[[#This Row],[Cavern]]</f>
        <v>0</v>
      </c>
      <c r="J73" s="189">
        <f ca="1">TblConstr[[#This Row],[Water]]</f>
        <v>0</v>
      </c>
      <c r="K73" s="221"/>
      <c r="L73" s="221"/>
      <c r="M73" s="221"/>
      <c r="N73" s="228">
        <f ca="1">TblMili[[#This Row],[Smithies]]</f>
        <v>0.18</v>
      </c>
      <c r="O73" s="228">
        <f ca="1">TblPop[[#This Row],[Employment]]</f>
        <v>1</v>
      </c>
      <c r="P73" s="228">
        <f ca="1">TblImps[[#This Row],[Population]]</f>
        <v>1</v>
      </c>
      <c r="Q73" s="178">
        <f ca="1">TblExplore[[#This Row],[Land]]</f>
        <v>700</v>
      </c>
      <c r="R73" s="178">
        <f>TblExplore[[#This Row],[Hour]]</f>
        <v>70</v>
      </c>
      <c r="S73" s="229"/>
      <c r="T73" s="182"/>
      <c r="U73" s="182"/>
      <c r="V73" s="182"/>
      <c r="W73" s="182"/>
      <c r="X73" s="182"/>
      <c r="Y73" s="182"/>
      <c r="Z73" s="182"/>
      <c r="AA73" s="162">
        <f ca="1">TblImps[[#This Row],[Real time]]</f>
        <v>45432.624999999833</v>
      </c>
      <c r="AB73" s="97">
        <f ca="1">TblMili[[#This Row],[Draftees]]</f>
        <v>0</v>
      </c>
      <c r="AC73" s="97">
        <f ca="1">TblProd[[#This Row],[Platinum]]</f>
        <v>46144</v>
      </c>
      <c r="AD73" s="226"/>
      <c r="AE73" s="45">
        <f ca="1">TblExplore[[#This Row],[Land]]-TblExplore[[#This Row],[Land Bonus]]*20</f>
        <v>700</v>
      </c>
      <c r="AF73" s="97">
        <f ca="1">ROUND(MAX(0.6*TblExplore[[#This Row],[Land-DB]]^1.299,850)*(1+ tech_2_6*Techs!AC73 + tech_2_9*Techs!AF73 + tech_3_7*Techs!AN73 + Overview!$I$32),0)</f>
        <v>2978</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0</v>
      </c>
    </row>
    <row r="74" spans="1:37" x14ac:dyDescent="0.2">
      <c r="A74" s="178">
        <f>TblRezone[[#This Row],[Hour]]</f>
        <v>71</v>
      </c>
      <c r="B74" s="225">
        <f ca="1">TblConstr[[#This Row],[Land]]</f>
        <v>700</v>
      </c>
      <c r="C74" s="226"/>
      <c r="D74" s="227">
        <f ca="1">TblConstr[[#This Row],[Plain]]</f>
        <v>0</v>
      </c>
      <c r="E74" s="185">
        <f ca="1">TblConstr[[#This Row],[Forest]]</f>
        <v>0</v>
      </c>
      <c r="F74" s="385">
        <f ca="1">TblConstr[[#This Row],[Mountain]]</f>
        <v>0</v>
      </c>
      <c r="G74" s="389">
        <f ca="1">TblConstr[[#This Row],[Hill]]</f>
        <v>0</v>
      </c>
      <c r="H74" s="393">
        <f ca="1">TblConstr[[#This Row],[Swamp]]</f>
        <v>0</v>
      </c>
      <c r="I74" s="188">
        <f ca="1">TblConstr[[#This Row],[Cavern]]</f>
        <v>0</v>
      </c>
      <c r="J74" s="189">
        <f ca="1">TblConstr[[#This Row],[Water]]</f>
        <v>0</v>
      </c>
      <c r="K74" s="221"/>
      <c r="L74" s="221"/>
      <c r="M74" s="221"/>
      <c r="N74" s="228">
        <f ca="1">TblMili[[#This Row],[Smithies]]</f>
        <v>0.18</v>
      </c>
      <c r="O74" s="228">
        <f ca="1">TblPop[[#This Row],[Employment]]</f>
        <v>1</v>
      </c>
      <c r="P74" s="228">
        <f ca="1">TblImps[[#This Row],[Population]]</f>
        <v>1</v>
      </c>
      <c r="Q74" s="178">
        <f ca="1">TblExplore[[#This Row],[Land]]</f>
        <v>700</v>
      </c>
      <c r="R74" s="178">
        <f>TblExplore[[#This Row],[Hour]]</f>
        <v>71</v>
      </c>
      <c r="S74" s="229"/>
      <c r="T74" s="182"/>
      <c r="U74" s="182"/>
      <c r="V74" s="182"/>
      <c r="W74" s="182"/>
      <c r="X74" s="182"/>
      <c r="Y74" s="182"/>
      <c r="Z74" s="182"/>
      <c r="AA74" s="162">
        <f ca="1">TblImps[[#This Row],[Real time]]</f>
        <v>45432.666666666497</v>
      </c>
      <c r="AB74" s="97">
        <f ca="1">TblMili[[#This Row],[Draftees]]</f>
        <v>0</v>
      </c>
      <c r="AC74" s="97">
        <f ca="1">TblProd[[#This Row],[Platinum]]</f>
        <v>32191</v>
      </c>
      <c r="AD74" s="226"/>
      <c r="AE74" s="45">
        <f ca="1">TblExplore[[#This Row],[Land]]-TblExplore[[#This Row],[Land Bonus]]*20</f>
        <v>700</v>
      </c>
      <c r="AF74" s="97">
        <f ca="1">ROUND(MAX(0.6*TblExplore[[#This Row],[Land-DB]]^1.299,850)*(1+ tech_2_6*Techs!AC74 + tech_2_9*Techs!AF74 + tech_3_7*Techs!AN74 + Overview!$I$32),0)</f>
        <v>2978</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0</v>
      </c>
    </row>
    <row r="75" spans="1:37" x14ac:dyDescent="0.2">
      <c r="A75" s="178">
        <f>TblRezone[[#This Row],[Hour]]</f>
        <v>72</v>
      </c>
      <c r="B75" s="225">
        <f ca="1">TblConstr[[#This Row],[Land]]</f>
        <v>700</v>
      </c>
      <c r="C75" s="226"/>
      <c r="D75" s="227">
        <f ca="1">TblConstr[[#This Row],[Plain]]</f>
        <v>0</v>
      </c>
      <c r="E75" s="185">
        <f ca="1">TblConstr[[#This Row],[Forest]]</f>
        <v>0</v>
      </c>
      <c r="F75" s="385">
        <f ca="1">TblConstr[[#This Row],[Mountain]]</f>
        <v>0</v>
      </c>
      <c r="G75" s="389">
        <f ca="1">TblConstr[[#This Row],[Hill]]</f>
        <v>0</v>
      </c>
      <c r="H75" s="393">
        <f ca="1">TblConstr[[#This Row],[Swamp]]</f>
        <v>0</v>
      </c>
      <c r="I75" s="188">
        <f ca="1">TblConstr[[#This Row],[Cavern]]</f>
        <v>0</v>
      </c>
      <c r="J75" s="189">
        <f ca="1">TblConstr[[#This Row],[Water]]</f>
        <v>0</v>
      </c>
      <c r="K75" s="221"/>
      <c r="L75" s="221"/>
      <c r="M75" s="221"/>
      <c r="N75" s="228">
        <f ca="1">TblMili[[#This Row],[Smithies]]</f>
        <v>0.18</v>
      </c>
      <c r="O75" s="228">
        <f ca="1">TblPop[[#This Row],[Employment]]</f>
        <v>1</v>
      </c>
      <c r="P75" s="228">
        <f ca="1">TblImps[[#This Row],[Population]]</f>
        <v>1</v>
      </c>
      <c r="Q75" s="178">
        <f ca="1">TblExplore[[#This Row],[Land]]</f>
        <v>700</v>
      </c>
      <c r="R75" s="178">
        <f>TblExplore[[#This Row],[Hour]]</f>
        <v>72</v>
      </c>
      <c r="S75" s="229"/>
      <c r="T75" s="182"/>
      <c r="U75" s="182"/>
      <c r="V75" s="182"/>
      <c r="W75" s="182"/>
      <c r="X75" s="182"/>
      <c r="Y75" s="182"/>
      <c r="Z75" s="182"/>
      <c r="AA75" s="162">
        <f ca="1">TblImps[[#This Row],[Real time]]</f>
        <v>45432.708333333161</v>
      </c>
      <c r="AB75" s="97">
        <f ca="1">TblMili[[#This Row],[Draftees]]</f>
        <v>0</v>
      </c>
      <c r="AC75" s="97">
        <f ca="1">TblProd[[#This Row],[Platinum]]</f>
        <v>18546</v>
      </c>
      <c r="AD75" s="226"/>
      <c r="AE75" s="45">
        <f ca="1">TblExplore[[#This Row],[Land]]-TblExplore[[#This Row],[Land Bonus]]*20</f>
        <v>700</v>
      </c>
      <c r="AF75" s="97">
        <f ca="1">ROUND(MAX(0.6*TblExplore[[#This Row],[Land-DB]]^1.299,850)*(1+ tech_2_6*Techs!AC75 + tech_2_9*Techs!AF75 + tech_3_7*Techs!AN75 + Overview!$I$32),0)</f>
        <v>2978</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0</v>
      </c>
    </row>
    <row r="76" spans="1:37" s="211" customFormat="1" x14ac:dyDescent="0.2">
      <c r="A76" s="196">
        <f>TblRezone[[#This Row],[Hour]]</f>
        <v>73</v>
      </c>
      <c r="B76" s="242">
        <f ca="1">TblConstr[[#This Row],[Land]]</f>
        <v>700</v>
      </c>
      <c r="C76" s="243"/>
      <c r="D76" s="244">
        <f ca="1">TblConstr[[#This Row],[Plain]]</f>
        <v>0</v>
      </c>
      <c r="E76" s="202">
        <f ca="1">TblConstr[[#This Row],[Forest]]</f>
        <v>0</v>
      </c>
      <c r="F76" s="386">
        <f ca="1">TblConstr[[#This Row],[Mountain]]</f>
        <v>0</v>
      </c>
      <c r="G76" s="390">
        <f ca="1">TblConstr[[#This Row],[Hill]]</f>
        <v>0</v>
      </c>
      <c r="H76" s="394">
        <f ca="1">TblConstr[[#This Row],[Swamp]]</f>
        <v>0</v>
      </c>
      <c r="I76" s="205">
        <f ca="1">TblConstr[[#This Row],[Cavern]]</f>
        <v>0</v>
      </c>
      <c r="J76" s="206">
        <f ca="1">TblConstr[[#This Row],[Water]]</f>
        <v>0</v>
      </c>
      <c r="K76" s="219"/>
      <c r="L76" s="219"/>
      <c r="M76" s="219"/>
      <c r="N76" s="245">
        <f ca="1">TblMili[[#This Row],[Smithies]]</f>
        <v>0.18</v>
      </c>
      <c r="O76" s="245">
        <f ca="1">TblPop[[#This Row],[Employment]]</f>
        <v>1</v>
      </c>
      <c r="P76" s="245">
        <f ca="1">TblImps[[#This Row],[Population]]</f>
        <v>1</v>
      </c>
      <c r="Q76" s="196">
        <f ca="1">TblExplore[[#This Row],[Land]]</f>
        <v>700</v>
      </c>
      <c r="R76" s="178">
        <f>TblExplore[[#This Row],[Hour]]</f>
        <v>73</v>
      </c>
      <c r="S76" s="246"/>
      <c r="T76" s="207"/>
      <c r="U76" s="207"/>
      <c r="V76" s="207"/>
      <c r="W76" s="207"/>
      <c r="X76" s="207"/>
      <c r="Y76" s="207"/>
      <c r="Z76" s="207"/>
      <c r="AA76" s="217">
        <f ca="1">TblImps[[#This Row],[Real time]]</f>
        <v>45432.749999999825</v>
      </c>
      <c r="AB76" s="210">
        <f ca="1">TblMili[[#This Row],[Draftees]]</f>
        <v>0</v>
      </c>
      <c r="AC76" s="210">
        <f ca="1">TblProd[[#This Row],[Platinum]]</f>
        <v>5612</v>
      </c>
      <c r="AD76" s="243"/>
      <c r="AE76" s="211">
        <f ca="1">TblExplore[[#This Row],[Land]]-TblExplore[[#This Row],[Land Bonus]]*20</f>
        <v>700</v>
      </c>
      <c r="AF76" s="210">
        <f ca="1">ROUND(MAX(0.6*TblExplore[[#This Row],[Land-DB]]^1.299,850)*(1+ tech_2_6*Techs!AC76 + tech_2_9*Techs!AF76 + tech_3_7*Techs!AN76 + Overview!$I$32),0)</f>
        <v>2978</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0</v>
      </c>
      <c r="AK76" s="248"/>
    </row>
    <row r="77" spans="1:37" x14ac:dyDescent="0.2">
      <c r="A77" s="178">
        <f>TblRezone[[#This Row],[Hour]]</f>
        <v>74</v>
      </c>
      <c r="B77" s="225">
        <f ca="1">TblConstr[[#This Row],[Land]]</f>
        <v>700</v>
      </c>
      <c r="C77" s="226"/>
      <c r="D77" s="227">
        <f ca="1">TblConstr[[#This Row],[Plain]]</f>
        <v>0</v>
      </c>
      <c r="E77" s="185">
        <f ca="1">TblConstr[[#This Row],[Forest]]</f>
        <v>0</v>
      </c>
      <c r="F77" s="385">
        <f ca="1">TblConstr[[#This Row],[Mountain]]</f>
        <v>0</v>
      </c>
      <c r="G77" s="389">
        <f ca="1">TblConstr[[#This Row],[Hill]]</f>
        <v>0</v>
      </c>
      <c r="H77" s="393">
        <f ca="1">TblConstr[[#This Row],[Swamp]]</f>
        <v>0</v>
      </c>
      <c r="I77" s="188">
        <f ca="1">TblConstr[[#This Row],[Cavern]]</f>
        <v>0</v>
      </c>
      <c r="J77" s="189">
        <f ca="1">TblConstr[[#This Row],[Water]]</f>
        <v>0</v>
      </c>
      <c r="K77" s="221"/>
      <c r="L77" s="221"/>
      <c r="M77" s="221"/>
      <c r="N77" s="228">
        <f ca="1">TblMili[[#This Row],[Smithies]]</f>
        <v>0.18</v>
      </c>
      <c r="O77" s="228">
        <f ca="1">TblPop[[#This Row],[Employment]]</f>
        <v>1</v>
      </c>
      <c r="P77" s="228">
        <f ca="1">TblImps[[#This Row],[Population]]</f>
        <v>1</v>
      </c>
      <c r="Q77" s="178">
        <f ca="1">TblExplore[[#This Row],[Land]]</f>
        <v>700</v>
      </c>
      <c r="R77" s="178">
        <f>TblExplore[[#This Row],[Hour]]</f>
        <v>74</v>
      </c>
      <c r="S77" s="229"/>
      <c r="T77" s="182"/>
      <c r="U77" s="182"/>
      <c r="V77" s="182"/>
      <c r="W77" s="182"/>
      <c r="X77" s="182"/>
      <c r="Y77" s="182"/>
      <c r="Z77" s="182"/>
      <c r="AA77" s="162">
        <f ca="1">TblImps[[#This Row],[Real time]]</f>
        <v>45432.79166666649</v>
      </c>
      <c r="AB77" s="97">
        <f ca="1">TblMili[[#This Row],[Draftees]]</f>
        <v>0</v>
      </c>
      <c r="AC77" s="97">
        <f ca="1">TblProd[[#This Row],[Platinum]]</f>
        <v>13360</v>
      </c>
      <c r="AD77" s="226"/>
      <c r="AE77" s="45">
        <f ca="1">TblExplore[[#This Row],[Land]]-TblExplore[[#This Row],[Land Bonus]]*20</f>
        <v>700</v>
      </c>
      <c r="AF77" s="97">
        <f ca="1">ROUND(MAX(0.6*TblExplore[[#This Row],[Land-DB]]^1.299,850)*(1+ tech_2_6*Techs!AC77 + tech_2_9*Techs!AF77 + tech_3_7*Techs!AN77 + Overview!$I$32),0)</f>
        <v>2978</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0</v>
      </c>
    </row>
    <row r="78" spans="1:37" x14ac:dyDescent="0.2">
      <c r="A78" s="178">
        <f>TblRezone[[#This Row],[Hour]]</f>
        <v>75</v>
      </c>
      <c r="B78" s="225">
        <f ca="1">TblConstr[[#This Row],[Land]]</f>
        <v>700</v>
      </c>
      <c r="C78" s="226"/>
      <c r="D78" s="227">
        <f ca="1">TblConstr[[#This Row],[Plain]]</f>
        <v>0</v>
      </c>
      <c r="E78" s="185">
        <f ca="1">TblConstr[[#This Row],[Forest]]</f>
        <v>0</v>
      </c>
      <c r="F78" s="385">
        <f ca="1">TblConstr[[#This Row],[Mountain]]</f>
        <v>0</v>
      </c>
      <c r="G78" s="389">
        <f ca="1">TblConstr[[#This Row],[Hill]]</f>
        <v>0</v>
      </c>
      <c r="H78" s="393">
        <f ca="1">TblConstr[[#This Row],[Swamp]]</f>
        <v>0</v>
      </c>
      <c r="I78" s="188">
        <f ca="1">TblConstr[[#This Row],[Cavern]]</f>
        <v>0</v>
      </c>
      <c r="J78" s="189">
        <f ca="1">TblConstr[[#This Row],[Water]]</f>
        <v>0</v>
      </c>
      <c r="K78" s="221"/>
      <c r="L78" s="221"/>
      <c r="M78" s="221"/>
      <c r="N78" s="228">
        <f ca="1">TblMili[[#This Row],[Smithies]]</f>
        <v>0.18</v>
      </c>
      <c r="O78" s="228">
        <f ca="1">TblPop[[#This Row],[Employment]]</f>
        <v>1</v>
      </c>
      <c r="P78" s="228">
        <f ca="1">TblImps[[#This Row],[Population]]</f>
        <v>1</v>
      </c>
      <c r="Q78" s="178">
        <f ca="1">TblExplore[[#This Row],[Land]]</f>
        <v>700</v>
      </c>
      <c r="R78" s="178">
        <f>TblExplore[[#This Row],[Hour]]</f>
        <v>75</v>
      </c>
      <c r="S78" s="229"/>
      <c r="T78" s="182"/>
      <c r="U78" s="182"/>
      <c r="V78" s="182"/>
      <c r="W78" s="182"/>
      <c r="X78" s="182"/>
      <c r="Y78" s="182"/>
      <c r="Z78" s="182"/>
      <c r="AA78" s="162">
        <f ca="1">TblImps[[#This Row],[Real time]]</f>
        <v>45432.833333333154</v>
      </c>
      <c r="AB78" s="97">
        <f ca="1">TblMili[[#This Row],[Draftees]]</f>
        <v>0</v>
      </c>
      <c r="AC78" s="97">
        <f ca="1">TblProd[[#This Row],[Platinum]]</f>
        <v>41111</v>
      </c>
      <c r="AD78" s="226"/>
      <c r="AE78" s="45">
        <f ca="1">TblExplore[[#This Row],[Land]]-TblExplore[[#This Row],[Land Bonus]]*20</f>
        <v>700</v>
      </c>
      <c r="AF78" s="97">
        <f ca="1">ROUND(MAX(0.6*TblExplore[[#This Row],[Land-DB]]^1.299,850)*(1+ tech_2_6*Techs!AC78 + tech_2_9*Techs!AF78 + tech_3_7*Techs!AN78 + Overview!$I$32),0)</f>
        <v>2978</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0</v>
      </c>
    </row>
    <row r="79" spans="1:37" x14ac:dyDescent="0.2">
      <c r="A79" s="178">
        <f>TblRezone[[#This Row],[Hour]]</f>
        <v>76</v>
      </c>
      <c r="B79" s="225">
        <f ca="1">TblConstr[[#This Row],[Land]]</f>
        <v>700</v>
      </c>
      <c r="C79" s="226"/>
      <c r="D79" s="227">
        <f ca="1">TblConstr[[#This Row],[Plain]]</f>
        <v>0</v>
      </c>
      <c r="E79" s="185">
        <f ca="1">TblConstr[[#This Row],[Forest]]</f>
        <v>0</v>
      </c>
      <c r="F79" s="385">
        <f ca="1">TblConstr[[#This Row],[Mountain]]</f>
        <v>0</v>
      </c>
      <c r="G79" s="389">
        <f ca="1">TblConstr[[#This Row],[Hill]]</f>
        <v>0</v>
      </c>
      <c r="H79" s="393">
        <f ca="1">TblConstr[[#This Row],[Swamp]]</f>
        <v>0</v>
      </c>
      <c r="I79" s="188">
        <f ca="1">TblConstr[[#This Row],[Cavern]]</f>
        <v>0</v>
      </c>
      <c r="J79" s="189">
        <f ca="1">TblConstr[[#This Row],[Water]]</f>
        <v>0</v>
      </c>
      <c r="K79" s="221"/>
      <c r="L79" s="221"/>
      <c r="M79" s="221"/>
      <c r="N79" s="228">
        <f ca="1">TblMili[[#This Row],[Smithies]]</f>
        <v>0.18</v>
      </c>
      <c r="O79" s="228">
        <f ca="1">TblPop[[#This Row],[Employment]]</f>
        <v>1</v>
      </c>
      <c r="P79" s="228">
        <f ca="1">TblImps[[#This Row],[Population]]</f>
        <v>1</v>
      </c>
      <c r="Q79" s="178">
        <f ca="1">TblExplore[[#This Row],[Land]]</f>
        <v>700</v>
      </c>
      <c r="R79" s="178">
        <f>TblExplore[[#This Row],[Hour]]</f>
        <v>76</v>
      </c>
      <c r="S79" s="229"/>
      <c r="T79" s="161"/>
      <c r="U79" s="182"/>
      <c r="V79" s="182"/>
      <c r="W79" s="182"/>
      <c r="X79" s="182"/>
      <c r="Y79" s="182"/>
      <c r="Z79" s="182"/>
      <c r="AA79" s="162">
        <f ca="1">TblImps[[#This Row],[Real time]]</f>
        <v>45432.874999999818</v>
      </c>
      <c r="AB79" s="97">
        <f ca="1">TblMili[[#This Row],[Draftees]]</f>
        <v>0</v>
      </c>
      <c r="AC79" s="97">
        <f ca="1">TblProd[[#This Row],[Platinum]]</f>
        <v>68865</v>
      </c>
      <c r="AD79" s="226"/>
      <c r="AE79" s="45">
        <f ca="1">TblExplore[[#This Row],[Land]]-TblExplore[[#This Row],[Land Bonus]]*20</f>
        <v>700</v>
      </c>
      <c r="AF79" s="97">
        <f ca="1">ROUND(MAX(0.6*TblExplore[[#This Row],[Land-DB]]^1.299,850)*(1+ tech_2_6*Techs!AC79 + tech_2_9*Techs!AF79 + tech_3_7*Techs!AN79 + Overview!$I$32),0)</f>
        <v>2978</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0</v>
      </c>
    </row>
    <row r="80" spans="1:37" x14ac:dyDescent="0.2">
      <c r="A80" s="178">
        <f>TblRezone[[#This Row],[Hour]]</f>
        <v>77</v>
      </c>
      <c r="B80" s="225">
        <f ca="1">TblConstr[[#This Row],[Land]]</f>
        <v>700</v>
      </c>
      <c r="C80" s="226"/>
      <c r="D80" s="227">
        <f ca="1">TblConstr[[#This Row],[Plain]]</f>
        <v>0</v>
      </c>
      <c r="E80" s="185">
        <f ca="1">TblConstr[[#This Row],[Forest]]</f>
        <v>0</v>
      </c>
      <c r="F80" s="385">
        <f ca="1">TblConstr[[#This Row],[Mountain]]</f>
        <v>0</v>
      </c>
      <c r="G80" s="389">
        <f ca="1">TblConstr[[#This Row],[Hill]]</f>
        <v>0</v>
      </c>
      <c r="H80" s="393">
        <f ca="1">TblConstr[[#This Row],[Swamp]]</f>
        <v>0</v>
      </c>
      <c r="I80" s="188">
        <f ca="1">TblConstr[[#This Row],[Cavern]]</f>
        <v>0</v>
      </c>
      <c r="J80" s="189">
        <f ca="1">TblConstr[[#This Row],[Water]]</f>
        <v>0</v>
      </c>
      <c r="K80" s="221"/>
      <c r="L80" s="221"/>
      <c r="M80" s="221"/>
      <c r="N80" s="228">
        <f ca="1">TblMili[[#This Row],[Smithies]]</f>
        <v>0.18</v>
      </c>
      <c r="O80" s="228">
        <f ca="1">TblPop[[#This Row],[Employment]]</f>
        <v>1</v>
      </c>
      <c r="P80" s="228">
        <f ca="1">TblImps[[#This Row],[Population]]</f>
        <v>1</v>
      </c>
      <c r="Q80" s="178">
        <f ca="1">TblExplore[[#This Row],[Land]]</f>
        <v>700</v>
      </c>
      <c r="R80" s="178">
        <f>TblExplore[[#This Row],[Hour]]</f>
        <v>77</v>
      </c>
      <c r="S80" s="229"/>
      <c r="T80" s="161"/>
      <c r="U80" s="182"/>
      <c r="V80" s="182"/>
      <c r="W80" s="182"/>
      <c r="X80" s="182"/>
      <c r="Y80" s="182"/>
      <c r="Z80" s="182"/>
      <c r="AA80" s="162">
        <f ca="1">TblImps[[#This Row],[Real time]]</f>
        <v>45432.916666666482</v>
      </c>
      <c r="AB80" s="97">
        <f ca="1">TblMili[[#This Row],[Draftees]]</f>
        <v>97</v>
      </c>
      <c r="AC80" s="97">
        <f ca="1">TblProd[[#This Row],[Platinum]]</f>
        <v>153735</v>
      </c>
      <c r="AD80" s="226"/>
      <c r="AE80" s="45">
        <f ca="1">TblExplore[[#This Row],[Land]]-TblExplore[[#This Row],[Land Bonus]]*20</f>
        <v>700</v>
      </c>
      <c r="AF80" s="97">
        <f ca="1">ROUND(MAX(0.6*TblExplore[[#This Row],[Land-DB]]^1.299,850)*(1+ tech_2_6*Techs!AC80 + tech_2_9*Techs!AF80 + tech_3_7*Techs!AN80 + Overview!$I$32),0)</f>
        <v>2978</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13</v>
      </c>
    </row>
    <row r="81" spans="1:36" x14ac:dyDescent="0.2">
      <c r="A81" s="178">
        <f>TblRezone[[#This Row],[Hour]]</f>
        <v>78</v>
      </c>
      <c r="B81" s="225">
        <f ca="1">TblConstr[[#This Row],[Land]]</f>
        <v>700</v>
      </c>
      <c r="C81" s="226"/>
      <c r="D81" s="227">
        <f ca="1">TblConstr[[#This Row],[Plain]]</f>
        <v>0</v>
      </c>
      <c r="E81" s="185">
        <f ca="1">TblConstr[[#This Row],[Forest]]</f>
        <v>0</v>
      </c>
      <c r="F81" s="385">
        <f ca="1">TblConstr[[#This Row],[Mountain]]</f>
        <v>0</v>
      </c>
      <c r="G81" s="389">
        <f ca="1">TblConstr[[#This Row],[Hill]]</f>
        <v>0</v>
      </c>
      <c r="H81" s="393">
        <f ca="1">TblConstr[[#This Row],[Swamp]]</f>
        <v>0</v>
      </c>
      <c r="I81" s="188">
        <f ca="1">TblConstr[[#This Row],[Cavern]]</f>
        <v>0</v>
      </c>
      <c r="J81" s="189">
        <f ca="1">TblConstr[[#This Row],[Water]]</f>
        <v>0</v>
      </c>
      <c r="K81" s="221"/>
      <c r="L81" s="221"/>
      <c r="M81" s="221"/>
      <c r="N81" s="228">
        <f ca="1">TblMili[[#This Row],[Smithies]]</f>
        <v>0.18</v>
      </c>
      <c r="O81" s="228">
        <f ca="1">TblPop[[#This Row],[Employment]]</f>
        <v>1</v>
      </c>
      <c r="P81" s="228">
        <f ca="1">TblImps[[#This Row],[Population]]</f>
        <v>1</v>
      </c>
      <c r="Q81" s="178">
        <f ca="1">TblExplore[[#This Row],[Land]]</f>
        <v>700</v>
      </c>
      <c r="R81" s="178">
        <f>TblExplore[[#This Row],[Hour]]</f>
        <v>78</v>
      </c>
      <c r="S81" s="229"/>
      <c r="T81" s="182"/>
      <c r="U81" s="182"/>
      <c r="V81" s="182"/>
      <c r="W81" s="182"/>
      <c r="X81" s="182"/>
      <c r="Y81" s="182"/>
      <c r="Z81" s="182"/>
      <c r="AA81" s="162">
        <f ca="1">TblImps[[#This Row],[Real time]]</f>
        <v>45432.958333333147</v>
      </c>
      <c r="AB81" s="97">
        <f ca="1">TblMili[[#This Row],[Draftees]]</f>
        <v>193</v>
      </c>
      <c r="AC81" s="97">
        <f ca="1">TblProd[[#This Row],[Platinum]]</f>
        <v>199845</v>
      </c>
      <c r="AD81" s="226"/>
      <c r="AE81" s="45">
        <f ca="1">TblExplore[[#This Row],[Land]]-TblExplore[[#This Row],[Land Bonus]]*20</f>
        <v>700</v>
      </c>
      <c r="AF81" s="97">
        <f ca="1">ROUND(MAX(0.6*TblExplore[[#This Row],[Land-DB]]^1.299,850)*(1+ tech_2_6*Techs!AC81 + tech_2_9*Techs!AF81 + tech_3_7*Techs!AN81 + Overview!$I$32),0)</f>
        <v>2978</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27</v>
      </c>
    </row>
    <row r="82" spans="1:36" x14ac:dyDescent="0.2">
      <c r="A82" s="178">
        <f>TblRezone[[#This Row],[Hour]]</f>
        <v>79</v>
      </c>
      <c r="B82" s="225">
        <f ca="1">TblConstr[[#This Row],[Land]]</f>
        <v>700</v>
      </c>
      <c r="C82" s="226"/>
      <c r="D82" s="227">
        <f ca="1">TblConstr[[#This Row],[Plain]]</f>
        <v>0</v>
      </c>
      <c r="E82" s="185">
        <f ca="1">TblConstr[[#This Row],[Forest]]</f>
        <v>0</v>
      </c>
      <c r="F82" s="385">
        <f ca="1">TblConstr[[#This Row],[Mountain]]</f>
        <v>0</v>
      </c>
      <c r="G82" s="389">
        <f ca="1">TblConstr[[#This Row],[Hill]]</f>
        <v>0</v>
      </c>
      <c r="H82" s="393">
        <f ca="1">TblConstr[[#This Row],[Swamp]]</f>
        <v>0</v>
      </c>
      <c r="I82" s="188">
        <f ca="1">TblConstr[[#This Row],[Cavern]]</f>
        <v>0</v>
      </c>
      <c r="J82" s="189">
        <f ca="1">TblConstr[[#This Row],[Water]]</f>
        <v>0</v>
      </c>
      <c r="K82" s="221"/>
      <c r="L82" s="221"/>
      <c r="M82" s="221"/>
      <c r="N82" s="228">
        <f ca="1">TblMili[[#This Row],[Smithies]]</f>
        <v>0.18</v>
      </c>
      <c r="O82" s="228">
        <f ca="1">TblPop[[#This Row],[Employment]]</f>
        <v>1</v>
      </c>
      <c r="P82" s="228">
        <f ca="1">TblImps[[#This Row],[Population]]</f>
        <v>1</v>
      </c>
      <c r="Q82" s="178">
        <f ca="1">TblExplore[[#This Row],[Land]]</f>
        <v>700</v>
      </c>
      <c r="R82" s="178">
        <f>TblExplore[[#This Row],[Hour]]</f>
        <v>79</v>
      </c>
      <c r="S82" s="229"/>
      <c r="T82" s="182"/>
      <c r="U82" s="182"/>
      <c r="V82" s="182"/>
      <c r="W82" s="182"/>
      <c r="X82" s="182"/>
      <c r="Y82" s="182"/>
      <c r="Z82" s="182"/>
      <c r="AA82" s="162">
        <f ca="1">TblImps[[#This Row],[Real time]]</f>
        <v>45432.999999999811</v>
      </c>
      <c r="AB82" s="97">
        <f ca="1">TblMili[[#This Row],[Draftees]]</f>
        <v>288</v>
      </c>
      <c r="AC82" s="97">
        <f ca="1">TblProd[[#This Row],[Platinum]]</f>
        <v>245670</v>
      </c>
      <c r="AD82" s="226"/>
      <c r="AE82" s="45">
        <f ca="1">TblExplore[[#This Row],[Land]]-TblExplore[[#This Row],[Land Bonus]]*20</f>
        <v>700</v>
      </c>
      <c r="AF82" s="97">
        <f ca="1">ROUND(MAX(0.6*TblExplore[[#This Row],[Land-DB]]^1.299,850)*(1+ tech_2_6*Techs!AC82 + tech_2_9*Techs!AF82 + tech_3_7*Techs!AN82 + Overview!$I$32),0)</f>
        <v>2978</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41</v>
      </c>
    </row>
    <row r="83" spans="1:36" x14ac:dyDescent="0.2">
      <c r="A83" s="178">
        <f>TblRezone[[#This Row],[Hour]]</f>
        <v>80</v>
      </c>
      <c r="B83" s="225">
        <f ca="1">TblConstr[[#This Row],[Land]]</f>
        <v>700</v>
      </c>
      <c r="C83" s="226"/>
      <c r="D83" s="227">
        <f ca="1">TblConstr[[#This Row],[Plain]]</f>
        <v>0</v>
      </c>
      <c r="E83" s="185">
        <f ca="1">TblConstr[[#This Row],[Forest]]</f>
        <v>0</v>
      </c>
      <c r="F83" s="385">
        <f ca="1">TblConstr[[#This Row],[Mountain]]</f>
        <v>0</v>
      </c>
      <c r="G83" s="389">
        <f ca="1">TblConstr[[#This Row],[Hill]]</f>
        <v>0</v>
      </c>
      <c r="H83" s="393">
        <f ca="1">TblConstr[[#This Row],[Swamp]]</f>
        <v>0</v>
      </c>
      <c r="I83" s="188">
        <f ca="1">TblConstr[[#This Row],[Cavern]]</f>
        <v>0</v>
      </c>
      <c r="J83" s="189">
        <f ca="1">TblConstr[[#This Row],[Water]]</f>
        <v>0</v>
      </c>
      <c r="K83" s="221"/>
      <c r="L83" s="221"/>
      <c r="M83" s="221"/>
      <c r="N83" s="228">
        <f ca="1">TblMili[[#This Row],[Smithies]]</f>
        <v>0.18</v>
      </c>
      <c r="O83" s="228">
        <f ca="1">TblPop[[#This Row],[Employment]]</f>
        <v>1</v>
      </c>
      <c r="P83" s="228">
        <f ca="1">TblImps[[#This Row],[Population]]</f>
        <v>1</v>
      </c>
      <c r="Q83" s="178">
        <f ca="1">TblExplore[[#This Row],[Land]]</f>
        <v>700</v>
      </c>
      <c r="R83" s="178">
        <f>TblExplore[[#This Row],[Hour]]</f>
        <v>80</v>
      </c>
      <c r="S83" s="229"/>
      <c r="T83" s="182"/>
      <c r="U83" s="182"/>
      <c r="V83" s="182"/>
      <c r="W83" s="182"/>
      <c r="X83" s="182"/>
      <c r="Y83" s="182"/>
      <c r="Z83" s="182"/>
      <c r="AA83" s="162">
        <f ca="1">TblImps[[#This Row],[Real time]]</f>
        <v>45433.041666666475</v>
      </c>
      <c r="AB83" s="97">
        <f ca="1">TblMili[[#This Row],[Draftees]]</f>
        <v>382</v>
      </c>
      <c r="AC83" s="97">
        <f ca="1">TblProd[[#This Row],[Platinum]]</f>
        <v>291213</v>
      </c>
      <c r="AD83" s="226"/>
      <c r="AE83" s="45">
        <f ca="1">TblExplore[[#This Row],[Land]]-TblExplore[[#This Row],[Land Bonus]]*20</f>
        <v>700</v>
      </c>
      <c r="AF83" s="97">
        <f ca="1">ROUND(MAX(0.6*TblExplore[[#This Row],[Land-DB]]^1.299,850)*(1+ tech_2_6*Techs!AC83 + tech_2_9*Techs!AF83 + tech_3_7*Techs!AN83 + Overview!$I$32),0)</f>
        <v>2978</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54</v>
      </c>
    </row>
    <row r="84" spans="1:36" x14ac:dyDescent="0.2">
      <c r="A84" s="178">
        <f>TblRezone[[#This Row],[Hour]]</f>
        <v>81</v>
      </c>
      <c r="B84" s="225">
        <f ca="1">TblConstr[[#This Row],[Land]]</f>
        <v>700</v>
      </c>
      <c r="C84" s="226"/>
      <c r="D84" s="227">
        <f ca="1">TblConstr[[#This Row],[Plain]]</f>
        <v>0</v>
      </c>
      <c r="E84" s="185">
        <f ca="1">TblConstr[[#This Row],[Forest]]</f>
        <v>0</v>
      </c>
      <c r="F84" s="385">
        <f ca="1">TblConstr[[#This Row],[Mountain]]</f>
        <v>0</v>
      </c>
      <c r="G84" s="389">
        <f ca="1">TblConstr[[#This Row],[Hill]]</f>
        <v>0</v>
      </c>
      <c r="H84" s="393">
        <f ca="1">TblConstr[[#This Row],[Swamp]]</f>
        <v>0</v>
      </c>
      <c r="I84" s="188">
        <f ca="1">TblConstr[[#This Row],[Cavern]]</f>
        <v>0</v>
      </c>
      <c r="J84" s="189">
        <f ca="1">TblConstr[[#This Row],[Water]]</f>
        <v>0</v>
      </c>
      <c r="K84" s="221"/>
      <c r="L84" s="221"/>
      <c r="M84" s="221"/>
      <c r="N84" s="228">
        <f ca="1">TblMili[[#This Row],[Smithies]]</f>
        <v>0.18</v>
      </c>
      <c r="O84" s="228">
        <f ca="1">TblPop[[#This Row],[Employment]]</f>
        <v>1</v>
      </c>
      <c r="P84" s="228">
        <f ca="1">TblImps[[#This Row],[Population]]</f>
        <v>1</v>
      </c>
      <c r="Q84" s="178">
        <f ca="1">TblExplore[[#This Row],[Land]]</f>
        <v>700</v>
      </c>
      <c r="R84" s="178">
        <f>TblExplore[[#This Row],[Hour]]</f>
        <v>81</v>
      </c>
      <c r="S84" s="229"/>
      <c r="T84" s="182"/>
      <c r="U84" s="182"/>
      <c r="V84" s="182"/>
      <c r="W84" s="182"/>
      <c r="X84" s="182"/>
      <c r="Y84" s="182"/>
      <c r="Z84" s="182"/>
      <c r="AA84" s="162">
        <f ca="1">TblImps[[#This Row],[Real time]]</f>
        <v>45433.083333333139</v>
      </c>
      <c r="AB84" s="97">
        <f ca="1">TblMili[[#This Row],[Draftees]]</f>
        <v>475</v>
      </c>
      <c r="AC84" s="97">
        <f ca="1">TblProd[[#This Row],[Platinum]]</f>
        <v>336477</v>
      </c>
      <c r="AD84" s="226"/>
      <c r="AE84" s="45">
        <f ca="1">TblExplore[[#This Row],[Land]]-TblExplore[[#This Row],[Land Bonus]]*20</f>
        <v>700</v>
      </c>
      <c r="AF84" s="97">
        <f ca="1">ROUND(MAX(0.6*TblExplore[[#This Row],[Land-DB]]^1.299,850)*(1+ tech_2_6*Techs!AC84 + tech_2_9*Techs!AF84 + tech_3_7*Techs!AN84 + Overview!$I$32),0)</f>
        <v>2978</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67</v>
      </c>
    </row>
    <row r="85" spans="1:36" x14ac:dyDescent="0.2">
      <c r="A85" s="178">
        <f>TblRezone[[#This Row],[Hour]]</f>
        <v>82</v>
      </c>
      <c r="B85" s="225">
        <f ca="1">TblConstr[[#This Row],[Land]]</f>
        <v>700</v>
      </c>
      <c r="C85" s="226"/>
      <c r="D85" s="227">
        <f ca="1">TblConstr[[#This Row],[Plain]]</f>
        <v>0</v>
      </c>
      <c r="E85" s="185">
        <f ca="1">TblConstr[[#This Row],[Forest]]</f>
        <v>0</v>
      </c>
      <c r="F85" s="385">
        <f ca="1">TblConstr[[#This Row],[Mountain]]</f>
        <v>0</v>
      </c>
      <c r="G85" s="389">
        <f ca="1">TblConstr[[#This Row],[Hill]]</f>
        <v>0</v>
      </c>
      <c r="H85" s="393">
        <f ca="1">TblConstr[[#This Row],[Swamp]]</f>
        <v>0</v>
      </c>
      <c r="I85" s="188">
        <f ca="1">TblConstr[[#This Row],[Cavern]]</f>
        <v>0</v>
      </c>
      <c r="J85" s="189">
        <f ca="1">TblConstr[[#This Row],[Water]]</f>
        <v>0</v>
      </c>
      <c r="K85" s="221"/>
      <c r="L85" s="221"/>
      <c r="M85" s="221"/>
      <c r="N85" s="228">
        <f ca="1">TblMili[[#This Row],[Smithies]]</f>
        <v>0.18</v>
      </c>
      <c r="O85" s="228">
        <f ca="1">TblPop[[#This Row],[Employment]]</f>
        <v>1</v>
      </c>
      <c r="P85" s="228">
        <f ca="1">TblImps[[#This Row],[Population]]</f>
        <v>1</v>
      </c>
      <c r="Q85" s="178">
        <f ca="1">TblExplore[[#This Row],[Land]]</f>
        <v>700</v>
      </c>
      <c r="R85" s="178">
        <f>TblExplore[[#This Row],[Hour]]</f>
        <v>82</v>
      </c>
      <c r="S85" s="229"/>
      <c r="T85" s="182"/>
      <c r="U85" s="182"/>
      <c r="V85" s="182"/>
      <c r="W85" s="182"/>
      <c r="X85" s="182"/>
      <c r="Y85" s="182"/>
      <c r="Z85" s="182"/>
      <c r="AA85" s="162">
        <f ca="1">TblImps[[#This Row],[Real time]]</f>
        <v>45433.124999999804</v>
      </c>
      <c r="AB85" s="97">
        <f ca="1">TblMili[[#This Row],[Draftees]]</f>
        <v>567</v>
      </c>
      <c r="AC85" s="97">
        <f ca="1">TblProd[[#This Row],[Platinum]]</f>
        <v>381464</v>
      </c>
      <c r="AD85" s="226"/>
      <c r="AE85" s="45">
        <f ca="1">TblExplore[[#This Row],[Land]]-TblExplore[[#This Row],[Land Bonus]]*20</f>
        <v>700</v>
      </c>
      <c r="AF85" s="97">
        <f ca="1">ROUND(MAX(0.6*TblExplore[[#This Row],[Land-DB]]^1.299,850)*(1+ tech_2_6*Techs!AC85 + tech_2_9*Techs!AF85 + tech_3_7*Techs!AN85 + Overview!$I$32),0)</f>
        <v>2978</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81</v>
      </c>
    </row>
    <row r="86" spans="1:36" x14ac:dyDescent="0.2">
      <c r="A86" s="178">
        <f>TblRezone[[#This Row],[Hour]]</f>
        <v>83</v>
      </c>
      <c r="B86" s="225">
        <f ca="1">TblConstr[[#This Row],[Land]]</f>
        <v>700</v>
      </c>
      <c r="C86" s="226"/>
      <c r="D86" s="227">
        <f ca="1">TblConstr[[#This Row],[Plain]]</f>
        <v>0</v>
      </c>
      <c r="E86" s="185">
        <f ca="1">TblConstr[[#This Row],[Forest]]</f>
        <v>0</v>
      </c>
      <c r="F86" s="385">
        <f ca="1">TblConstr[[#This Row],[Mountain]]</f>
        <v>0</v>
      </c>
      <c r="G86" s="389">
        <f ca="1">TblConstr[[#This Row],[Hill]]</f>
        <v>0</v>
      </c>
      <c r="H86" s="393">
        <f ca="1">TblConstr[[#This Row],[Swamp]]</f>
        <v>0</v>
      </c>
      <c r="I86" s="188">
        <f ca="1">TblConstr[[#This Row],[Cavern]]</f>
        <v>0</v>
      </c>
      <c r="J86" s="189">
        <f ca="1">TblConstr[[#This Row],[Water]]</f>
        <v>0</v>
      </c>
      <c r="K86" s="221"/>
      <c r="L86" s="221"/>
      <c r="M86" s="221"/>
      <c r="N86" s="228">
        <f ca="1">TblMili[[#This Row],[Smithies]]</f>
        <v>0.18</v>
      </c>
      <c r="O86" s="228">
        <f ca="1">TblPop[[#This Row],[Employment]]</f>
        <v>1</v>
      </c>
      <c r="P86" s="228">
        <f ca="1">TblImps[[#This Row],[Population]]</f>
        <v>1</v>
      </c>
      <c r="Q86" s="178">
        <f ca="1">TblExplore[[#This Row],[Land]]</f>
        <v>700</v>
      </c>
      <c r="R86" s="178">
        <f>TblExplore[[#This Row],[Hour]]</f>
        <v>83</v>
      </c>
      <c r="S86" s="229"/>
      <c r="T86" s="182"/>
      <c r="U86" s="182"/>
      <c r="V86" s="182"/>
      <c r="W86" s="182"/>
      <c r="X86" s="182"/>
      <c r="Y86" s="182"/>
      <c r="Z86" s="182"/>
      <c r="AA86" s="162">
        <f ca="1">TblImps[[#This Row],[Real time]]</f>
        <v>45433.166666666468</v>
      </c>
      <c r="AB86" s="97">
        <f ca="1">TblMili[[#This Row],[Draftees]]</f>
        <v>658</v>
      </c>
      <c r="AC86" s="97">
        <f ca="1">TblProd[[#This Row],[Platinum]]</f>
        <v>426178</v>
      </c>
      <c r="AD86" s="226"/>
      <c r="AE86" s="45">
        <f ca="1">TblExplore[[#This Row],[Land]]-TblExplore[[#This Row],[Land Bonus]]*20</f>
        <v>700</v>
      </c>
      <c r="AF86" s="97">
        <f ca="1">ROUND(MAX(0.6*TblExplore[[#This Row],[Land-DB]]^1.299,850)*(1+ tech_2_6*Techs!AC86 + tech_2_9*Techs!AF86 + tech_3_7*Techs!AN86 + Overview!$I$32),0)</f>
        <v>2978</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94</v>
      </c>
    </row>
    <row r="87" spans="1:36" x14ac:dyDescent="0.2">
      <c r="A87" s="178">
        <f>TblRezone[[#This Row],[Hour]]</f>
        <v>84</v>
      </c>
      <c r="B87" s="225">
        <f ca="1">TblConstr[[#This Row],[Land]]</f>
        <v>700</v>
      </c>
      <c r="C87" s="226"/>
      <c r="D87" s="227">
        <f ca="1">TblConstr[[#This Row],[Plain]]</f>
        <v>0</v>
      </c>
      <c r="E87" s="185">
        <f ca="1">TblConstr[[#This Row],[Forest]]</f>
        <v>0</v>
      </c>
      <c r="F87" s="385">
        <f ca="1">TblConstr[[#This Row],[Mountain]]</f>
        <v>0</v>
      </c>
      <c r="G87" s="389">
        <f ca="1">TblConstr[[#This Row],[Hill]]</f>
        <v>0</v>
      </c>
      <c r="H87" s="393">
        <f ca="1">TblConstr[[#This Row],[Swamp]]</f>
        <v>0</v>
      </c>
      <c r="I87" s="188">
        <f ca="1">TblConstr[[#This Row],[Cavern]]</f>
        <v>0</v>
      </c>
      <c r="J87" s="189">
        <f ca="1">TblConstr[[#This Row],[Water]]</f>
        <v>0</v>
      </c>
      <c r="K87" s="221"/>
      <c r="L87" s="221"/>
      <c r="M87" s="230"/>
      <c r="N87" s="228">
        <f ca="1">TblMili[[#This Row],[Smithies]]</f>
        <v>0.18</v>
      </c>
      <c r="O87" s="228">
        <f ca="1">TblPop[[#This Row],[Employment]]</f>
        <v>1</v>
      </c>
      <c r="P87" s="228">
        <f ca="1">TblImps[[#This Row],[Population]]</f>
        <v>1</v>
      </c>
      <c r="Q87" s="178">
        <f ca="1">TblExplore[[#This Row],[Land]]</f>
        <v>700</v>
      </c>
      <c r="R87" s="178">
        <f>TblExplore[[#This Row],[Hour]]</f>
        <v>84</v>
      </c>
      <c r="S87" s="229"/>
      <c r="T87" s="161"/>
      <c r="U87" s="182"/>
      <c r="V87" s="182"/>
      <c r="W87" s="182"/>
      <c r="X87" s="182"/>
      <c r="Y87" s="182"/>
      <c r="Z87" s="182"/>
      <c r="AA87" s="162">
        <f ca="1">TblImps[[#This Row],[Real time]]</f>
        <v>45433.208333333132</v>
      </c>
      <c r="AB87" s="97">
        <f ca="1">TblMili[[#This Row],[Draftees]]</f>
        <v>749</v>
      </c>
      <c r="AC87" s="97">
        <f ca="1">TblProd[[#This Row],[Platinum]]</f>
        <v>470622</v>
      </c>
      <c r="AD87" s="226"/>
      <c r="AE87" s="45">
        <f ca="1">TblExplore[[#This Row],[Land]]-TblExplore[[#This Row],[Land Bonus]]*20</f>
        <v>700</v>
      </c>
      <c r="AF87" s="97">
        <f ca="1">ROUND(MAX(0.6*TblExplore[[#This Row],[Land-DB]]^1.299,850)*(1+ tech_2_6*Techs!AC87 + tech_2_9*Techs!AF87 + tech_3_7*Techs!AN87 + Overview!$I$32),0)</f>
        <v>2978</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107</v>
      </c>
    </row>
    <row r="88" spans="1:36" x14ac:dyDescent="0.2">
      <c r="A88" s="178">
        <f>TblRezone[[#This Row],[Hour]]</f>
        <v>85</v>
      </c>
      <c r="B88" s="225">
        <f ca="1">TblConstr[[#This Row],[Land]]</f>
        <v>700</v>
      </c>
      <c r="C88" s="226"/>
      <c r="D88" s="227">
        <f ca="1">TblConstr[[#This Row],[Plain]]</f>
        <v>0</v>
      </c>
      <c r="E88" s="185">
        <f ca="1">TblConstr[[#This Row],[Forest]]</f>
        <v>0</v>
      </c>
      <c r="F88" s="385">
        <f ca="1">TblConstr[[#This Row],[Mountain]]</f>
        <v>0</v>
      </c>
      <c r="G88" s="389">
        <f ca="1">TblConstr[[#This Row],[Hill]]</f>
        <v>0</v>
      </c>
      <c r="H88" s="393">
        <f ca="1">TblConstr[[#This Row],[Swamp]]</f>
        <v>0</v>
      </c>
      <c r="I88" s="188">
        <f ca="1">TblConstr[[#This Row],[Cavern]]</f>
        <v>0</v>
      </c>
      <c r="J88" s="189">
        <f ca="1">TblConstr[[#This Row],[Water]]</f>
        <v>0</v>
      </c>
      <c r="K88" s="221"/>
      <c r="L88" s="221"/>
      <c r="M88" s="221"/>
      <c r="N88" s="228">
        <f ca="1">TblMili[[#This Row],[Smithies]]</f>
        <v>0.18</v>
      </c>
      <c r="O88" s="228">
        <f ca="1">TblPop[[#This Row],[Employment]]</f>
        <v>1</v>
      </c>
      <c r="P88" s="228">
        <f ca="1">TblImps[[#This Row],[Population]]</f>
        <v>1</v>
      </c>
      <c r="Q88" s="178">
        <f ca="1">TblExplore[[#This Row],[Land]]</f>
        <v>700</v>
      </c>
      <c r="R88" s="178">
        <f>TblExplore[[#This Row],[Hour]]</f>
        <v>85</v>
      </c>
      <c r="S88" s="229"/>
      <c r="T88" s="182"/>
      <c r="U88" s="182"/>
      <c r="V88" s="182"/>
      <c r="W88" s="182"/>
      <c r="X88" s="182"/>
      <c r="Y88" s="182"/>
      <c r="Z88" s="182"/>
      <c r="AA88" s="162">
        <f ca="1">TblImps[[#This Row],[Real time]]</f>
        <v>45433.249999999796</v>
      </c>
      <c r="AB88" s="97">
        <f ca="1">TblMili[[#This Row],[Draftees]]</f>
        <v>839</v>
      </c>
      <c r="AC88" s="97">
        <f ca="1">TblProd[[#This Row],[Platinum]]</f>
        <v>514796</v>
      </c>
      <c r="AD88" s="226"/>
      <c r="AE88" s="45">
        <f ca="1">TblExplore[[#This Row],[Land]]-TblExplore[[#This Row],[Land Bonus]]*20</f>
        <v>700</v>
      </c>
      <c r="AF88" s="97">
        <f ca="1">ROUND(MAX(0.6*TblExplore[[#This Row],[Land-DB]]^1.299,850)*(1+ tech_2_6*Techs!AC88 + tech_2_9*Techs!AF88 + tech_3_7*Techs!AN88 + Overview!$I$32),0)</f>
        <v>2978</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119</v>
      </c>
    </row>
    <row r="89" spans="1:36" x14ac:dyDescent="0.2">
      <c r="A89" s="178">
        <f>TblRezone[[#This Row],[Hour]]</f>
        <v>86</v>
      </c>
      <c r="B89" s="225">
        <f ca="1">TblConstr[[#This Row],[Land]]</f>
        <v>700</v>
      </c>
      <c r="C89" s="226"/>
      <c r="D89" s="227">
        <f ca="1">TblConstr[[#This Row],[Plain]]</f>
        <v>0</v>
      </c>
      <c r="E89" s="185">
        <f ca="1">TblConstr[[#This Row],[Forest]]</f>
        <v>0</v>
      </c>
      <c r="F89" s="385">
        <f ca="1">TblConstr[[#This Row],[Mountain]]</f>
        <v>0</v>
      </c>
      <c r="G89" s="389">
        <f ca="1">TblConstr[[#This Row],[Hill]]</f>
        <v>0</v>
      </c>
      <c r="H89" s="393">
        <f ca="1">TblConstr[[#This Row],[Swamp]]</f>
        <v>0</v>
      </c>
      <c r="I89" s="188">
        <f ca="1">TblConstr[[#This Row],[Cavern]]</f>
        <v>0</v>
      </c>
      <c r="J89" s="189">
        <f ca="1">TblConstr[[#This Row],[Water]]</f>
        <v>0</v>
      </c>
      <c r="K89" s="221"/>
      <c r="L89" s="221"/>
      <c r="M89" s="234"/>
      <c r="N89" s="228">
        <f ca="1">TblMili[[#This Row],[Smithies]]</f>
        <v>0.18</v>
      </c>
      <c r="O89" s="228">
        <f ca="1">TblPop[[#This Row],[Employment]]</f>
        <v>1</v>
      </c>
      <c r="P89" s="228">
        <f ca="1">TblImps[[#This Row],[Population]]</f>
        <v>1</v>
      </c>
      <c r="Q89" s="178">
        <f ca="1">TblExplore[[#This Row],[Land]]</f>
        <v>700</v>
      </c>
      <c r="R89" s="178">
        <f>TblExplore[[#This Row],[Hour]]</f>
        <v>86</v>
      </c>
      <c r="S89" s="229"/>
      <c r="T89" s="182"/>
      <c r="U89" s="182"/>
      <c r="V89" s="182"/>
      <c r="W89" s="182"/>
      <c r="X89" s="182"/>
      <c r="Y89" s="182"/>
      <c r="Z89" s="182"/>
      <c r="AA89" s="162">
        <f ca="1">TblImps[[#This Row],[Real time]]</f>
        <v>45433.291666666461</v>
      </c>
      <c r="AB89" s="97">
        <f ca="1">TblMili[[#This Row],[Draftees]]</f>
        <v>928</v>
      </c>
      <c r="AC89" s="97">
        <f ca="1">TblProd[[#This Row],[Platinum]]</f>
        <v>558702</v>
      </c>
      <c r="AD89" s="226"/>
      <c r="AE89" s="45">
        <f ca="1">TblExplore[[#This Row],[Land]]-TblExplore[[#This Row],[Land Bonus]]*20</f>
        <v>700</v>
      </c>
      <c r="AF89" s="97">
        <f ca="1">ROUND(MAX(0.6*TblExplore[[#This Row],[Land-DB]]^1.299,850)*(1+ tech_2_6*Techs!AC89 + tech_2_9*Techs!AF89 + tech_3_7*Techs!AN89 + Overview!$I$32),0)</f>
        <v>2978</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132</v>
      </c>
    </row>
    <row r="90" spans="1:36" x14ac:dyDescent="0.2">
      <c r="A90" s="178">
        <f>TblRezone[[#This Row],[Hour]]</f>
        <v>87</v>
      </c>
      <c r="B90" s="225">
        <f ca="1">TblConstr[[#This Row],[Land]]</f>
        <v>700</v>
      </c>
      <c r="C90" s="226"/>
      <c r="D90" s="227">
        <f ca="1">TblConstr[[#This Row],[Plain]]</f>
        <v>0</v>
      </c>
      <c r="E90" s="185">
        <f ca="1">TblConstr[[#This Row],[Forest]]</f>
        <v>0</v>
      </c>
      <c r="F90" s="385">
        <f ca="1">TblConstr[[#This Row],[Mountain]]</f>
        <v>0</v>
      </c>
      <c r="G90" s="389">
        <f ca="1">TblConstr[[#This Row],[Hill]]</f>
        <v>0</v>
      </c>
      <c r="H90" s="393">
        <f ca="1">TblConstr[[#This Row],[Swamp]]</f>
        <v>0</v>
      </c>
      <c r="I90" s="188">
        <f ca="1">TblConstr[[#This Row],[Cavern]]</f>
        <v>0</v>
      </c>
      <c r="J90" s="189">
        <f ca="1">TblConstr[[#This Row],[Water]]</f>
        <v>0</v>
      </c>
      <c r="K90" s="221"/>
      <c r="L90" s="221"/>
      <c r="M90" s="234"/>
      <c r="N90" s="228">
        <f ca="1">TblMili[[#This Row],[Smithies]]</f>
        <v>0.18</v>
      </c>
      <c r="O90" s="228">
        <f ca="1">TblPop[[#This Row],[Employment]]</f>
        <v>1</v>
      </c>
      <c r="P90" s="228">
        <f ca="1">TblImps[[#This Row],[Population]]</f>
        <v>1</v>
      </c>
      <c r="Q90" s="178">
        <f ca="1">TblExplore[[#This Row],[Land]]</f>
        <v>700</v>
      </c>
      <c r="R90" s="178">
        <f>TblExplore[[#This Row],[Hour]]</f>
        <v>87</v>
      </c>
      <c r="S90" s="229"/>
      <c r="T90" s="182"/>
      <c r="U90" s="182"/>
      <c r="V90" s="182"/>
      <c r="W90" s="182"/>
      <c r="X90" s="182"/>
      <c r="Y90" s="182"/>
      <c r="Z90" s="182"/>
      <c r="AA90" s="162">
        <f ca="1">TblImps[[#This Row],[Real time]]</f>
        <v>45433.333333333125</v>
      </c>
      <c r="AB90" s="97">
        <f ca="1">TblMili[[#This Row],[Draftees]]</f>
        <v>1016</v>
      </c>
      <c r="AC90" s="97">
        <f ca="1">TblProd[[#This Row],[Platinum]]</f>
        <v>602344</v>
      </c>
      <c r="AD90" s="226"/>
      <c r="AE90" s="45">
        <f ca="1">TblExplore[[#This Row],[Land]]-TblExplore[[#This Row],[Land Bonus]]*20</f>
        <v>700</v>
      </c>
      <c r="AF90" s="97">
        <f ca="1">ROUND(MAX(0.6*TblExplore[[#This Row],[Land-DB]]^1.299,850)*(1+ tech_2_6*Techs!AC90 + tech_2_9*Techs!AF90 + tech_3_7*Techs!AN90 + Overview!$I$32),0)</f>
        <v>2978</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145</v>
      </c>
    </row>
    <row r="91" spans="1:36" x14ac:dyDescent="0.2">
      <c r="A91" s="178">
        <f>TblRezone[[#This Row],[Hour]]</f>
        <v>88</v>
      </c>
      <c r="B91" s="225">
        <f ca="1">TblConstr[[#This Row],[Land]]</f>
        <v>700</v>
      </c>
      <c r="C91" s="226"/>
      <c r="D91" s="227">
        <f ca="1">TblConstr[[#This Row],[Plain]]</f>
        <v>0</v>
      </c>
      <c r="E91" s="185">
        <f ca="1">TblConstr[[#This Row],[Forest]]</f>
        <v>0</v>
      </c>
      <c r="F91" s="385">
        <f ca="1">TblConstr[[#This Row],[Mountain]]</f>
        <v>0</v>
      </c>
      <c r="G91" s="389">
        <f ca="1">TblConstr[[#This Row],[Hill]]</f>
        <v>0</v>
      </c>
      <c r="H91" s="393">
        <f ca="1">TblConstr[[#This Row],[Swamp]]</f>
        <v>0</v>
      </c>
      <c r="I91" s="188">
        <f ca="1">TblConstr[[#This Row],[Cavern]]</f>
        <v>0</v>
      </c>
      <c r="J91" s="189">
        <f ca="1">TblConstr[[#This Row],[Water]]</f>
        <v>0</v>
      </c>
      <c r="K91" s="221"/>
      <c r="L91" s="221"/>
      <c r="M91" s="234"/>
      <c r="N91" s="228">
        <f ca="1">TblMili[[#This Row],[Smithies]]</f>
        <v>0.18</v>
      </c>
      <c r="O91" s="228">
        <f ca="1">TblPop[[#This Row],[Employment]]</f>
        <v>1</v>
      </c>
      <c r="P91" s="228">
        <f ca="1">TblImps[[#This Row],[Population]]</f>
        <v>1</v>
      </c>
      <c r="Q91" s="178">
        <f ca="1">TblExplore[[#This Row],[Land]]</f>
        <v>700</v>
      </c>
      <c r="R91" s="178">
        <f>TblExplore[[#This Row],[Hour]]</f>
        <v>88</v>
      </c>
      <c r="S91" s="229"/>
      <c r="T91" s="161"/>
      <c r="U91" s="182"/>
      <c r="V91" s="182"/>
      <c r="W91" s="182"/>
      <c r="X91" s="182"/>
      <c r="Y91" s="182"/>
      <c r="Z91" s="182"/>
      <c r="AA91" s="162">
        <f ca="1">TblImps[[#This Row],[Real time]]</f>
        <v>45433.374999999789</v>
      </c>
      <c r="AB91" s="97">
        <f ca="1">TblMili[[#This Row],[Draftees]]</f>
        <v>1103</v>
      </c>
      <c r="AC91" s="97">
        <f ca="1">TblProd[[#This Row],[Platinum]]</f>
        <v>645725</v>
      </c>
      <c r="AD91" s="226"/>
      <c r="AE91" s="45">
        <f ca="1">TblExplore[[#This Row],[Land]]-TblExplore[[#This Row],[Land Bonus]]*20</f>
        <v>700</v>
      </c>
      <c r="AF91" s="97">
        <f ca="1">ROUND(MAX(0.6*TblExplore[[#This Row],[Land-DB]]^1.299,850)*(1+ tech_2_6*Techs!AC91 + tech_2_9*Techs!AF91 + tech_3_7*Techs!AN91 + Overview!$I$32),0)</f>
        <v>2978</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157</v>
      </c>
    </row>
    <row r="92" spans="1:36" x14ac:dyDescent="0.2">
      <c r="A92" s="178">
        <f>TblRezone[[#This Row],[Hour]]</f>
        <v>89</v>
      </c>
      <c r="B92" s="225">
        <f ca="1">TblConstr[[#This Row],[Land]]</f>
        <v>700</v>
      </c>
      <c r="C92" s="226"/>
      <c r="D92" s="227">
        <f ca="1">TblConstr[[#This Row],[Plain]]</f>
        <v>0</v>
      </c>
      <c r="E92" s="185">
        <f ca="1">TblConstr[[#This Row],[Forest]]</f>
        <v>0</v>
      </c>
      <c r="F92" s="385">
        <f ca="1">TblConstr[[#This Row],[Mountain]]</f>
        <v>0</v>
      </c>
      <c r="G92" s="389">
        <f ca="1">TblConstr[[#This Row],[Hill]]</f>
        <v>0</v>
      </c>
      <c r="H92" s="393">
        <f ca="1">TblConstr[[#This Row],[Swamp]]</f>
        <v>0</v>
      </c>
      <c r="I92" s="188">
        <f ca="1">TblConstr[[#This Row],[Cavern]]</f>
        <v>0</v>
      </c>
      <c r="J92" s="189">
        <f ca="1">TblConstr[[#This Row],[Water]]</f>
        <v>0</v>
      </c>
      <c r="K92" s="221"/>
      <c r="L92" s="221"/>
      <c r="M92" s="234"/>
      <c r="N92" s="228">
        <f ca="1">TblMili[[#This Row],[Smithies]]</f>
        <v>0.18</v>
      </c>
      <c r="O92" s="228">
        <f ca="1">TblPop[[#This Row],[Employment]]</f>
        <v>1</v>
      </c>
      <c r="P92" s="228">
        <f ca="1">TblImps[[#This Row],[Population]]</f>
        <v>1</v>
      </c>
      <c r="Q92" s="178">
        <f ca="1">TblExplore[[#This Row],[Land]]</f>
        <v>700</v>
      </c>
      <c r="R92" s="178">
        <f>TblExplore[[#This Row],[Hour]]</f>
        <v>89</v>
      </c>
      <c r="S92" s="229"/>
      <c r="T92" s="161"/>
      <c r="U92" s="182"/>
      <c r="V92" s="182"/>
      <c r="W92" s="182"/>
      <c r="X92" s="182"/>
      <c r="Y92" s="182"/>
      <c r="Z92" s="182"/>
      <c r="AA92" s="162">
        <f ca="1">TblImps[[#This Row],[Real time]]</f>
        <v>45433.416666666453</v>
      </c>
      <c r="AB92" s="97">
        <f ca="1">TblMili[[#This Row],[Draftees]]</f>
        <v>1189</v>
      </c>
      <c r="AC92" s="97">
        <f ca="1">TblProd[[#This Row],[Platinum]]</f>
        <v>688847</v>
      </c>
      <c r="AD92" s="226"/>
      <c r="AE92" s="45">
        <f ca="1">TblExplore[[#This Row],[Land]]-TblExplore[[#This Row],[Land Bonus]]*20</f>
        <v>700</v>
      </c>
      <c r="AF92" s="97">
        <f ca="1">ROUND(MAX(0.6*TblExplore[[#This Row],[Land-DB]]^1.299,850)*(1+ tech_2_6*Techs!AC92 + tech_2_9*Techs!AF92 + tech_3_7*Techs!AN92 + Overview!$I$32),0)</f>
        <v>2978</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169</v>
      </c>
    </row>
    <row r="93" spans="1:36" x14ac:dyDescent="0.2">
      <c r="A93" s="178">
        <f>TblRezone[[#This Row],[Hour]]</f>
        <v>90</v>
      </c>
      <c r="B93" s="225">
        <f ca="1">TblConstr[[#This Row],[Land]]</f>
        <v>700</v>
      </c>
      <c r="C93" s="226"/>
      <c r="D93" s="227">
        <f ca="1">TblConstr[[#This Row],[Plain]]</f>
        <v>0</v>
      </c>
      <c r="E93" s="185">
        <f ca="1">TblConstr[[#This Row],[Forest]]</f>
        <v>0</v>
      </c>
      <c r="F93" s="385">
        <f ca="1">TblConstr[[#This Row],[Mountain]]</f>
        <v>0</v>
      </c>
      <c r="G93" s="389">
        <f ca="1">TblConstr[[#This Row],[Hill]]</f>
        <v>0</v>
      </c>
      <c r="H93" s="393">
        <f ca="1">TblConstr[[#This Row],[Swamp]]</f>
        <v>0</v>
      </c>
      <c r="I93" s="188">
        <f ca="1">TblConstr[[#This Row],[Cavern]]</f>
        <v>0</v>
      </c>
      <c r="J93" s="189">
        <f ca="1">TblConstr[[#This Row],[Water]]</f>
        <v>0</v>
      </c>
      <c r="K93" s="221"/>
      <c r="L93" s="221"/>
      <c r="M93" s="234"/>
      <c r="N93" s="228">
        <f ca="1">TblMili[[#This Row],[Smithies]]</f>
        <v>0.18</v>
      </c>
      <c r="O93" s="228">
        <f ca="1">TblPop[[#This Row],[Employment]]</f>
        <v>1</v>
      </c>
      <c r="P93" s="228">
        <f ca="1">TblImps[[#This Row],[Population]]</f>
        <v>1</v>
      </c>
      <c r="Q93" s="178">
        <f ca="1">TblExplore[[#This Row],[Land]]</f>
        <v>700</v>
      </c>
      <c r="R93" s="178">
        <f>TblExplore[[#This Row],[Hour]]</f>
        <v>90</v>
      </c>
      <c r="S93" s="229"/>
      <c r="T93" s="182"/>
      <c r="U93" s="182"/>
      <c r="V93" s="182"/>
      <c r="W93" s="182"/>
      <c r="X93" s="182"/>
      <c r="Y93" s="182"/>
      <c r="Z93" s="182"/>
      <c r="AA93" s="162">
        <f ca="1">TblImps[[#This Row],[Real time]]</f>
        <v>45433.458333333117</v>
      </c>
      <c r="AB93" s="97">
        <f ca="1">TblMili[[#This Row],[Draftees]]</f>
        <v>1274</v>
      </c>
      <c r="AC93" s="97">
        <f ca="1">TblProd[[#This Row],[Platinum]]</f>
        <v>731714</v>
      </c>
      <c r="AD93" s="226"/>
      <c r="AE93" s="45">
        <f ca="1">TblExplore[[#This Row],[Land]]-TblExplore[[#This Row],[Land Bonus]]*20</f>
        <v>700</v>
      </c>
      <c r="AF93" s="97">
        <f ca="1">ROUND(MAX(0.6*TblExplore[[#This Row],[Land-DB]]^1.299,850)*(1+ tech_2_6*Techs!AC93 + tech_2_9*Techs!AF93 + tech_3_7*Techs!AN93 + Overview!$I$32),0)</f>
        <v>2978</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182</v>
      </c>
    </row>
    <row r="94" spans="1:36" x14ac:dyDescent="0.2">
      <c r="A94" s="178">
        <f>TblRezone[[#This Row],[Hour]]</f>
        <v>91</v>
      </c>
      <c r="B94" s="225">
        <f ca="1">TblConstr[[#This Row],[Land]]</f>
        <v>700</v>
      </c>
      <c r="C94" s="226"/>
      <c r="D94" s="227">
        <f ca="1">TblConstr[[#This Row],[Plain]]</f>
        <v>0</v>
      </c>
      <c r="E94" s="185">
        <f ca="1">TblConstr[[#This Row],[Forest]]</f>
        <v>0</v>
      </c>
      <c r="F94" s="385">
        <f ca="1">TblConstr[[#This Row],[Mountain]]</f>
        <v>0</v>
      </c>
      <c r="G94" s="389">
        <f ca="1">TblConstr[[#This Row],[Hill]]</f>
        <v>0</v>
      </c>
      <c r="H94" s="393">
        <f ca="1">TblConstr[[#This Row],[Swamp]]</f>
        <v>0</v>
      </c>
      <c r="I94" s="188">
        <f ca="1">TblConstr[[#This Row],[Cavern]]</f>
        <v>0</v>
      </c>
      <c r="J94" s="189">
        <f ca="1">TblConstr[[#This Row],[Water]]</f>
        <v>0</v>
      </c>
      <c r="K94" s="221"/>
      <c r="L94" s="221"/>
      <c r="M94" s="234"/>
      <c r="N94" s="228">
        <f ca="1">TblMili[[#This Row],[Smithies]]</f>
        <v>0.18</v>
      </c>
      <c r="O94" s="228">
        <f ca="1">TblPop[[#This Row],[Employment]]</f>
        <v>1</v>
      </c>
      <c r="P94" s="228">
        <f ca="1">TblImps[[#This Row],[Population]]</f>
        <v>1</v>
      </c>
      <c r="Q94" s="178">
        <f ca="1">TblExplore[[#This Row],[Land]]</f>
        <v>700</v>
      </c>
      <c r="R94" s="178">
        <f>TblExplore[[#This Row],[Hour]]</f>
        <v>91</v>
      </c>
      <c r="S94" s="229"/>
      <c r="T94" s="182"/>
      <c r="U94" s="182"/>
      <c r="V94" s="182"/>
      <c r="W94" s="182"/>
      <c r="X94" s="182"/>
      <c r="Y94" s="182"/>
      <c r="Z94" s="182"/>
      <c r="AA94" s="162">
        <f ca="1">TblImps[[#This Row],[Real time]]</f>
        <v>45433.499999999782</v>
      </c>
      <c r="AB94" s="97">
        <f ca="1">TblMili[[#This Row],[Draftees]]</f>
        <v>1358</v>
      </c>
      <c r="AC94" s="97">
        <f ca="1">TblProd[[#This Row],[Platinum]]</f>
        <v>774328</v>
      </c>
      <c r="AD94" s="226"/>
      <c r="AE94" s="45">
        <f ca="1">TblExplore[[#This Row],[Land]]-TblExplore[[#This Row],[Land Bonus]]*20</f>
        <v>700</v>
      </c>
      <c r="AF94" s="97">
        <f ca="1">ROUND(MAX(0.6*TblExplore[[#This Row],[Land-DB]]^1.299,850)*(1+ tech_2_6*Techs!AC94 + tech_2_9*Techs!AF94 + tech_3_7*Techs!AN94 + Overview!$I$32),0)</f>
        <v>2978</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700</v>
      </c>
      <c r="C95" s="226"/>
      <c r="D95" s="227">
        <f ca="1">TblConstr[[#This Row],[Plain]]</f>
        <v>0</v>
      </c>
      <c r="E95" s="185">
        <f ca="1">TblConstr[[#This Row],[Forest]]</f>
        <v>0</v>
      </c>
      <c r="F95" s="385">
        <f ca="1">TblConstr[[#This Row],[Mountain]]</f>
        <v>0</v>
      </c>
      <c r="G95" s="389">
        <f ca="1">TblConstr[[#This Row],[Hill]]</f>
        <v>0</v>
      </c>
      <c r="H95" s="393">
        <f ca="1">TblConstr[[#This Row],[Swamp]]</f>
        <v>0</v>
      </c>
      <c r="I95" s="188">
        <f ca="1">TblConstr[[#This Row],[Cavern]]</f>
        <v>0</v>
      </c>
      <c r="J95" s="189">
        <f ca="1">TblConstr[[#This Row],[Water]]</f>
        <v>0</v>
      </c>
      <c r="K95" s="221"/>
      <c r="L95" s="221"/>
      <c r="M95" s="234"/>
      <c r="N95" s="228">
        <f ca="1">TblMili[[#This Row],[Smithies]]</f>
        <v>0.18</v>
      </c>
      <c r="O95" s="228">
        <f ca="1">TblPop[[#This Row],[Employment]]</f>
        <v>1</v>
      </c>
      <c r="P95" s="228">
        <f ca="1">TblImps[[#This Row],[Population]]</f>
        <v>1</v>
      </c>
      <c r="Q95" s="178">
        <f ca="1">TblExplore[[#This Row],[Land]]</f>
        <v>700</v>
      </c>
      <c r="R95" s="178">
        <f>TblExplore[[#This Row],[Hour]]</f>
        <v>92</v>
      </c>
      <c r="S95" s="229"/>
      <c r="T95" s="182"/>
      <c r="U95" s="182"/>
      <c r="V95" s="182"/>
      <c r="W95" s="182"/>
      <c r="X95" s="182"/>
      <c r="Y95" s="182"/>
      <c r="Z95" s="182"/>
      <c r="AA95" s="162">
        <f ca="1">TblImps[[#This Row],[Real time]]</f>
        <v>45433.541666666446</v>
      </c>
      <c r="AB95" s="97">
        <f ca="1">TblMili[[#This Row],[Draftees]]</f>
        <v>1442</v>
      </c>
      <c r="AC95" s="97">
        <f ca="1">TblProd[[#This Row],[Platinum]]</f>
        <v>816693</v>
      </c>
      <c r="AD95" s="226"/>
      <c r="AE95" s="45">
        <f ca="1">TblExplore[[#This Row],[Land]]-TblExplore[[#This Row],[Land Bonus]]*20</f>
        <v>700</v>
      </c>
      <c r="AF95" s="97">
        <f ca="1">ROUND(MAX(0.6*TblExplore[[#This Row],[Land-DB]]^1.299,850)*(1+ tech_2_6*Techs!AC95 + tech_2_9*Techs!AF95 + tech_3_7*Techs!AN95 + Overview!$I$32),0)</f>
        <v>2978</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206</v>
      </c>
    </row>
    <row r="96" spans="1:36" x14ac:dyDescent="0.2">
      <c r="A96" s="178">
        <f>TblRezone[[#This Row],[Hour]]</f>
        <v>93</v>
      </c>
      <c r="B96" s="225">
        <f ca="1">TblConstr[[#This Row],[Land]]</f>
        <v>700</v>
      </c>
      <c r="C96" s="226"/>
      <c r="D96" s="227">
        <f ca="1">TblConstr[[#This Row],[Plain]]</f>
        <v>0</v>
      </c>
      <c r="E96" s="185">
        <f ca="1">TblConstr[[#This Row],[Forest]]</f>
        <v>0</v>
      </c>
      <c r="F96" s="385">
        <f ca="1">TblConstr[[#This Row],[Mountain]]</f>
        <v>0</v>
      </c>
      <c r="G96" s="389">
        <f ca="1">TblConstr[[#This Row],[Hill]]</f>
        <v>0</v>
      </c>
      <c r="H96" s="393">
        <f ca="1">TblConstr[[#This Row],[Swamp]]</f>
        <v>0</v>
      </c>
      <c r="I96" s="188">
        <f ca="1">TblConstr[[#This Row],[Cavern]]</f>
        <v>0</v>
      </c>
      <c r="J96" s="189">
        <f ca="1">TblConstr[[#This Row],[Water]]</f>
        <v>0</v>
      </c>
      <c r="K96" s="221"/>
      <c r="L96" s="221"/>
      <c r="M96" s="221"/>
      <c r="N96" s="228">
        <f ca="1">TblMili[[#This Row],[Smithies]]</f>
        <v>0.18</v>
      </c>
      <c r="O96" s="228">
        <f ca="1">TblPop[[#This Row],[Employment]]</f>
        <v>1</v>
      </c>
      <c r="P96" s="228">
        <f ca="1">TblImps[[#This Row],[Population]]</f>
        <v>1</v>
      </c>
      <c r="Q96" s="178">
        <f ca="1">TblExplore[[#This Row],[Land]]</f>
        <v>700</v>
      </c>
      <c r="R96" s="225">
        <f>TblExplore[[#This Row],[Hour]]</f>
        <v>93</v>
      </c>
      <c r="S96" s="229"/>
      <c r="T96" s="182"/>
      <c r="U96" s="182"/>
      <c r="V96" s="182"/>
      <c r="W96" s="182"/>
      <c r="X96" s="182"/>
      <c r="Y96" s="182"/>
      <c r="Z96" s="182"/>
      <c r="AA96" s="162">
        <f ca="1">TblImps[[#This Row],[Real time]]</f>
        <v>45433.58333333311</v>
      </c>
      <c r="AB96" s="97">
        <f ca="1">TblMili[[#This Row],[Draftees]]</f>
        <v>1525</v>
      </c>
      <c r="AC96" s="97">
        <f ca="1">TblProd[[#This Row],[Platinum]]</f>
        <v>858808</v>
      </c>
      <c r="AD96" s="226"/>
      <c r="AE96" s="45">
        <f ca="1">TblExplore[[#This Row],[Land]]-TblExplore[[#This Row],[Land Bonus]]*20</f>
        <v>700</v>
      </c>
      <c r="AF96" s="97">
        <f ca="1">ROUND(MAX(0.6*TblExplore[[#This Row],[Land-DB]]^1.299,850)*(1+ tech_2_6*Techs!AC96 + tech_2_9*Techs!AF96 + tech_3_7*Techs!AN96 + Overview!$I$32),0)</f>
        <v>2978</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217</v>
      </c>
    </row>
    <row r="97" spans="1:36" x14ac:dyDescent="0.2">
      <c r="A97" s="178">
        <f>TblRezone[[#This Row],[Hour]]</f>
        <v>94</v>
      </c>
      <c r="B97" s="225">
        <f ca="1">TblConstr[[#This Row],[Land]]</f>
        <v>700</v>
      </c>
      <c r="C97" s="226"/>
      <c r="D97" s="227">
        <f ca="1">TblConstr[[#This Row],[Plain]]</f>
        <v>0</v>
      </c>
      <c r="E97" s="185">
        <f ca="1">TblConstr[[#This Row],[Forest]]</f>
        <v>0</v>
      </c>
      <c r="F97" s="385">
        <f ca="1">TblConstr[[#This Row],[Mountain]]</f>
        <v>0</v>
      </c>
      <c r="G97" s="389">
        <f ca="1">TblConstr[[#This Row],[Hill]]</f>
        <v>0</v>
      </c>
      <c r="H97" s="393">
        <f ca="1">TblConstr[[#This Row],[Swamp]]</f>
        <v>0</v>
      </c>
      <c r="I97" s="188">
        <f ca="1">TblConstr[[#This Row],[Cavern]]</f>
        <v>0</v>
      </c>
      <c r="J97" s="189">
        <f ca="1">TblConstr[[#This Row],[Water]]</f>
        <v>0</v>
      </c>
      <c r="K97" s="221"/>
      <c r="L97" s="221"/>
      <c r="M97" s="221"/>
      <c r="N97" s="228">
        <f ca="1">TblMili[[#This Row],[Smithies]]</f>
        <v>0.18</v>
      </c>
      <c r="O97" s="228">
        <f ca="1">TblPop[[#This Row],[Employment]]</f>
        <v>1</v>
      </c>
      <c r="P97" s="228">
        <f ca="1">TblImps[[#This Row],[Population]]</f>
        <v>1</v>
      </c>
      <c r="Q97" s="178">
        <f ca="1">TblExplore[[#This Row],[Land]]</f>
        <v>700</v>
      </c>
      <c r="R97" s="225">
        <f>TblExplore[[#This Row],[Hour]]</f>
        <v>94</v>
      </c>
      <c r="S97" s="229"/>
      <c r="T97" s="182"/>
      <c r="U97" s="182"/>
      <c r="V97" s="182"/>
      <c r="W97" s="182"/>
      <c r="X97" s="182"/>
      <c r="Y97" s="182"/>
      <c r="Z97" s="182"/>
      <c r="AA97" s="162">
        <f ca="1">TblImps[[#This Row],[Real time]]</f>
        <v>45433.624999999774</v>
      </c>
      <c r="AB97" s="97">
        <f ca="1">TblMili[[#This Row],[Draftees]]</f>
        <v>1607</v>
      </c>
      <c r="AC97" s="97">
        <f ca="1">TblProd[[#This Row],[Platinum]]</f>
        <v>900677</v>
      </c>
      <c r="AD97" s="226"/>
      <c r="AE97" s="45">
        <f ca="1">TblExplore[[#This Row],[Land]]-TblExplore[[#This Row],[Land Bonus]]*20</f>
        <v>700</v>
      </c>
      <c r="AF97" s="97">
        <f ca="1">ROUND(MAX(0.6*TblExplore[[#This Row],[Land-DB]]^1.299,850)*(1+ tech_2_6*Techs!AC97 + tech_2_9*Techs!AF97 + tech_3_7*Techs!AN97 + Overview!$I$32),0)</f>
        <v>2978</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229</v>
      </c>
    </row>
    <row r="98" spans="1:36" x14ac:dyDescent="0.2">
      <c r="A98" s="178">
        <f>TblRezone[[#This Row],[Hour]]</f>
        <v>95</v>
      </c>
      <c r="B98" s="225">
        <f ca="1">TblConstr[[#This Row],[Land]]</f>
        <v>700</v>
      </c>
      <c r="C98" s="226"/>
      <c r="D98" s="227">
        <f ca="1">TblConstr[[#This Row],[Plain]]</f>
        <v>0</v>
      </c>
      <c r="E98" s="185">
        <f ca="1">TblConstr[[#This Row],[Forest]]</f>
        <v>0</v>
      </c>
      <c r="F98" s="385">
        <f ca="1">TblConstr[[#This Row],[Mountain]]</f>
        <v>0</v>
      </c>
      <c r="G98" s="389">
        <f ca="1">TblConstr[[#This Row],[Hill]]</f>
        <v>0</v>
      </c>
      <c r="H98" s="393">
        <f ca="1">TblConstr[[#This Row],[Swamp]]</f>
        <v>0</v>
      </c>
      <c r="I98" s="188">
        <f ca="1">TblConstr[[#This Row],[Cavern]]</f>
        <v>0</v>
      </c>
      <c r="J98" s="189">
        <f ca="1">TblConstr[[#This Row],[Water]]</f>
        <v>0</v>
      </c>
      <c r="K98" s="221"/>
      <c r="L98" s="221"/>
      <c r="M98" s="234"/>
      <c r="N98" s="228">
        <f ca="1">TblMili[[#This Row],[Smithies]]</f>
        <v>0.18</v>
      </c>
      <c r="O98" s="228">
        <f ca="1">TblPop[[#This Row],[Employment]]</f>
        <v>1</v>
      </c>
      <c r="P98" s="228">
        <f ca="1">TblImps[[#This Row],[Population]]</f>
        <v>1</v>
      </c>
      <c r="Q98" s="178">
        <f ca="1">TblExplore[[#This Row],[Land]]</f>
        <v>700</v>
      </c>
      <c r="R98" s="178">
        <f>TblExplore[[#This Row],[Hour]]</f>
        <v>95</v>
      </c>
      <c r="S98" s="229"/>
      <c r="T98" s="182"/>
      <c r="U98" s="182"/>
      <c r="V98" s="182"/>
      <c r="W98" s="182"/>
      <c r="X98" s="182"/>
      <c r="Y98" s="182"/>
      <c r="Z98" s="182"/>
      <c r="AA98" s="162">
        <f ca="1">TblImps[[#This Row],[Real time]]</f>
        <v>45433.666666666439</v>
      </c>
      <c r="AB98" s="97">
        <f ca="1">TblMili[[#This Row],[Draftees]]</f>
        <v>1688</v>
      </c>
      <c r="AC98" s="97">
        <f ca="1">TblProd[[#This Row],[Platinum]]</f>
        <v>942302</v>
      </c>
      <c r="AD98" s="226"/>
      <c r="AE98" s="45">
        <f ca="1">TblExplore[[#This Row],[Land]]-TblExplore[[#This Row],[Land Bonus]]*20</f>
        <v>700</v>
      </c>
      <c r="AF98" s="97">
        <f ca="1">ROUND(MAX(0.6*TblExplore[[#This Row],[Land-DB]]^1.299,850)*(1+ tech_2_6*Techs!AC98 + tech_2_9*Techs!AF98 + tech_3_7*Techs!AN98 + Overview!$I$32),0)</f>
        <v>2978</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241</v>
      </c>
    </row>
    <row r="99" spans="1:36" x14ac:dyDescent="0.2">
      <c r="A99" s="178">
        <f>TblRezone[[#This Row],[Hour]]</f>
        <v>96</v>
      </c>
      <c r="B99" s="225">
        <f ca="1">TblConstr[[#This Row],[Land]]</f>
        <v>700</v>
      </c>
      <c r="C99" s="226"/>
      <c r="D99" s="227">
        <f ca="1">TblConstr[[#This Row],[Plain]]</f>
        <v>0</v>
      </c>
      <c r="E99" s="185">
        <f ca="1">TblConstr[[#This Row],[Forest]]</f>
        <v>0</v>
      </c>
      <c r="F99" s="385">
        <f ca="1">TblConstr[[#This Row],[Mountain]]</f>
        <v>0</v>
      </c>
      <c r="G99" s="389">
        <f ca="1">TblConstr[[#This Row],[Hill]]</f>
        <v>0</v>
      </c>
      <c r="H99" s="393">
        <f ca="1">TblConstr[[#This Row],[Swamp]]</f>
        <v>0</v>
      </c>
      <c r="I99" s="188">
        <f ca="1">TblConstr[[#This Row],[Cavern]]</f>
        <v>0</v>
      </c>
      <c r="J99" s="189">
        <f ca="1">TblConstr[[#This Row],[Water]]</f>
        <v>0</v>
      </c>
      <c r="K99" s="221"/>
      <c r="L99" s="221"/>
      <c r="M99" s="234"/>
      <c r="N99" s="228">
        <f ca="1">TblMili[[#This Row],[Smithies]]</f>
        <v>0.18</v>
      </c>
      <c r="O99" s="228">
        <f ca="1">TblPop[[#This Row],[Employment]]</f>
        <v>1</v>
      </c>
      <c r="P99" s="228">
        <f ca="1">TblImps[[#This Row],[Population]]</f>
        <v>1</v>
      </c>
      <c r="Q99" s="178">
        <f ca="1">TblExplore[[#This Row],[Land]]</f>
        <v>700</v>
      </c>
      <c r="R99" s="178">
        <f>TblExplore[[#This Row],[Hour]]</f>
        <v>96</v>
      </c>
      <c r="S99" s="229"/>
      <c r="T99" s="161"/>
      <c r="U99" s="182"/>
      <c r="V99" s="182"/>
      <c r="W99" s="182"/>
      <c r="X99" s="182"/>
      <c r="Y99" s="182"/>
      <c r="Z99" s="182"/>
      <c r="AA99" s="162">
        <f ca="1">TblImps[[#This Row],[Real time]]</f>
        <v>45433.708333333103</v>
      </c>
      <c r="AB99" s="97">
        <f ca="1">TblMili[[#This Row],[Draftees]]</f>
        <v>1768</v>
      </c>
      <c r="AC99" s="97">
        <f ca="1">TblProd[[#This Row],[Platinum]]</f>
        <v>983687</v>
      </c>
      <c r="AD99" s="226"/>
      <c r="AE99" s="45">
        <f ca="1">TblExplore[[#This Row],[Land]]-TblExplore[[#This Row],[Land Bonus]]*20</f>
        <v>700</v>
      </c>
      <c r="AF99" s="97">
        <f ca="1">ROUND(MAX(0.6*TblExplore[[#This Row],[Land-DB]]^1.299,850)*(1+ tech_2_6*Techs!AC99 + tech_2_9*Techs!AF99 + tech_3_7*Techs!AN99 + Overview!$I$32),0)</f>
        <v>2978</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252</v>
      </c>
    </row>
    <row r="100" spans="1:36" x14ac:dyDescent="0.2">
      <c r="A100" s="178">
        <f>TblRezone[[#This Row],[Hour]]</f>
        <v>97</v>
      </c>
      <c r="B100" s="225">
        <f ca="1">TblConstr[[#This Row],[Land]]</f>
        <v>700</v>
      </c>
      <c r="C100" s="226"/>
      <c r="D100" s="227">
        <f ca="1">TblConstr[[#This Row],[Plain]]</f>
        <v>0</v>
      </c>
      <c r="E100" s="185">
        <f ca="1">TblConstr[[#This Row],[Forest]]</f>
        <v>0</v>
      </c>
      <c r="F100" s="385">
        <f ca="1">TblConstr[[#This Row],[Mountain]]</f>
        <v>0</v>
      </c>
      <c r="G100" s="389">
        <f ca="1">TblConstr[[#This Row],[Hill]]</f>
        <v>0</v>
      </c>
      <c r="H100" s="393">
        <f ca="1">TblConstr[[#This Row],[Swamp]]</f>
        <v>0</v>
      </c>
      <c r="I100" s="188">
        <f ca="1">TblConstr[[#This Row],[Cavern]]</f>
        <v>0</v>
      </c>
      <c r="J100" s="189">
        <f ca="1">TblConstr[[#This Row],[Water]]</f>
        <v>0</v>
      </c>
      <c r="K100" s="221"/>
      <c r="L100" s="221"/>
      <c r="M100" s="234"/>
      <c r="N100" s="228">
        <f ca="1">TblMili[[#This Row],[Smithies]]</f>
        <v>0.18</v>
      </c>
      <c r="O100" s="228">
        <f ca="1">TblPop[[#This Row],[Employment]]</f>
        <v>1</v>
      </c>
      <c r="P100" s="228">
        <f ca="1">TblImps[[#This Row],[Population]]</f>
        <v>1</v>
      </c>
      <c r="Q100" s="178">
        <f ca="1">TblExplore[[#This Row],[Land]]</f>
        <v>700</v>
      </c>
      <c r="R100" s="178">
        <f>TblExplore[[#This Row],[Hour]]</f>
        <v>97</v>
      </c>
      <c r="S100" s="229"/>
      <c r="T100" s="182"/>
      <c r="U100" s="182"/>
      <c r="V100" s="182"/>
      <c r="W100" s="182"/>
      <c r="X100" s="182"/>
      <c r="Y100" s="182"/>
      <c r="Z100" s="182"/>
      <c r="AA100" s="162">
        <f ca="1">TblImps[[#This Row],[Real time]]</f>
        <v>45433.749999999767</v>
      </c>
      <c r="AB100" s="97">
        <f ca="1">TblMili[[#This Row],[Draftees]]</f>
        <v>1847</v>
      </c>
      <c r="AC100" s="97">
        <f ca="1">TblProd[[#This Row],[Platinum]]</f>
        <v>1024834</v>
      </c>
      <c r="AD100" s="226"/>
      <c r="AE100" s="45">
        <f ca="1">TblExplore[[#This Row],[Land]]-TblExplore[[#This Row],[Land Bonus]]*20</f>
        <v>700</v>
      </c>
      <c r="AF100" s="97">
        <f ca="1">ROUND(MAX(0.6*TblExplore[[#This Row],[Land-DB]]^1.299,850)*(1+ tech_2_6*Techs!AC100 + tech_2_9*Techs!AF100 + tech_3_7*Techs!AN100 + Overview!$I$32),0)</f>
        <v>2978</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263</v>
      </c>
    </row>
    <row r="101" spans="1:36" x14ac:dyDescent="0.2">
      <c r="A101" s="178">
        <f>TblRezone[[#This Row],[Hour]]</f>
        <v>98</v>
      </c>
      <c r="B101" s="225">
        <f ca="1">TblConstr[[#This Row],[Land]]</f>
        <v>700</v>
      </c>
      <c r="C101" s="226"/>
      <c r="D101" s="227">
        <f ca="1">TblConstr[[#This Row],[Plain]]</f>
        <v>0</v>
      </c>
      <c r="E101" s="185">
        <f ca="1">TblConstr[[#This Row],[Forest]]</f>
        <v>0</v>
      </c>
      <c r="F101" s="385">
        <f ca="1">TblConstr[[#This Row],[Mountain]]</f>
        <v>0</v>
      </c>
      <c r="G101" s="389">
        <f ca="1">TblConstr[[#This Row],[Hill]]</f>
        <v>0</v>
      </c>
      <c r="H101" s="393">
        <f ca="1">TblConstr[[#This Row],[Swamp]]</f>
        <v>0</v>
      </c>
      <c r="I101" s="188">
        <f ca="1">TblConstr[[#This Row],[Cavern]]</f>
        <v>0</v>
      </c>
      <c r="J101" s="189">
        <f ca="1">TblConstr[[#This Row],[Water]]</f>
        <v>0</v>
      </c>
      <c r="K101" s="221"/>
      <c r="L101" s="221"/>
      <c r="M101" s="230"/>
      <c r="N101" s="228">
        <f ca="1">TblMili[[#This Row],[Smithies]]</f>
        <v>0.18</v>
      </c>
      <c r="O101" s="228">
        <f ca="1">TblPop[[#This Row],[Employment]]</f>
        <v>1</v>
      </c>
      <c r="P101" s="228">
        <f ca="1">TblImps[[#This Row],[Population]]</f>
        <v>1</v>
      </c>
      <c r="Q101" s="178">
        <f ca="1">TblExplore[[#This Row],[Land]]</f>
        <v>700</v>
      </c>
      <c r="R101" s="178">
        <f>TblExplore[[#This Row],[Hour]]</f>
        <v>98</v>
      </c>
      <c r="S101" s="229"/>
      <c r="T101" s="161"/>
      <c r="U101" s="182"/>
      <c r="V101" s="182"/>
      <c r="W101" s="182"/>
      <c r="X101" s="182"/>
      <c r="Y101" s="182"/>
      <c r="Z101" s="182"/>
      <c r="AA101" s="162">
        <f ca="1">TblImps[[#This Row],[Real time]]</f>
        <v>45433.791666666431</v>
      </c>
      <c r="AB101" s="97">
        <f ca="1">TblMili[[#This Row],[Draftees]]</f>
        <v>1926</v>
      </c>
      <c r="AC101" s="97">
        <f ca="1">TblProd[[#This Row],[Platinum]]</f>
        <v>1065746</v>
      </c>
      <c r="AD101" s="226"/>
      <c r="AE101" s="45">
        <f ca="1">TblExplore[[#This Row],[Land]]-TblExplore[[#This Row],[Land Bonus]]*20</f>
        <v>700</v>
      </c>
      <c r="AF101" s="97">
        <f ca="1">ROUND(MAX(0.6*TblExplore[[#This Row],[Land-DB]]^1.299,850)*(1+ tech_2_6*Techs!AC101 + tech_2_9*Techs!AF101 + tech_3_7*Techs!AN101 + Overview!$I$32),0)</f>
        <v>2978</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275</v>
      </c>
    </row>
    <row r="102" spans="1:36" x14ac:dyDescent="0.2">
      <c r="A102" s="178">
        <f>TblRezone[[#This Row],[Hour]]</f>
        <v>99</v>
      </c>
      <c r="B102" s="225">
        <f ca="1">TblConstr[[#This Row],[Land]]</f>
        <v>700</v>
      </c>
      <c r="C102" s="226"/>
      <c r="D102" s="227">
        <f ca="1">TblConstr[[#This Row],[Plain]]</f>
        <v>0</v>
      </c>
      <c r="E102" s="185">
        <f ca="1">TblConstr[[#This Row],[Forest]]</f>
        <v>0</v>
      </c>
      <c r="F102" s="385">
        <f ca="1">TblConstr[[#This Row],[Mountain]]</f>
        <v>0</v>
      </c>
      <c r="G102" s="389">
        <f ca="1">TblConstr[[#This Row],[Hill]]</f>
        <v>0</v>
      </c>
      <c r="H102" s="393">
        <f ca="1">TblConstr[[#This Row],[Swamp]]</f>
        <v>0</v>
      </c>
      <c r="I102" s="188">
        <f ca="1">TblConstr[[#This Row],[Cavern]]</f>
        <v>0</v>
      </c>
      <c r="J102" s="189">
        <f ca="1">TblConstr[[#This Row],[Water]]</f>
        <v>0</v>
      </c>
      <c r="K102" s="221"/>
      <c r="L102" s="221"/>
      <c r="M102" s="234"/>
      <c r="N102" s="228">
        <f ca="1">TblMili[[#This Row],[Smithies]]</f>
        <v>0.18</v>
      </c>
      <c r="O102" s="228">
        <f ca="1">TblPop[[#This Row],[Employment]]</f>
        <v>1</v>
      </c>
      <c r="P102" s="228">
        <f ca="1">TblImps[[#This Row],[Population]]</f>
        <v>1</v>
      </c>
      <c r="Q102" s="178">
        <f ca="1">TblExplore[[#This Row],[Land]]</f>
        <v>700</v>
      </c>
      <c r="R102" s="178">
        <f>TblExplore[[#This Row],[Hour]]</f>
        <v>99</v>
      </c>
      <c r="S102" s="229"/>
      <c r="T102" s="161"/>
      <c r="U102" s="182"/>
      <c r="V102" s="182"/>
      <c r="W102" s="182"/>
      <c r="X102" s="182"/>
      <c r="Y102" s="182"/>
      <c r="Z102" s="182"/>
      <c r="AA102" s="162">
        <f ca="1">TblImps[[#This Row],[Real time]]</f>
        <v>45433.833333333096</v>
      </c>
      <c r="AB102" s="97">
        <f ca="1">TblMili[[#This Row],[Draftees]]</f>
        <v>2004</v>
      </c>
      <c r="AC102" s="97">
        <f ca="1">TblProd[[#This Row],[Platinum]]</f>
        <v>1106424</v>
      </c>
      <c r="AD102" s="226"/>
      <c r="AE102" s="45">
        <f ca="1">TblExplore[[#This Row],[Land]]-TblExplore[[#This Row],[Land Bonus]]*20</f>
        <v>700</v>
      </c>
      <c r="AF102" s="97">
        <f ca="1">ROUND(MAX(0.6*TblExplore[[#This Row],[Land-DB]]^1.299,850)*(1+ tech_2_6*Techs!AC102 + tech_2_9*Techs!AF102 + tech_3_7*Techs!AN102 + Overview!$I$32),0)</f>
        <v>2978</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286</v>
      </c>
    </row>
    <row r="103" spans="1:36" x14ac:dyDescent="0.2">
      <c r="A103" s="178">
        <f>TblRezone[[#This Row],[Hour]]</f>
        <v>100</v>
      </c>
      <c r="B103" s="225">
        <f ca="1">TblConstr[[#This Row],[Land]]</f>
        <v>700</v>
      </c>
      <c r="C103" s="226"/>
      <c r="D103" s="227">
        <f ca="1">TblConstr[[#This Row],[Plain]]</f>
        <v>0</v>
      </c>
      <c r="E103" s="185">
        <f ca="1">TblConstr[[#This Row],[Forest]]</f>
        <v>0</v>
      </c>
      <c r="F103" s="385">
        <f ca="1">TblConstr[[#This Row],[Mountain]]</f>
        <v>0</v>
      </c>
      <c r="G103" s="389">
        <f ca="1">TblConstr[[#This Row],[Hill]]</f>
        <v>0</v>
      </c>
      <c r="H103" s="393">
        <f ca="1">TblConstr[[#This Row],[Swamp]]</f>
        <v>0</v>
      </c>
      <c r="I103" s="188">
        <f ca="1">TblConstr[[#This Row],[Cavern]]</f>
        <v>0</v>
      </c>
      <c r="J103" s="189">
        <f ca="1">TblConstr[[#This Row],[Water]]</f>
        <v>0</v>
      </c>
      <c r="K103" s="221"/>
      <c r="L103" s="221"/>
      <c r="M103" s="234"/>
      <c r="N103" s="228">
        <f ca="1">TblMili[[#This Row],[Smithies]]</f>
        <v>0.18</v>
      </c>
      <c r="O103" s="228">
        <f ca="1">TblPop[[#This Row],[Employment]]</f>
        <v>1</v>
      </c>
      <c r="P103" s="228">
        <f ca="1">TblImps[[#This Row],[Population]]</f>
        <v>1</v>
      </c>
      <c r="Q103" s="178">
        <f ca="1">TblExplore[[#This Row],[Land]]</f>
        <v>700</v>
      </c>
      <c r="R103" s="178">
        <f>TblExplore[[#This Row],[Hour]]</f>
        <v>100</v>
      </c>
      <c r="S103" s="229"/>
      <c r="T103" s="161"/>
      <c r="U103" s="182"/>
      <c r="V103" s="182"/>
      <c r="W103" s="182"/>
      <c r="X103" s="182"/>
      <c r="Y103" s="182"/>
      <c r="Z103" s="182"/>
      <c r="AA103" s="162">
        <f ca="1">TblImps[[#This Row],[Real time]]</f>
        <v>45433.87499999976</v>
      </c>
      <c r="AB103" s="97">
        <f ca="1">TblMili[[#This Row],[Draftees]]</f>
        <v>2081</v>
      </c>
      <c r="AC103" s="97">
        <f ca="1">TblProd[[#This Row],[Platinum]]</f>
        <v>1146870</v>
      </c>
      <c r="AD103" s="226"/>
      <c r="AE103" s="45">
        <f ca="1">TblExplore[[#This Row],[Land]]-TblExplore[[#This Row],[Land Bonus]]*20</f>
        <v>700</v>
      </c>
      <c r="AF103" s="97">
        <f ca="1">ROUND(MAX(0.6*TblExplore[[#This Row],[Land-DB]]^1.299,850)*(1+ tech_2_6*Techs!AC103 + tech_2_9*Techs!AF103 + tech_3_7*Techs!AN103 + Overview!$I$32),0)</f>
        <v>2978</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297</v>
      </c>
    </row>
    <row r="104" spans="1:36" x14ac:dyDescent="0.2">
      <c r="A104" s="178">
        <f>TblRezone[[#This Row],[Hour]]</f>
        <v>101</v>
      </c>
      <c r="B104" s="225">
        <f ca="1">TblConstr[[#This Row],[Land]]</f>
        <v>700</v>
      </c>
      <c r="C104" s="226"/>
      <c r="D104" s="227">
        <f ca="1">TblConstr[[#This Row],[Plain]]</f>
        <v>0</v>
      </c>
      <c r="E104" s="185">
        <f ca="1">TblConstr[[#This Row],[Forest]]</f>
        <v>0</v>
      </c>
      <c r="F104" s="385">
        <f ca="1">TblConstr[[#This Row],[Mountain]]</f>
        <v>0</v>
      </c>
      <c r="G104" s="389">
        <f ca="1">TblConstr[[#This Row],[Hill]]</f>
        <v>0</v>
      </c>
      <c r="H104" s="393">
        <f ca="1">TblConstr[[#This Row],[Swamp]]</f>
        <v>0</v>
      </c>
      <c r="I104" s="188">
        <f ca="1">TblConstr[[#This Row],[Cavern]]</f>
        <v>0</v>
      </c>
      <c r="J104" s="189">
        <f ca="1">TblConstr[[#This Row],[Water]]</f>
        <v>0</v>
      </c>
      <c r="K104" s="221"/>
      <c r="L104" s="221"/>
      <c r="M104" s="234"/>
      <c r="N104" s="228">
        <f ca="1">TblMili[[#This Row],[Smithies]]</f>
        <v>0.18</v>
      </c>
      <c r="O104" s="228">
        <f ca="1">TblPop[[#This Row],[Employment]]</f>
        <v>1</v>
      </c>
      <c r="P104" s="228">
        <f ca="1">TblImps[[#This Row],[Population]]</f>
        <v>1</v>
      </c>
      <c r="Q104" s="178">
        <f ca="1">TblExplore[[#This Row],[Land]]</f>
        <v>700</v>
      </c>
      <c r="R104" s="178">
        <f>TblExplore[[#This Row],[Hour]]</f>
        <v>101</v>
      </c>
      <c r="S104" s="229"/>
      <c r="T104" s="161"/>
      <c r="U104" s="182"/>
      <c r="V104" s="182"/>
      <c r="W104" s="182"/>
      <c r="X104" s="182"/>
      <c r="Y104" s="182"/>
      <c r="Z104" s="182"/>
      <c r="AA104" s="162">
        <f ca="1">TblImps[[#This Row],[Real time]]</f>
        <v>45433.916666666424</v>
      </c>
      <c r="AB104" s="97">
        <f ca="1">TblMili[[#This Row],[Draftees]]</f>
        <v>2157</v>
      </c>
      <c r="AC104" s="97">
        <f ca="1">TblProd[[#This Row],[Platinum]]</f>
        <v>1187087</v>
      </c>
      <c r="AD104" s="226"/>
      <c r="AE104" s="45">
        <f ca="1">TblExplore[[#This Row],[Land]]-TblExplore[[#This Row],[Land Bonus]]*20</f>
        <v>700</v>
      </c>
      <c r="AF104" s="97">
        <f ca="1">ROUND(MAX(0.6*TblExplore[[#This Row],[Land-DB]]^1.299,850)*(1+ tech_2_6*Techs!AC104 + tech_2_9*Techs!AF104 + tech_3_7*Techs!AN104 + Overview!$I$32),0)</f>
        <v>2978</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308</v>
      </c>
    </row>
    <row r="105" spans="1:36" x14ac:dyDescent="0.2">
      <c r="A105" s="178">
        <f>TblRezone[[#This Row],[Hour]]</f>
        <v>102</v>
      </c>
      <c r="B105" s="225">
        <f ca="1">TblConstr[[#This Row],[Land]]</f>
        <v>700</v>
      </c>
      <c r="C105" s="226"/>
      <c r="D105" s="227">
        <f ca="1">TblConstr[[#This Row],[Plain]]</f>
        <v>0</v>
      </c>
      <c r="E105" s="185">
        <f ca="1">TblConstr[[#This Row],[Forest]]</f>
        <v>0</v>
      </c>
      <c r="F105" s="385">
        <f ca="1">TblConstr[[#This Row],[Mountain]]</f>
        <v>0</v>
      </c>
      <c r="G105" s="389">
        <f ca="1">TblConstr[[#This Row],[Hill]]</f>
        <v>0</v>
      </c>
      <c r="H105" s="393">
        <f ca="1">TblConstr[[#This Row],[Swamp]]</f>
        <v>0</v>
      </c>
      <c r="I105" s="188">
        <f ca="1">TblConstr[[#This Row],[Cavern]]</f>
        <v>0</v>
      </c>
      <c r="J105" s="189">
        <f ca="1">TblConstr[[#This Row],[Water]]</f>
        <v>0</v>
      </c>
      <c r="K105" s="221"/>
      <c r="L105" s="221"/>
      <c r="M105" s="221"/>
      <c r="N105" s="228">
        <f ca="1">TblMili[[#This Row],[Smithies]]</f>
        <v>0.18</v>
      </c>
      <c r="O105" s="228">
        <f ca="1">TblPop[[#This Row],[Employment]]</f>
        <v>1</v>
      </c>
      <c r="P105" s="228">
        <f ca="1">TblImps[[#This Row],[Population]]</f>
        <v>1</v>
      </c>
      <c r="Q105" s="178">
        <f ca="1">TblExplore[[#This Row],[Land]]</f>
        <v>700</v>
      </c>
      <c r="R105" s="178">
        <f>TblExplore[[#This Row],[Hour]]</f>
        <v>102</v>
      </c>
      <c r="S105" s="229"/>
      <c r="T105" s="182"/>
      <c r="U105" s="182"/>
      <c r="V105" s="182"/>
      <c r="W105" s="182"/>
      <c r="X105" s="182"/>
      <c r="Y105" s="182"/>
      <c r="Z105" s="182"/>
      <c r="AA105" s="162">
        <f ca="1">TblImps[[#This Row],[Real time]]</f>
        <v>45433.958333333088</v>
      </c>
      <c r="AB105" s="97">
        <f ca="1">TblMili[[#This Row],[Draftees]]</f>
        <v>2233</v>
      </c>
      <c r="AC105" s="97">
        <f ca="1">TblProd[[#This Row],[Platinum]]</f>
        <v>1227079</v>
      </c>
      <c r="AD105" s="226"/>
      <c r="AE105" s="45">
        <f ca="1">TblExplore[[#This Row],[Land]]-TblExplore[[#This Row],[Land Bonus]]*20</f>
        <v>700</v>
      </c>
      <c r="AF105" s="97">
        <f ca="1">ROUND(MAX(0.6*TblExplore[[#This Row],[Land-DB]]^1.299,850)*(1+ tech_2_6*Techs!AC105 + tech_2_9*Techs!AF105 + tech_3_7*Techs!AN105 + Overview!$I$32),0)</f>
        <v>2978</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319</v>
      </c>
    </row>
    <row r="106" spans="1:36" x14ac:dyDescent="0.2">
      <c r="A106" s="178">
        <f>TblRezone[[#This Row],[Hour]]</f>
        <v>103</v>
      </c>
      <c r="B106" s="225">
        <f ca="1">TblConstr[[#This Row],[Land]]</f>
        <v>700</v>
      </c>
      <c r="C106" s="226"/>
      <c r="D106" s="227">
        <f ca="1">TblConstr[[#This Row],[Plain]]</f>
        <v>0</v>
      </c>
      <c r="E106" s="185">
        <f ca="1">TblConstr[[#This Row],[Forest]]</f>
        <v>0</v>
      </c>
      <c r="F106" s="385">
        <f ca="1">TblConstr[[#This Row],[Mountain]]</f>
        <v>0</v>
      </c>
      <c r="G106" s="389">
        <f ca="1">TblConstr[[#This Row],[Hill]]</f>
        <v>0</v>
      </c>
      <c r="H106" s="393">
        <f ca="1">TblConstr[[#This Row],[Swamp]]</f>
        <v>0</v>
      </c>
      <c r="I106" s="188">
        <f ca="1">TblConstr[[#This Row],[Cavern]]</f>
        <v>0</v>
      </c>
      <c r="J106" s="189">
        <f ca="1">TblConstr[[#This Row],[Water]]</f>
        <v>0</v>
      </c>
      <c r="K106" s="221"/>
      <c r="L106" s="221"/>
      <c r="M106" s="238"/>
      <c r="N106" s="228">
        <f ca="1">TblMili[[#This Row],[Smithies]]</f>
        <v>0.18</v>
      </c>
      <c r="O106" s="228">
        <f ca="1">TblPop[[#This Row],[Employment]]</f>
        <v>1</v>
      </c>
      <c r="P106" s="228">
        <f ca="1">TblImps[[#This Row],[Population]]</f>
        <v>1</v>
      </c>
      <c r="Q106" s="178">
        <f ca="1">TblExplore[[#This Row],[Land]]</f>
        <v>700</v>
      </c>
      <c r="R106" s="178">
        <f>TblExplore[[#This Row],[Hour]]</f>
        <v>103</v>
      </c>
      <c r="S106" s="229"/>
      <c r="T106" s="182"/>
      <c r="U106" s="182"/>
      <c r="V106" s="182"/>
      <c r="W106" s="182"/>
      <c r="X106" s="182"/>
      <c r="Y106" s="182"/>
      <c r="Z106" s="182"/>
      <c r="AA106" s="162">
        <f ca="1">TblImps[[#This Row],[Real time]]</f>
        <v>45433.999999999753</v>
      </c>
      <c r="AB106" s="97">
        <f ca="1">TblMili[[#This Row],[Draftees]]</f>
        <v>2308</v>
      </c>
      <c r="AC106" s="97">
        <f ca="1">TblProd[[#This Row],[Platinum]]</f>
        <v>1266845</v>
      </c>
      <c r="AD106" s="226"/>
      <c r="AE106" s="45">
        <f ca="1">TblExplore[[#This Row],[Land]]-TblExplore[[#This Row],[Land Bonus]]*20</f>
        <v>700</v>
      </c>
      <c r="AF106" s="97">
        <f ca="1">ROUND(MAX(0.6*TblExplore[[#This Row],[Land-DB]]^1.299,850)*(1+ tech_2_6*Techs!AC106 + tech_2_9*Techs!AF106 + tech_3_7*Techs!AN106 + Overview!$I$32),0)</f>
        <v>2978</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329</v>
      </c>
    </row>
    <row r="107" spans="1:36" x14ac:dyDescent="0.2">
      <c r="A107" s="178">
        <f>TblRezone[[#This Row],[Hour]]</f>
        <v>104</v>
      </c>
      <c r="B107" s="225">
        <f ca="1">TblConstr[[#This Row],[Land]]</f>
        <v>700</v>
      </c>
      <c r="C107" s="226"/>
      <c r="D107" s="227">
        <f ca="1">TblConstr[[#This Row],[Plain]]</f>
        <v>0</v>
      </c>
      <c r="E107" s="185">
        <f ca="1">TblConstr[[#This Row],[Forest]]</f>
        <v>0</v>
      </c>
      <c r="F107" s="385">
        <f ca="1">TblConstr[[#This Row],[Mountain]]</f>
        <v>0</v>
      </c>
      <c r="G107" s="389">
        <f ca="1">TblConstr[[#This Row],[Hill]]</f>
        <v>0</v>
      </c>
      <c r="H107" s="393">
        <f ca="1">TblConstr[[#This Row],[Swamp]]</f>
        <v>0</v>
      </c>
      <c r="I107" s="188">
        <f ca="1">TblConstr[[#This Row],[Cavern]]</f>
        <v>0</v>
      </c>
      <c r="J107" s="189">
        <f ca="1">TblConstr[[#This Row],[Water]]</f>
        <v>0</v>
      </c>
      <c r="K107" s="221"/>
      <c r="L107" s="221"/>
      <c r="M107" s="238"/>
      <c r="N107" s="228">
        <f ca="1">TblMili[[#This Row],[Smithies]]</f>
        <v>0.18</v>
      </c>
      <c r="O107" s="228">
        <f ca="1">TblPop[[#This Row],[Employment]]</f>
        <v>1</v>
      </c>
      <c r="P107" s="228">
        <f ca="1">TblImps[[#This Row],[Population]]</f>
        <v>1</v>
      </c>
      <c r="Q107" s="178">
        <f ca="1">TblExplore[[#This Row],[Land]]</f>
        <v>700</v>
      </c>
      <c r="R107" s="178">
        <f>TblExplore[[#This Row],[Hour]]</f>
        <v>104</v>
      </c>
      <c r="S107" s="229"/>
      <c r="T107" s="182"/>
      <c r="U107" s="182"/>
      <c r="V107" s="182"/>
      <c r="W107" s="182"/>
      <c r="X107" s="182"/>
      <c r="Y107" s="182"/>
      <c r="Z107" s="182"/>
      <c r="AA107" s="162">
        <f ca="1">TblImps[[#This Row],[Real time]]</f>
        <v>45434.041666666417</v>
      </c>
      <c r="AB107" s="97">
        <f ca="1">TblMili[[#This Row],[Draftees]]</f>
        <v>2382</v>
      </c>
      <c r="AC107" s="97">
        <f ca="1">TblProd[[#This Row],[Platinum]]</f>
        <v>1306388</v>
      </c>
      <c r="AD107" s="226"/>
      <c r="AE107" s="45">
        <f ca="1">TblExplore[[#This Row],[Land]]-TblExplore[[#This Row],[Land Bonus]]*20</f>
        <v>700</v>
      </c>
      <c r="AF107" s="97">
        <f ca="1">ROUND(MAX(0.6*TblExplore[[#This Row],[Land-DB]]^1.299,850)*(1+ tech_2_6*Techs!AC107 + tech_2_9*Techs!AF107 + tech_3_7*Techs!AN107 + Overview!$I$32),0)</f>
        <v>2978</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340</v>
      </c>
    </row>
    <row r="108" spans="1:36" x14ac:dyDescent="0.2">
      <c r="A108" s="178">
        <f>TblRezone[[#This Row],[Hour]]</f>
        <v>105</v>
      </c>
      <c r="B108" s="225">
        <f ca="1">TblConstr[[#This Row],[Land]]</f>
        <v>700</v>
      </c>
      <c r="C108" s="226"/>
      <c r="D108" s="227">
        <f ca="1">TblConstr[[#This Row],[Plain]]</f>
        <v>0</v>
      </c>
      <c r="E108" s="185">
        <f ca="1">TblConstr[[#This Row],[Forest]]</f>
        <v>0</v>
      </c>
      <c r="F108" s="385">
        <f ca="1">TblConstr[[#This Row],[Mountain]]</f>
        <v>0</v>
      </c>
      <c r="G108" s="389">
        <f ca="1">TblConstr[[#This Row],[Hill]]</f>
        <v>0</v>
      </c>
      <c r="H108" s="393">
        <f ca="1">TblConstr[[#This Row],[Swamp]]</f>
        <v>0</v>
      </c>
      <c r="I108" s="188">
        <f ca="1">TblConstr[[#This Row],[Cavern]]</f>
        <v>0</v>
      </c>
      <c r="J108" s="189">
        <f ca="1">TblConstr[[#This Row],[Water]]</f>
        <v>0</v>
      </c>
      <c r="K108" s="221"/>
      <c r="L108" s="221"/>
      <c r="M108" s="221"/>
      <c r="N108" s="228">
        <f ca="1">TblMili[[#This Row],[Smithies]]</f>
        <v>0.18</v>
      </c>
      <c r="O108" s="228">
        <f ca="1">TblPop[[#This Row],[Employment]]</f>
        <v>1</v>
      </c>
      <c r="P108" s="228">
        <f ca="1">TblImps[[#This Row],[Population]]</f>
        <v>1</v>
      </c>
      <c r="Q108" s="178">
        <f ca="1">TblExplore[[#This Row],[Land]]</f>
        <v>700</v>
      </c>
      <c r="R108" s="178">
        <f>TblExplore[[#This Row],[Hour]]</f>
        <v>105</v>
      </c>
      <c r="S108" s="229"/>
      <c r="T108" s="182"/>
      <c r="U108" s="182"/>
      <c r="V108" s="182"/>
      <c r="W108" s="182"/>
      <c r="X108" s="182"/>
      <c r="Y108" s="182"/>
      <c r="Z108" s="182"/>
      <c r="AA108" s="162">
        <f ca="1">TblImps[[#This Row],[Real time]]</f>
        <v>45434.083333333081</v>
      </c>
      <c r="AB108" s="97">
        <f ca="1">TblMili[[#This Row],[Draftees]]</f>
        <v>2455</v>
      </c>
      <c r="AC108" s="97">
        <f ca="1">TblProd[[#This Row],[Platinum]]</f>
        <v>1345712</v>
      </c>
      <c r="AD108" s="226"/>
      <c r="AE108" s="45">
        <f ca="1">TblExplore[[#This Row],[Land]]-TblExplore[[#This Row],[Land Bonus]]*20</f>
        <v>700</v>
      </c>
      <c r="AF108" s="97">
        <f ca="1">ROUND(MAX(0.6*TblExplore[[#This Row],[Land-DB]]^1.299,850)*(1+ tech_2_6*Techs!AC108 + tech_2_9*Techs!AF108 + tech_3_7*Techs!AN108 + Overview!$I$32),0)</f>
        <v>2978</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350</v>
      </c>
    </row>
    <row r="109" spans="1:36" x14ac:dyDescent="0.2">
      <c r="A109" s="178">
        <f>TblRezone[[#This Row],[Hour]]</f>
        <v>106</v>
      </c>
      <c r="B109" s="225">
        <f ca="1">TblConstr[[#This Row],[Land]]</f>
        <v>700</v>
      </c>
      <c r="C109" s="226"/>
      <c r="D109" s="227">
        <f ca="1">TblConstr[[#This Row],[Plain]]</f>
        <v>0</v>
      </c>
      <c r="E109" s="185">
        <f ca="1">TblConstr[[#This Row],[Forest]]</f>
        <v>0</v>
      </c>
      <c r="F109" s="385">
        <f ca="1">TblConstr[[#This Row],[Mountain]]</f>
        <v>0</v>
      </c>
      <c r="G109" s="389">
        <f ca="1">TblConstr[[#This Row],[Hill]]</f>
        <v>0</v>
      </c>
      <c r="H109" s="393">
        <f ca="1">TblConstr[[#This Row],[Swamp]]</f>
        <v>0</v>
      </c>
      <c r="I109" s="188">
        <f ca="1">TblConstr[[#This Row],[Cavern]]</f>
        <v>0</v>
      </c>
      <c r="J109" s="189">
        <f ca="1">TblConstr[[#This Row],[Water]]</f>
        <v>0</v>
      </c>
      <c r="K109" s="221"/>
      <c r="L109" s="221"/>
      <c r="M109" s="221"/>
      <c r="N109" s="228">
        <f ca="1">TblMili[[#This Row],[Smithies]]</f>
        <v>0.18</v>
      </c>
      <c r="O109" s="228">
        <f ca="1">TblPop[[#This Row],[Employment]]</f>
        <v>1</v>
      </c>
      <c r="P109" s="228">
        <f ca="1">TblImps[[#This Row],[Population]]</f>
        <v>1</v>
      </c>
      <c r="Q109" s="178">
        <f ca="1">TblExplore[[#This Row],[Land]]</f>
        <v>700</v>
      </c>
      <c r="R109" s="178">
        <f>TblExplore[[#This Row],[Hour]]</f>
        <v>106</v>
      </c>
      <c r="S109" s="229"/>
      <c r="T109" s="182"/>
      <c r="U109" s="182"/>
      <c r="V109" s="182"/>
      <c r="W109" s="182"/>
      <c r="X109" s="182"/>
      <c r="Y109" s="182"/>
      <c r="Z109" s="182"/>
      <c r="AA109" s="162">
        <f ca="1">TblImps[[#This Row],[Real time]]</f>
        <v>45434.124999999745</v>
      </c>
      <c r="AB109" s="97">
        <f ca="1">TblMili[[#This Row],[Draftees]]</f>
        <v>2528</v>
      </c>
      <c r="AC109" s="97">
        <f ca="1">TblProd[[#This Row],[Platinum]]</f>
        <v>1384819</v>
      </c>
      <c r="AD109" s="226"/>
      <c r="AE109" s="45">
        <f ca="1">TblExplore[[#This Row],[Land]]-TblExplore[[#This Row],[Land Bonus]]*20</f>
        <v>700</v>
      </c>
      <c r="AF109" s="97">
        <f ca="1">ROUND(MAX(0.6*TblExplore[[#This Row],[Land-DB]]^1.299,850)*(1+ tech_2_6*Techs!AC109 + tech_2_9*Techs!AF109 + tech_3_7*Techs!AN109 + Overview!$I$32),0)</f>
        <v>2978</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361</v>
      </c>
    </row>
    <row r="110" spans="1:36" x14ac:dyDescent="0.2">
      <c r="A110" s="178">
        <f>TblRezone[[#This Row],[Hour]]</f>
        <v>107</v>
      </c>
      <c r="B110" s="225">
        <f ca="1">TblConstr[[#This Row],[Land]]</f>
        <v>700</v>
      </c>
      <c r="C110" s="226"/>
      <c r="D110" s="227">
        <f ca="1">TblConstr[[#This Row],[Plain]]</f>
        <v>0</v>
      </c>
      <c r="E110" s="185">
        <f ca="1">TblConstr[[#This Row],[Forest]]</f>
        <v>0</v>
      </c>
      <c r="F110" s="385">
        <f ca="1">TblConstr[[#This Row],[Mountain]]</f>
        <v>0</v>
      </c>
      <c r="G110" s="389">
        <f ca="1">TblConstr[[#This Row],[Hill]]</f>
        <v>0</v>
      </c>
      <c r="H110" s="393">
        <f ca="1">TblConstr[[#This Row],[Swamp]]</f>
        <v>0</v>
      </c>
      <c r="I110" s="188">
        <f ca="1">TblConstr[[#This Row],[Cavern]]</f>
        <v>0</v>
      </c>
      <c r="J110" s="189">
        <f ca="1">TblConstr[[#This Row],[Water]]</f>
        <v>0</v>
      </c>
      <c r="K110" s="221"/>
      <c r="L110" s="221"/>
      <c r="M110" s="221"/>
      <c r="N110" s="228">
        <f ca="1">TblMili[[#This Row],[Smithies]]</f>
        <v>0.18</v>
      </c>
      <c r="O110" s="228">
        <f ca="1">TblPop[[#This Row],[Employment]]</f>
        <v>1</v>
      </c>
      <c r="P110" s="228">
        <f ca="1">TblImps[[#This Row],[Population]]</f>
        <v>1</v>
      </c>
      <c r="Q110" s="178">
        <f ca="1">TblExplore[[#This Row],[Land]]</f>
        <v>700</v>
      </c>
      <c r="R110" s="178">
        <f>TblExplore[[#This Row],[Hour]]</f>
        <v>107</v>
      </c>
      <c r="S110" s="229"/>
      <c r="T110" s="161"/>
      <c r="U110" s="182"/>
      <c r="V110" s="182"/>
      <c r="W110" s="182"/>
      <c r="X110" s="182"/>
      <c r="Y110" s="182"/>
      <c r="Z110" s="182"/>
      <c r="AA110" s="162">
        <f ca="1">TblImps[[#This Row],[Real time]]</f>
        <v>45434.16666666641</v>
      </c>
      <c r="AB110" s="97">
        <f ca="1">TblMili[[#This Row],[Draftees]]</f>
        <v>2600</v>
      </c>
      <c r="AC110" s="97">
        <f ca="1">TblProd[[#This Row],[Platinum]]</f>
        <v>1423709</v>
      </c>
      <c r="AD110" s="226"/>
      <c r="AE110" s="45">
        <f ca="1">TblExplore[[#This Row],[Land]]-TblExplore[[#This Row],[Land Bonus]]*20</f>
        <v>700</v>
      </c>
      <c r="AF110" s="97">
        <f ca="1">ROUND(MAX(0.6*TblExplore[[#This Row],[Land-DB]]^1.299,850)*(1+ tech_2_6*Techs!AC110 + tech_2_9*Techs!AF110 + tech_3_7*Techs!AN110 + Overview!$I$32),0)</f>
        <v>2978</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371</v>
      </c>
    </row>
    <row r="111" spans="1:36" x14ac:dyDescent="0.2">
      <c r="A111" s="178">
        <f>TblRezone[[#This Row],[Hour]]</f>
        <v>108</v>
      </c>
      <c r="B111" s="225">
        <f ca="1">TblConstr[[#This Row],[Land]]</f>
        <v>700</v>
      </c>
      <c r="C111" s="226"/>
      <c r="D111" s="227">
        <f ca="1">TblConstr[[#This Row],[Plain]]</f>
        <v>0</v>
      </c>
      <c r="E111" s="185">
        <f ca="1">TblConstr[[#This Row],[Forest]]</f>
        <v>0</v>
      </c>
      <c r="F111" s="385">
        <f ca="1">TblConstr[[#This Row],[Mountain]]</f>
        <v>0</v>
      </c>
      <c r="G111" s="389">
        <f ca="1">TblConstr[[#This Row],[Hill]]</f>
        <v>0</v>
      </c>
      <c r="H111" s="393">
        <f ca="1">TblConstr[[#This Row],[Swamp]]</f>
        <v>0</v>
      </c>
      <c r="I111" s="188">
        <f ca="1">TblConstr[[#This Row],[Cavern]]</f>
        <v>0</v>
      </c>
      <c r="J111" s="189">
        <f ca="1">TblConstr[[#This Row],[Water]]</f>
        <v>0</v>
      </c>
      <c r="K111" s="221"/>
      <c r="L111" s="221"/>
      <c r="M111" s="221"/>
      <c r="N111" s="228">
        <f ca="1">TblMili[[#This Row],[Smithies]]</f>
        <v>0.18</v>
      </c>
      <c r="O111" s="228">
        <f ca="1">TblPop[[#This Row],[Employment]]</f>
        <v>1</v>
      </c>
      <c r="P111" s="228">
        <f ca="1">TblImps[[#This Row],[Population]]</f>
        <v>1</v>
      </c>
      <c r="Q111" s="178">
        <f ca="1">TblExplore[[#This Row],[Land]]</f>
        <v>700</v>
      </c>
      <c r="R111" s="178">
        <f>TblExplore[[#This Row],[Hour]]</f>
        <v>108</v>
      </c>
      <c r="S111" s="229"/>
      <c r="T111" s="182"/>
      <c r="U111" s="182"/>
      <c r="V111" s="182"/>
      <c r="W111" s="182"/>
      <c r="X111" s="182"/>
      <c r="Y111" s="182"/>
      <c r="Z111" s="182"/>
      <c r="AA111" s="162">
        <f ca="1">TblImps[[#This Row],[Real time]]</f>
        <v>45434.208333333074</v>
      </c>
      <c r="AB111" s="97">
        <f ca="1">TblMili[[#This Row],[Draftees]]</f>
        <v>2671</v>
      </c>
      <c r="AC111" s="97">
        <f ca="1">TblProd[[#This Row],[Platinum]]</f>
        <v>1462385</v>
      </c>
      <c r="AD111" s="226"/>
      <c r="AE111" s="45">
        <f ca="1">TblExplore[[#This Row],[Land]]-TblExplore[[#This Row],[Land Bonus]]*20</f>
        <v>700</v>
      </c>
      <c r="AF111" s="97">
        <f ca="1">ROUND(MAX(0.6*TblExplore[[#This Row],[Land-DB]]^1.299,850)*(1+ tech_2_6*Techs!AC111 + tech_2_9*Techs!AF111 + tech_3_7*Techs!AN111 + Overview!$I$32),0)</f>
        <v>2978</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381</v>
      </c>
    </row>
    <row r="112" spans="1:36" ht="12.75" customHeight="1" x14ac:dyDescent="0.2">
      <c r="A112" s="178">
        <f>TblRezone[[#This Row],[Hour]]</f>
        <v>109</v>
      </c>
      <c r="B112" s="225">
        <f ca="1">TblConstr[[#This Row],[Land]]</f>
        <v>700</v>
      </c>
      <c r="C112" s="226"/>
      <c r="D112" s="227">
        <f ca="1">TblConstr[[#This Row],[Plain]]</f>
        <v>0</v>
      </c>
      <c r="E112" s="185">
        <f ca="1">TblConstr[[#This Row],[Forest]]</f>
        <v>0</v>
      </c>
      <c r="F112" s="385">
        <f ca="1">TblConstr[[#This Row],[Mountain]]</f>
        <v>0</v>
      </c>
      <c r="G112" s="389">
        <f ca="1">TblConstr[[#This Row],[Hill]]</f>
        <v>0</v>
      </c>
      <c r="H112" s="393">
        <f ca="1">TblConstr[[#This Row],[Swamp]]</f>
        <v>0</v>
      </c>
      <c r="I112" s="188">
        <f ca="1">TblConstr[[#This Row],[Cavern]]</f>
        <v>0</v>
      </c>
      <c r="J112" s="189">
        <f ca="1">TblConstr[[#This Row],[Water]]</f>
        <v>0</v>
      </c>
      <c r="K112" s="221"/>
      <c r="L112" s="221"/>
      <c r="M112" s="221"/>
      <c r="N112" s="228">
        <f ca="1">TblMili[[#This Row],[Smithies]]</f>
        <v>0.18</v>
      </c>
      <c r="O112" s="228">
        <f ca="1">TblPop[[#This Row],[Employment]]</f>
        <v>1</v>
      </c>
      <c r="P112" s="228">
        <f ca="1">TblImps[[#This Row],[Population]]</f>
        <v>1</v>
      </c>
      <c r="Q112" s="178">
        <f ca="1">TblExplore[[#This Row],[Land]]</f>
        <v>700</v>
      </c>
      <c r="R112" s="178">
        <f>TblExplore[[#This Row],[Hour]]</f>
        <v>109</v>
      </c>
      <c r="S112" s="229"/>
      <c r="T112" s="182"/>
      <c r="U112" s="182"/>
      <c r="V112" s="182"/>
      <c r="W112" s="182"/>
      <c r="X112" s="182"/>
      <c r="Y112" s="182"/>
      <c r="Z112" s="182"/>
      <c r="AA112" s="162">
        <f ca="1">TblImps[[#This Row],[Real time]]</f>
        <v>45434.249999999738</v>
      </c>
      <c r="AB112" s="97">
        <f ca="1">TblMili[[#This Row],[Draftees]]</f>
        <v>2741</v>
      </c>
      <c r="AC112" s="97">
        <f ca="1">TblProd[[#This Row],[Platinum]]</f>
        <v>1500850</v>
      </c>
      <c r="AD112" s="226"/>
      <c r="AE112" s="45">
        <f ca="1">TblExplore[[#This Row],[Land]]-TblExplore[[#This Row],[Land Bonus]]*20</f>
        <v>700</v>
      </c>
      <c r="AF112" s="97">
        <f ca="1">ROUND(MAX(0.6*TblExplore[[#This Row],[Land-DB]]^1.299,850)*(1+ tech_2_6*Techs!AC112 + tech_2_9*Techs!AF112 + tech_3_7*Techs!AN112 + Overview!$I$32),0)</f>
        <v>2978</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391</v>
      </c>
    </row>
    <row r="113" spans="1:36" x14ac:dyDescent="0.2">
      <c r="A113" s="178">
        <f>TblRezone[[#This Row],[Hour]]</f>
        <v>110</v>
      </c>
      <c r="B113" s="225">
        <f ca="1">TblConstr[[#This Row],[Land]]</f>
        <v>700</v>
      </c>
      <c r="C113" s="226"/>
      <c r="D113" s="227">
        <f ca="1">TblConstr[[#This Row],[Plain]]</f>
        <v>0</v>
      </c>
      <c r="E113" s="185">
        <f ca="1">TblConstr[[#This Row],[Forest]]</f>
        <v>0</v>
      </c>
      <c r="F113" s="385">
        <f ca="1">TblConstr[[#This Row],[Mountain]]</f>
        <v>0</v>
      </c>
      <c r="G113" s="389">
        <f ca="1">TblConstr[[#This Row],[Hill]]</f>
        <v>0</v>
      </c>
      <c r="H113" s="393">
        <f ca="1">TblConstr[[#This Row],[Swamp]]</f>
        <v>0</v>
      </c>
      <c r="I113" s="188">
        <f ca="1">TblConstr[[#This Row],[Cavern]]</f>
        <v>0</v>
      </c>
      <c r="J113" s="189">
        <f ca="1">TblConstr[[#This Row],[Water]]</f>
        <v>0</v>
      </c>
      <c r="K113" s="221"/>
      <c r="L113" s="221"/>
      <c r="M113" s="221"/>
      <c r="N113" s="228">
        <f ca="1">TblMili[[#This Row],[Smithies]]</f>
        <v>0.18</v>
      </c>
      <c r="O113" s="228">
        <f ca="1">TblPop[[#This Row],[Employment]]</f>
        <v>1</v>
      </c>
      <c r="P113" s="228">
        <f ca="1">TblImps[[#This Row],[Population]]</f>
        <v>1</v>
      </c>
      <c r="Q113" s="178">
        <f ca="1">TblExplore[[#This Row],[Land]]</f>
        <v>700</v>
      </c>
      <c r="R113" s="178">
        <f>TblExplore[[#This Row],[Hour]]</f>
        <v>110</v>
      </c>
      <c r="S113" s="229"/>
      <c r="T113" s="182"/>
      <c r="U113" s="182"/>
      <c r="V113" s="182"/>
      <c r="W113" s="182"/>
      <c r="X113" s="182"/>
      <c r="Y113" s="182"/>
      <c r="Z113" s="182"/>
      <c r="AA113" s="162">
        <f ca="1">TblImps[[#This Row],[Real time]]</f>
        <v>45434.291666666402</v>
      </c>
      <c r="AB113" s="97">
        <f ca="1">TblMili[[#This Row],[Draftees]]</f>
        <v>2811</v>
      </c>
      <c r="AC113" s="97">
        <f ca="1">TblProd[[#This Row],[Platinum]]</f>
        <v>1532054</v>
      </c>
      <c r="AD113" s="226"/>
      <c r="AE113" s="45">
        <f ca="1">TblExplore[[#This Row],[Land]]-TblExplore[[#This Row],[Land Bonus]]*20</f>
        <v>700</v>
      </c>
      <c r="AF113" s="97">
        <f ca="1">ROUND(MAX(0.6*TblExplore[[#This Row],[Land-DB]]^1.299,850)*(1+ tech_2_6*Techs!AC113 + tech_2_9*Techs!AF113 + tech_3_7*Techs!AN113 + Overview!$I$32),0)</f>
        <v>2978</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401</v>
      </c>
    </row>
    <row r="114" spans="1:36" x14ac:dyDescent="0.2">
      <c r="A114" s="178">
        <f>TblRezone[[#This Row],[Hour]]</f>
        <v>111</v>
      </c>
      <c r="B114" s="225">
        <f ca="1">TblConstr[[#This Row],[Land]]</f>
        <v>700</v>
      </c>
      <c r="C114" s="226"/>
      <c r="D114" s="227">
        <f ca="1">TblConstr[[#This Row],[Plain]]</f>
        <v>0</v>
      </c>
      <c r="E114" s="185">
        <f ca="1">TblConstr[[#This Row],[Forest]]</f>
        <v>0</v>
      </c>
      <c r="F114" s="385">
        <f ca="1">TblConstr[[#This Row],[Mountain]]</f>
        <v>0</v>
      </c>
      <c r="G114" s="389">
        <f ca="1">TblConstr[[#This Row],[Hill]]</f>
        <v>0</v>
      </c>
      <c r="H114" s="393">
        <f ca="1">TblConstr[[#This Row],[Swamp]]</f>
        <v>0</v>
      </c>
      <c r="I114" s="188">
        <f ca="1">TblConstr[[#This Row],[Cavern]]</f>
        <v>0</v>
      </c>
      <c r="J114" s="189">
        <f ca="1">TblConstr[[#This Row],[Water]]</f>
        <v>0</v>
      </c>
      <c r="K114" s="221"/>
      <c r="L114" s="221"/>
      <c r="M114" s="221"/>
      <c r="N114" s="228">
        <f ca="1">TblMili[[#This Row],[Smithies]]</f>
        <v>0.18</v>
      </c>
      <c r="O114" s="228">
        <f ca="1">TblPop[[#This Row],[Employment]]</f>
        <v>1</v>
      </c>
      <c r="P114" s="228">
        <f ca="1">TblImps[[#This Row],[Population]]</f>
        <v>1</v>
      </c>
      <c r="Q114" s="178">
        <f ca="1">TblExplore[[#This Row],[Land]]</f>
        <v>700</v>
      </c>
      <c r="R114" s="178">
        <f>TblExplore[[#This Row],[Hour]]</f>
        <v>111</v>
      </c>
      <c r="S114" s="229"/>
      <c r="T114" s="182"/>
      <c r="U114" s="182"/>
      <c r="V114" s="182"/>
      <c r="W114" s="182"/>
      <c r="X114" s="182"/>
      <c r="Y114" s="182"/>
      <c r="Z114" s="182"/>
      <c r="AA114" s="162">
        <f ca="1">TblImps[[#This Row],[Real time]]</f>
        <v>45434.333333333067</v>
      </c>
      <c r="AB114" s="97">
        <f ca="1">TblMili[[#This Row],[Draftees]]</f>
        <v>2880</v>
      </c>
      <c r="AC114" s="97">
        <f ca="1">TblProd[[#This Row],[Platinum]]</f>
        <v>1563069</v>
      </c>
      <c r="AD114" s="226"/>
      <c r="AE114" s="45">
        <f ca="1">TblExplore[[#This Row],[Land]]-TblExplore[[#This Row],[Land Bonus]]*20</f>
        <v>700</v>
      </c>
      <c r="AF114" s="97">
        <f ca="1">ROUND(MAX(0.6*TblExplore[[#This Row],[Land-DB]]^1.299,850)*(1+ tech_2_6*Techs!AC114 + tech_2_9*Techs!AF114 + tech_3_7*Techs!AN114 + Overview!$I$32),0)</f>
        <v>2978</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411</v>
      </c>
    </row>
    <row r="115" spans="1:36" x14ac:dyDescent="0.2">
      <c r="A115" s="178">
        <f>TblRezone[[#This Row],[Hour]]</f>
        <v>112</v>
      </c>
      <c r="B115" s="225">
        <f ca="1">TblConstr[[#This Row],[Land]]</f>
        <v>700</v>
      </c>
      <c r="C115" s="226"/>
      <c r="D115" s="227">
        <f ca="1">TblConstr[[#This Row],[Plain]]</f>
        <v>0</v>
      </c>
      <c r="E115" s="185">
        <f ca="1">TblConstr[[#This Row],[Forest]]</f>
        <v>0</v>
      </c>
      <c r="F115" s="385">
        <f ca="1">TblConstr[[#This Row],[Mountain]]</f>
        <v>0</v>
      </c>
      <c r="G115" s="389">
        <f ca="1">TblConstr[[#This Row],[Hill]]</f>
        <v>0</v>
      </c>
      <c r="H115" s="393">
        <f ca="1">TblConstr[[#This Row],[Swamp]]</f>
        <v>0</v>
      </c>
      <c r="I115" s="188">
        <f ca="1">TblConstr[[#This Row],[Cavern]]</f>
        <v>0</v>
      </c>
      <c r="J115" s="189">
        <f ca="1">TblConstr[[#This Row],[Water]]</f>
        <v>0</v>
      </c>
      <c r="K115" s="221"/>
      <c r="L115" s="221"/>
      <c r="M115" s="221"/>
      <c r="N115" s="228">
        <f ca="1">TblMili[[#This Row],[Smithies]]</f>
        <v>0.18</v>
      </c>
      <c r="O115" s="228">
        <f ca="1">TblPop[[#This Row],[Employment]]</f>
        <v>1</v>
      </c>
      <c r="P115" s="228">
        <f ca="1">TblImps[[#This Row],[Population]]</f>
        <v>1</v>
      </c>
      <c r="Q115" s="178">
        <f ca="1">TblExplore[[#This Row],[Land]]</f>
        <v>700</v>
      </c>
      <c r="R115" s="178">
        <f>TblExplore[[#This Row],[Hour]]</f>
        <v>112</v>
      </c>
      <c r="S115" s="229"/>
      <c r="T115" s="182"/>
      <c r="U115" s="182"/>
      <c r="V115" s="182"/>
      <c r="W115" s="182"/>
      <c r="X115" s="182"/>
      <c r="Y115" s="182"/>
      <c r="Z115" s="182"/>
      <c r="AA115" s="162">
        <f ca="1">TblImps[[#This Row],[Real time]]</f>
        <v>45434.374999999731</v>
      </c>
      <c r="AB115" s="97">
        <f ca="1">TblMili[[#This Row],[Draftees]]</f>
        <v>2948</v>
      </c>
      <c r="AC115" s="97">
        <f ca="1">TblProd[[#This Row],[Platinum]]</f>
        <v>1593898</v>
      </c>
      <c r="AD115" s="226"/>
      <c r="AE115" s="45">
        <f ca="1">TblExplore[[#This Row],[Land]]-TblExplore[[#This Row],[Land Bonus]]*20</f>
        <v>700</v>
      </c>
      <c r="AF115" s="97">
        <f ca="1">ROUND(MAX(0.6*TblExplore[[#This Row],[Land-DB]]^1.299,850)*(1+ tech_2_6*Techs!AC115 + tech_2_9*Techs!AF115 + tech_3_7*Techs!AN115 + Overview!$I$32),0)</f>
        <v>2978</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421</v>
      </c>
    </row>
    <row r="116" spans="1:36" x14ac:dyDescent="0.2">
      <c r="A116" s="178">
        <f>TblRezone[[#This Row],[Hour]]</f>
        <v>113</v>
      </c>
      <c r="B116" s="225">
        <f ca="1">TblConstr[[#This Row],[Land]]</f>
        <v>700</v>
      </c>
      <c r="C116" s="226"/>
      <c r="D116" s="227">
        <f ca="1">TblConstr[[#This Row],[Plain]]</f>
        <v>0</v>
      </c>
      <c r="E116" s="185">
        <f ca="1">TblConstr[[#This Row],[Forest]]</f>
        <v>0</v>
      </c>
      <c r="F116" s="385">
        <f ca="1">TblConstr[[#This Row],[Mountain]]</f>
        <v>0</v>
      </c>
      <c r="G116" s="389">
        <f ca="1">TblConstr[[#This Row],[Hill]]</f>
        <v>0</v>
      </c>
      <c r="H116" s="393">
        <f ca="1">TblConstr[[#This Row],[Swamp]]</f>
        <v>0</v>
      </c>
      <c r="I116" s="188">
        <f ca="1">TblConstr[[#This Row],[Cavern]]</f>
        <v>0</v>
      </c>
      <c r="J116" s="189">
        <f ca="1">TblConstr[[#This Row],[Water]]</f>
        <v>0</v>
      </c>
      <c r="K116" s="221"/>
      <c r="L116" s="221"/>
      <c r="M116" s="221"/>
      <c r="N116" s="228">
        <f ca="1">TblMili[[#This Row],[Smithies]]</f>
        <v>0.18</v>
      </c>
      <c r="O116" s="228">
        <f ca="1">TblPop[[#This Row],[Employment]]</f>
        <v>1</v>
      </c>
      <c r="P116" s="228">
        <f ca="1">TblImps[[#This Row],[Population]]</f>
        <v>1</v>
      </c>
      <c r="Q116" s="178">
        <f ca="1">TblExplore[[#This Row],[Land]]</f>
        <v>700</v>
      </c>
      <c r="R116" s="178">
        <f>TblExplore[[#This Row],[Hour]]</f>
        <v>113</v>
      </c>
      <c r="S116" s="229"/>
      <c r="T116" s="182"/>
      <c r="U116" s="182"/>
      <c r="V116" s="182"/>
      <c r="W116" s="182"/>
      <c r="X116" s="182"/>
      <c r="Y116" s="182"/>
      <c r="Z116" s="182"/>
      <c r="AA116" s="162">
        <f ca="1">TblImps[[#This Row],[Real time]]</f>
        <v>45434.416666666395</v>
      </c>
      <c r="AB116" s="97">
        <f ca="1">TblMili[[#This Row],[Draftees]]</f>
        <v>3016</v>
      </c>
      <c r="AC116" s="97">
        <f ca="1">TblProd[[#This Row],[Platinum]]</f>
        <v>1624543</v>
      </c>
      <c r="AD116" s="226"/>
      <c r="AE116" s="45">
        <f ca="1">TblExplore[[#This Row],[Land]]-TblExplore[[#This Row],[Land Bonus]]*20</f>
        <v>700</v>
      </c>
      <c r="AF116" s="97">
        <f ca="1">ROUND(MAX(0.6*TblExplore[[#This Row],[Land-DB]]^1.299,850)*(1+ tech_2_6*Techs!AC116 + tech_2_9*Techs!AF116 + tech_3_7*Techs!AN116 + Overview!$I$32),0)</f>
        <v>2978</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430</v>
      </c>
    </row>
    <row r="117" spans="1:36" x14ac:dyDescent="0.2">
      <c r="A117" s="178">
        <f>TblRezone[[#This Row],[Hour]]</f>
        <v>114</v>
      </c>
      <c r="B117" s="225">
        <f ca="1">TblConstr[[#This Row],[Land]]</f>
        <v>700</v>
      </c>
      <c r="C117" s="226"/>
      <c r="D117" s="227">
        <f ca="1">TblConstr[[#This Row],[Plain]]</f>
        <v>0</v>
      </c>
      <c r="E117" s="185">
        <f ca="1">TblConstr[[#This Row],[Forest]]</f>
        <v>0</v>
      </c>
      <c r="F117" s="385">
        <f ca="1">TblConstr[[#This Row],[Mountain]]</f>
        <v>0</v>
      </c>
      <c r="G117" s="389">
        <f ca="1">TblConstr[[#This Row],[Hill]]</f>
        <v>0</v>
      </c>
      <c r="H117" s="393">
        <f ca="1">TblConstr[[#This Row],[Swamp]]</f>
        <v>0</v>
      </c>
      <c r="I117" s="188">
        <f ca="1">TblConstr[[#This Row],[Cavern]]</f>
        <v>0</v>
      </c>
      <c r="J117" s="189">
        <f ca="1">TblConstr[[#This Row],[Water]]</f>
        <v>0</v>
      </c>
      <c r="K117" s="221"/>
      <c r="L117" s="221"/>
      <c r="M117" s="221"/>
      <c r="N117" s="228">
        <f ca="1">TblMili[[#This Row],[Smithies]]</f>
        <v>0.18</v>
      </c>
      <c r="O117" s="228">
        <f ca="1">TblPop[[#This Row],[Employment]]</f>
        <v>1</v>
      </c>
      <c r="P117" s="228">
        <f ca="1">TblImps[[#This Row],[Population]]</f>
        <v>1</v>
      </c>
      <c r="Q117" s="178">
        <f ca="1">TblExplore[[#This Row],[Land]]</f>
        <v>700</v>
      </c>
      <c r="R117" s="178">
        <f>TblExplore[[#This Row],[Hour]]</f>
        <v>114</v>
      </c>
      <c r="S117" s="229"/>
      <c r="T117" s="182"/>
      <c r="U117" s="182"/>
      <c r="V117" s="182"/>
      <c r="W117" s="182"/>
      <c r="X117" s="182"/>
      <c r="Y117" s="182"/>
      <c r="Z117" s="182"/>
      <c r="AA117" s="162">
        <f ca="1">TblImps[[#This Row],[Real time]]</f>
        <v>45434.458333333059</v>
      </c>
      <c r="AB117" s="97">
        <f ca="1">TblMili[[#This Row],[Draftees]]</f>
        <v>3083</v>
      </c>
      <c r="AC117" s="97">
        <f ca="1">TblProd[[#This Row],[Platinum]]</f>
        <v>1655005</v>
      </c>
      <c r="AD117" s="226"/>
      <c r="AE117" s="45">
        <f ca="1">TblExplore[[#This Row],[Land]]-TblExplore[[#This Row],[Land Bonus]]*20</f>
        <v>700</v>
      </c>
      <c r="AF117" s="97">
        <f ca="1">ROUND(MAX(0.6*TblExplore[[#This Row],[Land-DB]]^1.299,850)*(1+ tech_2_6*Techs!AC117 + tech_2_9*Techs!AF117 + tech_3_7*Techs!AN117 + Overview!$I$32),0)</f>
        <v>2978</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440</v>
      </c>
    </row>
    <row r="118" spans="1:36" x14ac:dyDescent="0.2">
      <c r="A118" s="178">
        <f>TblRezone[[#This Row],[Hour]]</f>
        <v>115</v>
      </c>
      <c r="B118" s="225">
        <f ca="1">TblConstr[[#This Row],[Land]]</f>
        <v>700</v>
      </c>
      <c r="C118" s="226"/>
      <c r="D118" s="227">
        <f ca="1">TblConstr[[#This Row],[Plain]]</f>
        <v>0</v>
      </c>
      <c r="E118" s="185">
        <f ca="1">TblConstr[[#This Row],[Forest]]</f>
        <v>0</v>
      </c>
      <c r="F118" s="385">
        <f ca="1">TblConstr[[#This Row],[Mountain]]</f>
        <v>0</v>
      </c>
      <c r="G118" s="389">
        <f ca="1">TblConstr[[#This Row],[Hill]]</f>
        <v>0</v>
      </c>
      <c r="H118" s="393">
        <f ca="1">TblConstr[[#This Row],[Swamp]]</f>
        <v>0</v>
      </c>
      <c r="I118" s="188">
        <f ca="1">TblConstr[[#This Row],[Cavern]]</f>
        <v>0</v>
      </c>
      <c r="J118" s="189">
        <f ca="1">TblConstr[[#This Row],[Water]]</f>
        <v>0</v>
      </c>
      <c r="K118" s="221"/>
      <c r="L118" s="221"/>
      <c r="M118" s="221"/>
      <c r="N118" s="228">
        <f ca="1">TblMili[[#This Row],[Smithies]]</f>
        <v>0.18</v>
      </c>
      <c r="O118" s="228">
        <f ca="1">TblPop[[#This Row],[Employment]]</f>
        <v>1</v>
      </c>
      <c r="P118" s="228">
        <f ca="1">TblImps[[#This Row],[Population]]</f>
        <v>1</v>
      </c>
      <c r="Q118" s="178">
        <f ca="1">TblExplore[[#This Row],[Land]]</f>
        <v>700</v>
      </c>
      <c r="R118" s="178">
        <f>TblExplore[[#This Row],[Hour]]</f>
        <v>115</v>
      </c>
      <c r="S118" s="229"/>
      <c r="T118" s="182"/>
      <c r="U118" s="182"/>
      <c r="V118" s="182"/>
      <c r="W118" s="182"/>
      <c r="X118" s="182"/>
      <c r="Y118" s="182"/>
      <c r="Z118" s="182"/>
      <c r="AA118" s="162">
        <f ca="1">TblImps[[#This Row],[Real time]]</f>
        <v>45434.499999999724</v>
      </c>
      <c r="AB118" s="97">
        <f ca="1">TblMili[[#This Row],[Draftees]]</f>
        <v>3149</v>
      </c>
      <c r="AC118" s="97">
        <f ca="1">TblProd[[#This Row],[Platinum]]</f>
        <v>1685286</v>
      </c>
      <c r="AD118" s="226"/>
      <c r="AE118" s="45">
        <f ca="1">TblExplore[[#This Row],[Land]]-TblExplore[[#This Row],[Land Bonus]]*20</f>
        <v>700</v>
      </c>
      <c r="AF118" s="97">
        <f ca="1">ROUND(MAX(0.6*TblExplore[[#This Row],[Land-DB]]^1.299,850)*(1+ tech_2_6*Techs!AC118 + tech_2_9*Techs!AF118 + tech_3_7*Techs!AN118 + Overview!$I$32),0)</f>
        <v>2978</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449</v>
      </c>
    </row>
    <row r="119" spans="1:36" x14ac:dyDescent="0.2">
      <c r="A119" s="178">
        <f>TblRezone[[#This Row],[Hour]]</f>
        <v>116</v>
      </c>
      <c r="B119" s="225">
        <f ca="1">TblConstr[[#This Row],[Land]]</f>
        <v>700</v>
      </c>
      <c r="C119" s="226"/>
      <c r="D119" s="227">
        <f ca="1">TblConstr[[#This Row],[Plain]]</f>
        <v>0</v>
      </c>
      <c r="E119" s="185">
        <f ca="1">TblConstr[[#This Row],[Forest]]</f>
        <v>0</v>
      </c>
      <c r="F119" s="385">
        <f ca="1">TblConstr[[#This Row],[Mountain]]</f>
        <v>0</v>
      </c>
      <c r="G119" s="389">
        <f ca="1">TblConstr[[#This Row],[Hill]]</f>
        <v>0</v>
      </c>
      <c r="H119" s="393">
        <f ca="1">TblConstr[[#This Row],[Swamp]]</f>
        <v>0</v>
      </c>
      <c r="I119" s="188">
        <f ca="1">TblConstr[[#This Row],[Cavern]]</f>
        <v>0</v>
      </c>
      <c r="J119" s="189">
        <f ca="1">TblConstr[[#This Row],[Water]]</f>
        <v>0</v>
      </c>
      <c r="K119" s="221"/>
      <c r="L119" s="221"/>
      <c r="M119" s="221"/>
      <c r="N119" s="228">
        <f ca="1">TblMili[[#This Row],[Smithies]]</f>
        <v>0.18</v>
      </c>
      <c r="O119" s="228">
        <f ca="1">TblPop[[#This Row],[Employment]]</f>
        <v>1</v>
      </c>
      <c r="P119" s="228">
        <f ca="1">TblImps[[#This Row],[Population]]</f>
        <v>1</v>
      </c>
      <c r="Q119" s="178">
        <f ca="1">TblExplore[[#This Row],[Land]]</f>
        <v>700</v>
      </c>
      <c r="R119" s="178">
        <f>TblExplore[[#This Row],[Hour]]</f>
        <v>116</v>
      </c>
      <c r="S119" s="229"/>
      <c r="T119" s="182"/>
      <c r="U119" s="182"/>
      <c r="V119" s="182"/>
      <c r="W119" s="182"/>
      <c r="X119" s="182"/>
      <c r="Y119" s="182"/>
      <c r="Z119" s="182"/>
      <c r="AA119" s="162">
        <f ca="1">TblImps[[#This Row],[Real time]]</f>
        <v>45434.541666666388</v>
      </c>
      <c r="AB119" s="97">
        <f ca="1">TblMili[[#This Row],[Draftees]]</f>
        <v>3215</v>
      </c>
      <c r="AC119" s="97">
        <f ca="1">TblProd[[#This Row],[Platinum]]</f>
        <v>1715389</v>
      </c>
      <c r="AD119" s="226"/>
      <c r="AE119" s="45">
        <f ca="1">TblExplore[[#This Row],[Land]]-TblExplore[[#This Row],[Land Bonus]]*20</f>
        <v>700</v>
      </c>
      <c r="AF119" s="97">
        <f ca="1">ROUND(MAX(0.6*TblExplore[[#This Row],[Land-DB]]^1.299,850)*(1+ tech_2_6*Techs!AC119 + tech_2_9*Techs!AF119 + tech_3_7*Techs!AN119 + Overview!$I$32),0)</f>
        <v>2978</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459</v>
      </c>
    </row>
    <row r="120" spans="1:36" x14ac:dyDescent="0.2">
      <c r="A120" s="178">
        <f>TblRezone[[#This Row],[Hour]]</f>
        <v>117</v>
      </c>
      <c r="B120" s="225">
        <f ca="1">TblConstr[[#This Row],[Land]]</f>
        <v>700</v>
      </c>
      <c r="C120" s="226"/>
      <c r="D120" s="227">
        <f ca="1">TblConstr[[#This Row],[Plain]]</f>
        <v>0</v>
      </c>
      <c r="E120" s="185">
        <f ca="1">TblConstr[[#This Row],[Forest]]</f>
        <v>0</v>
      </c>
      <c r="F120" s="385">
        <f ca="1">TblConstr[[#This Row],[Mountain]]</f>
        <v>0</v>
      </c>
      <c r="G120" s="389">
        <f ca="1">TblConstr[[#This Row],[Hill]]</f>
        <v>0</v>
      </c>
      <c r="H120" s="393">
        <f ca="1">TblConstr[[#This Row],[Swamp]]</f>
        <v>0</v>
      </c>
      <c r="I120" s="188">
        <f ca="1">TblConstr[[#This Row],[Cavern]]</f>
        <v>0</v>
      </c>
      <c r="J120" s="189">
        <f ca="1">TblConstr[[#This Row],[Water]]</f>
        <v>0</v>
      </c>
      <c r="K120" s="221"/>
      <c r="L120" s="221"/>
      <c r="M120" s="221"/>
      <c r="N120" s="228">
        <f ca="1">TblMili[[#This Row],[Smithies]]</f>
        <v>0.18</v>
      </c>
      <c r="O120" s="228">
        <f ca="1">TblPop[[#This Row],[Employment]]</f>
        <v>1</v>
      </c>
      <c r="P120" s="228">
        <f ca="1">TblImps[[#This Row],[Population]]</f>
        <v>1</v>
      </c>
      <c r="Q120" s="178">
        <f ca="1">TblExplore[[#This Row],[Land]]</f>
        <v>700</v>
      </c>
      <c r="R120" s="178">
        <f>TblExplore[[#This Row],[Hour]]</f>
        <v>117</v>
      </c>
      <c r="S120" s="229"/>
      <c r="T120" s="182"/>
      <c r="U120" s="182"/>
      <c r="V120" s="182"/>
      <c r="W120" s="182"/>
      <c r="X120" s="182"/>
      <c r="Y120" s="182"/>
      <c r="Z120" s="182"/>
      <c r="AA120" s="162">
        <f ca="1">TblImps[[#This Row],[Real time]]</f>
        <v>45434.583333333052</v>
      </c>
      <c r="AB120" s="97">
        <f ca="1">TblMili[[#This Row],[Draftees]]</f>
        <v>3280</v>
      </c>
      <c r="AC120" s="97">
        <f ca="1">TblProd[[#This Row],[Platinum]]</f>
        <v>1745314</v>
      </c>
      <c r="AD120" s="226"/>
      <c r="AE120" s="45">
        <f ca="1">TblExplore[[#This Row],[Land]]-TblExplore[[#This Row],[Land Bonus]]*20</f>
        <v>700</v>
      </c>
      <c r="AF120" s="97">
        <f ca="1">ROUND(MAX(0.6*TblExplore[[#This Row],[Land-DB]]^1.299,850)*(1+ tech_2_6*Techs!AC120 + tech_2_9*Techs!AF120 + tech_3_7*Techs!AN120 + Overview!$I$32),0)</f>
        <v>2978</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468</v>
      </c>
    </row>
    <row r="121" spans="1:36" x14ac:dyDescent="0.2">
      <c r="A121" s="178">
        <f>TblRezone[[#This Row],[Hour]]</f>
        <v>118</v>
      </c>
      <c r="B121" s="225">
        <f ca="1">TblConstr[[#This Row],[Land]]</f>
        <v>700</v>
      </c>
      <c r="C121" s="226"/>
      <c r="D121" s="227">
        <f ca="1">TblConstr[[#This Row],[Plain]]</f>
        <v>0</v>
      </c>
      <c r="E121" s="185">
        <f ca="1">TblConstr[[#This Row],[Forest]]</f>
        <v>0</v>
      </c>
      <c r="F121" s="385">
        <f ca="1">TblConstr[[#This Row],[Mountain]]</f>
        <v>0</v>
      </c>
      <c r="G121" s="389">
        <f ca="1">TblConstr[[#This Row],[Hill]]</f>
        <v>0</v>
      </c>
      <c r="H121" s="393">
        <f ca="1">TblConstr[[#This Row],[Swamp]]</f>
        <v>0</v>
      </c>
      <c r="I121" s="188">
        <f ca="1">TblConstr[[#This Row],[Cavern]]</f>
        <v>0</v>
      </c>
      <c r="J121" s="189">
        <f ca="1">TblConstr[[#This Row],[Water]]</f>
        <v>0</v>
      </c>
      <c r="K121" s="221"/>
      <c r="L121" s="221"/>
      <c r="M121" s="221"/>
      <c r="N121" s="228">
        <f ca="1">TblMili[[#This Row],[Smithies]]</f>
        <v>0.18</v>
      </c>
      <c r="O121" s="228">
        <f ca="1">TblPop[[#This Row],[Employment]]</f>
        <v>1</v>
      </c>
      <c r="P121" s="228">
        <f ca="1">TblImps[[#This Row],[Population]]</f>
        <v>1</v>
      </c>
      <c r="Q121" s="178">
        <f ca="1">TblExplore[[#This Row],[Land]]</f>
        <v>700</v>
      </c>
      <c r="R121" s="178">
        <f>TblExplore[[#This Row],[Hour]]</f>
        <v>118</v>
      </c>
      <c r="S121" s="229"/>
      <c r="T121" s="182"/>
      <c r="U121" s="182"/>
      <c r="V121" s="182"/>
      <c r="W121" s="182"/>
      <c r="X121" s="182"/>
      <c r="Y121" s="182"/>
      <c r="Z121" s="182"/>
      <c r="AA121" s="162">
        <f ca="1">TblImps[[#This Row],[Real time]]</f>
        <v>45434.624999999716</v>
      </c>
      <c r="AB121" s="97">
        <f ca="1">TblMili[[#This Row],[Draftees]]</f>
        <v>3344</v>
      </c>
      <c r="AC121" s="97">
        <f ca="1">TblProd[[#This Row],[Platinum]]</f>
        <v>1775063</v>
      </c>
      <c r="AD121" s="226"/>
      <c r="AE121" s="45">
        <f ca="1">TblExplore[[#This Row],[Land]]-TblExplore[[#This Row],[Land Bonus]]*20</f>
        <v>700</v>
      </c>
      <c r="AF121" s="97">
        <f ca="1">ROUND(MAX(0.6*TblExplore[[#This Row],[Land-DB]]^1.299,850)*(1+ tech_2_6*Techs!AC121 + tech_2_9*Techs!AF121 + tech_3_7*Techs!AN121 + Overview!$I$32),0)</f>
        <v>2978</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477</v>
      </c>
    </row>
    <row r="122" spans="1:36" x14ac:dyDescent="0.2">
      <c r="A122" s="178">
        <f>TblRezone[[#This Row],[Hour]]</f>
        <v>119</v>
      </c>
      <c r="B122" s="225">
        <f ca="1">TblConstr[[#This Row],[Land]]</f>
        <v>700</v>
      </c>
      <c r="C122" s="226"/>
      <c r="D122" s="227">
        <f ca="1">TblConstr[[#This Row],[Plain]]</f>
        <v>0</v>
      </c>
      <c r="E122" s="185">
        <f ca="1">TblConstr[[#This Row],[Forest]]</f>
        <v>0</v>
      </c>
      <c r="F122" s="385">
        <f ca="1">TblConstr[[#This Row],[Mountain]]</f>
        <v>0</v>
      </c>
      <c r="G122" s="389">
        <f ca="1">TblConstr[[#This Row],[Hill]]</f>
        <v>0</v>
      </c>
      <c r="H122" s="393">
        <f ca="1">TblConstr[[#This Row],[Swamp]]</f>
        <v>0</v>
      </c>
      <c r="I122" s="188">
        <f ca="1">TblConstr[[#This Row],[Cavern]]</f>
        <v>0</v>
      </c>
      <c r="J122" s="189">
        <f ca="1">TblConstr[[#This Row],[Water]]</f>
        <v>0</v>
      </c>
      <c r="K122" s="221"/>
      <c r="L122" s="221"/>
      <c r="M122" s="221"/>
      <c r="N122" s="228">
        <f ca="1">TblMili[[#This Row],[Smithies]]</f>
        <v>0.18</v>
      </c>
      <c r="O122" s="228">
        <f ca="1">TblPop[[#This Row],[Employment]]</f>
        <v>1</v>
      </c>
      <c r="P122" s="228">
        <f ca="1">TblImps[[#This Row],[Population]]</f>
        <v>1</v>
      </c>
      <c r="Q122" s="178">
        <f ca="1">TblExplore[[#This Row],[Land]]</f>
        <v>700</v>
      </c>
      <c r="R122" s="178">
        <f>TblExplore[[#This Row],[Hour]]</f>
        <v>119</v>
      </c>
      <c r="S122" s="229"/>
      <c r="T122" s="182"/>
      <c r="U122" s="182"/>
      <c r="V122" s="182"/>
      <c r="W122" s="182"/>
      <c r="X122" s="182"/>
      <c r="Y122" s="182"/>
      <c r="Z122" s="182"/>
      <c r="AA122" s="162">
        <f ca="1">TblImps[[#This Row],[Real time]]</f>
        <v>45434.66666666638</v>
      </c>
      <c r="AB122" s="97">
        <f ca="1">TblMili[[#This Row],[Draftees]]</f>
        <v>3408</v>
      </c>
      <c r="AC122" s="97">
        <f ca="1">TblProd[[#This Row],[Platinum]]</f>
        <v>1804639</v>
      </c>
      <c r="AD122" s="226"/>
      <c r="AE122" s="45">
        <f ca="1">TblExplore[[#This Row],[Land]]-TblExplore[[#This Row],[Land Bonus]]*20</f>
        <v>700</v>
      </c>
      <c r="AF122" s="97">
        <f ca="1">ROUND(MAX(0.6*TblExplore[[#This Row],[Land-DB]]^1.299,850)*(1+ tech_2_6*Techs!AC122 + tech_2_9*Techs!AF122 + tech_3_7*Techs!AN122 + Overview!$I$32),0)</f>
        <v>2978</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486</v>
      </c>
    </row>
    <row r="123" spans="1:36" x14ac:dyDescent="0.2">
      <c r="A123" s="178">
        <f>TblRezone[[#This Row],[Hour]]</f>
        <v>120</v>
      </c>
      <c r="B123" s="225">
        <f ca="1">TblConstr[[#This Row],[Land]]</f>
        <v>700</v>
      </c>
      <c r="C123" s="226"/>
      <c r="D123" s="227">
        <f ca="1">TblConstr[[#This Row],[Plain]]</f>
        <v>0</v>
      </c>
      <c r="E123" s="185">
        <f ca="1">TblConstr[[#This Row],[Forest]]</f>
        <v>0</v>
      </c>
      <c r="F123" s="385">
        <f ca="1">TblConstr[[#This Row],[Mountain]]</f>
        <v>0</v>
      </c>
      <c r="G123" s="389">
        <f ca="1">TblConstr[[#This Row],[Hill]]</f>
        <v>0</v>
      </c>
      <c r="H123" s="393">
        <f ca="1">TblConstr[[#This Row],[Swamp]]</f>
        <v>0</v>
      </c>
      <c r="I123" s="188">
        <f ca="1">TblConstr[[#This Row],[Cavern]]</f>
        <v>0</v>
      </c>
      <c r="J123" s="189">
        <f ca="1">TblConstr[[#This Row],[Water]]</f>
        <v>0</v>
      </c>
      <c r="K123" s="221"/>
      <c r="L123" s="221"/>
      <c r="M123" s="221"/>
      <c r="N123" s="228">
        <f ca="1">TblMili[[#This Row],[Smithies]]</f>
        <v>0.18</v>
      </c>
      <c r="O123" s="228">
        <f ca="1">TblPop[[#This Row],[Employment]]</f>
        <v>1</v>
      </c>
      <c r="P123" s="228">
        <f ca="1">TblImps[[#This Row],[Population]]</f>
        <v>1</v>
      </c>
      <c r="Q123" s="178">
        <f ca="1">TblExplore[[#This Row],[Land]]</f>
        <v>700</v>
      </c>
      <c r="R123" s="178">
        <f>TblExplore[[#This Row],[Hour]]</f>
        <v>120</v>
      </c>
      <c r="S123" s="229"/>
      <c r="T123" s="182"/>
      <c r="U123" s="182"/>
      <c r="V123" s="182"/>
      <c r="W123" s="182"/>
      <c r="X123" s="182"/>
      <c r="Y123" s="182"/>
      <c r="Z123" s="182"/>
      <c r="AA123" s="162">
        <f ca="1">TblImps[[#This Row],[Real time]]</f>
        <v>45434.708333333045</v>
      </c>
      <c r="AB123" s="97">
        <f ca="1">TblMili[[#This Row],[Draftees]]</f>
        <v>3471</v>
      </c>
      <c r="AC123" s="97">
        <f ca="1">TblProd[[#This Row],[Platinum]]</f>
        <v>1834042</v>
      </c>
      <c r="AD123" s="226"/>
      <c r="AE123" s="45">
        <f ca="1">TblExplore[[#This Row],[Land]]-TblExplore[[#This Row],[Land Bonus]]*20</f>
        <v>700</v>
      </c>
      <c r="AF123" s="97">
        <f ca="1">ROUND(MAX(0.6*TblExplore[[#This Row],[Land-DB]]^1.299,850)*(1+ tech_2_6*Techs!AC123 + tech_2_9*Techs!AF123 + tech_3_7*Techs!AN123 + Overview!$I$32),0)</f>
        <v>2978</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495</v>
      </c>
    </row>
    <row r="124" spans="1:36" x14ac:dyDescent="0.2">
      <c r="A124" s="178">
        <f>TblRezone[[#This Row],[Hour]]</f>
        <v>121</v>
      </c>
      <c r="B124" s="225">
        <f ca="1">TblConstr[[#This Row],[Land]]</f>
        <v>700</v>
      </c>
      <c r="C124" s="226"/>
      <c r="D124" s="227">
        <f ca="1">TblConstr[[#This Row],[Plain]]</f>
        <v>0</v>
      </c>
      <c r="E124" s="185">
        <f ca="1">TblConstr[[#This Row],[Forest]]</f>
        <v>0</v>
      </c>
      <c r="F124" s="385">
        <f ca="1">TblConstr[[#This Row],[Mountain]]</f>
        <v>0</v>
      </c>
      <c r="G124" s="389">
        <f ca="1">TblConstr[[#This Row],[Hill]]</f>
        <v>0</v>
      </c>
      <c r="H124" s="393">
        <f ca="1">TblConstr[[#This Row],[Swamp]]</f>
        <v>0</v>
      </c>
      <c r="I124" s="188">
        <f ca="1">TblConstr[[#This Row],[Cavern]]</f>
        <v>0</v>
      </c>
      <c r="J124" s="189">
        <f ca="1">TblConstr[[#This Row],[Water]]</f>
        <v>0</v>
      </c>
      <c r="K124" s="221"/>
      <c r="L124" s="241" t="s">
        <v>300</v>
      </c>
      <c r="M124" s="240" t="s">
        <v>303</v>
      </c>
      <c r="N124" s="228">
        <f ca="1">TblMili[[#This Row],[Smithies]]</f>
        <v>0.18</v>
      </c>
      <c r="O124" s="228">
        <f ca="1">TblPop[[#This Row],[Employment]]</f>
        <v>1</v>
      </c>
      <c r="P124" s="228">
        <f ca="1">TblImps[[#This Row],[Population]]</f>
        <v>1</v>
      </c>
      <c r="Q124" s="178">
        <f ca="1">TblExplore[[#This Row],[Land]]</f>
        <v>700</v>
      </c>
      <c r="R124" s="178">
        <f>TblExplore[[#This Row],[Hour]]</f>
        <v>121</v>
      </c>
      <c r="S124" s="229"/>
      <c r="T124" s="182"/>
      <c r="U124" s="182"/>
      <c r="V124" s="182"/>
      <c r="W124" s="182"/>
      <c r="X124" s="182"/>
      <c r="Y124" s="182"/>
      <c r="Z124" s="182"/>
      <c r="AA124" s="162">
        <f ca="1">TblImps[[#This Row],[Real time]]</f>
        <v>45434.749999999709</v>
      </c>
      <c r="AB124" s="97">
        <f ca="1">TblMili[[#This Row],[Draftees]]</f>
        <v>3533</v>
      </c>
      <c r="AC124" s="97">
        <f ca="1">TblProd[[#This Row],[Platinum]]</f>
        <v>1863275</v>
      </c>
      <c r="AD124" s="226"/>
      <c r="AE124" s="45">
        <f ca="1">TblExplore[[#This Row],[Land]]-TblExplore[[#This Row],[Land Bonus]]*20</f>
        <v>700</v>
      </c>
      <c r="AF124" s="97">
        <f ca="1">ROUND(MAX(0.6*TblExplore[[#This Row],[Land-DB]]^1.299,850)*(1+ tech_2_6*Techs!AC124 + tech_2_9*Techs!AF124 + tech_3_7*Techs!AN124 + Overview!$I$32),0)</f>
        <v>2978</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504</v>
      </c>
    </row>
    <row r="125" spans="1:36" x14ac:dyDescent="0.2">
      <c r="A125" s="178">
        <f>TblRezone[[#This Row],[Hour]]</f>
        <v>122</v>
      </c>
      <c r="B125" s="225">
        <f ca="1">TblConstr[[#This Row],[Land]]</f>
        <v>700</v>
      </c>
      <c r="C125" s="226"/>
      <c r="D125" s="227">
        <f ca="1">TblConstr[[#This Row],[Plain]]</f>
        <v>0</v>
      </c>
      <c r="E125" s="185">
        <f ca="1">TblConstr[[#This Row],[Forest]]</f>
        <v>0</v>
      </c>
      <c r="F125" s="385">
        <f ca="1">TblConstr[[#This Row],[Mountain]]</f>
        <v>0</v>
      </c>
      <c r="G125" s="389">
        <f ca="1">TblConstr[[#This Row],[Hill]]</f>
        <v>0</v>
      </c>
      <c r="H125" s="393">
        <f ca="1">TblConstr[[#This Row],[Swamp]]</f>
        <v>0</v>
      </c>
      <c r="I125" s="188">
        <f ca="1">TblConstr[[#This Row],[Cavern]]</f>
        <v>0</v>
      </c>
      <c r="J125" s="189">
        <f ca="1">TblConstr[[#This Row],[Water]]</f>
        <v>0</v>
      </c>
      <c r="K125" s="221"/>
      <c r="L125" s="241"/>
      <c r="M125" s="240"/>
      <c r="N125" s="228">
        <f ca="1">TblMili[[#This Row],[Smithies]]</f>
        <v>0.18</v>
      </c>
      <c r="O125" s="228">
        <f ca="1">TblPop[[#This Row],[Employment]]</f>
        <v>1</v>
      </c>
      <c r="P125" s="228">
        <f ca="1">TblImps[[#This Row],[Population]]</f>
        <v>1</v>
      </c>
      <c r="Q125" s="178">
        <f ca="1">TblExplore[[#This Row],[Land]]</f>
        <v>700</v>
      </c>
      <c r="R125" s="178">
        <f>TblExplore[[#This Row],[Hour]]</f>
        <v>122</v>
      </c>
      <c r="S125" s="229"/>
      <c r="T125" s="182"/>
      <c r="U125" s="182"/>
      <c r="V125" s="182"/>
      <c r="W125" s="182"/>
      <c r="X125" s="182"/>
      <c r="Y125" s="182"/>
      <c r="Z125" s="182"/>
      <c r="AA125" s="162">
        <f ca="1">TblImps[[#This Row],[Real time]]</f>
        <v>45434.791666666373</v>
      </c>
      <c r="AB125" s="97">
        <f ca="1">TblMili[[#This Row],[Draftees]]</f>
        <v>3595</v>
      </c>
      <c r="AC125" s="97">
        <f ca="1">TblProd[[#This Row],[Platinum]]</f>
        <v>1892341</v>
      </c>
      <c r="AD125" s="226"/>
      <c r="AE125" s="45">
        <f ca="1">TblExplore[[#This Row],[Land]]-TblExplore[[#This Row],[Land Bonus]]*20</f>
        <v>700</v>
      </c>
      <c r="AF125" s="97">
        <f ca="1">ROUND(MAX(0.6*TblExplore[[#This Row],[Land-DB]]^1.299,850)*(1+ tech_2_6*Techs!AC125 + tech_2_9*Techs!AF125 + tech_3_7*Techs!AN125 + Overview!$I$32),0)</f>
        <v>2978</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513</v>
      </c>
    </row>
    <row r="126" spans="1:36" x14ac:dyDescent="0.2">
      <c r="A126" s="178">
        <f>TblRezone[[#This Row],[Hour]]</f>
        <v>123</v>
      </c>
      <c r="B126" s="225">
        <f ca="1">TblConstr[[#This Row],[Land]]</f>
        <v>700</v>
      </c>
      <c r="C126" s="226"/>
      <c r="D126" s="227">
        <f ca="1">TblConstr[[#This Row],[Plain]]</f>
        <v>0</v>
      </c>
      <c r="E126" s="185">
        <f ca="1">TblConstr[[#This Row],[Forest]]</f>
        <v>0</v>
      </c>
      <c r="F126" s="385">
        <f ca="1">TblConstr[[#This Row],[Mountain]]</f>
        <v>0</v>
      </c>
      <c r="G126" s="389">
        <f ca="1">TblConstr[[#This Row],[Hill]]</f>
        <v>0</v>
      </c>
      <c r="H126" s="393">
        <f ca="1">TblConstr[[#This Row],[Swamp]]</f>
        <v>0</v>
      </c>
      <c r="I126" s="188">
        <f ca="1">TblConstr[[#This Row],[Cavern]]</f>
        <v>0</v>
      </c>
      <c r="J126" s="189">
        <f ca="1">TblConstr[[#This Row],[Water]]</f>
        <v>0</v>
      </c>
      <c r="K126" s="221"/>
      <c r="L126" s="241"/>
      <c r="M126" s="240"/>
      <c r="N126" s="228">
        <f ca="1">TblMili[[#This Row],[Smithies]]</f>
        <v>0.18</v>
      </c>
      <c r="O126" s="228">
        <f ca="1">TblPop[[#This Row],[Employment]]</f>
        <v>1</v>
      </c>
      <c r="P126" s="228">
        <f ca="1">TblImps[[#This Row],[Population]]</f>
        <v>1</v>
      </c>
      <c r="Q126" s="178">
        <f ca="1">TblExplore[[#This Row],[Land]]</f>
        <v>700</v>
      </c>
      <c r="R126" s="178">
        <f>TblExplore[[#This Row],[Hour]]</f>
        <v>123</v>
      </c>
      <c r="S126" s="229"/>
      <c r="T126" s="182"/>
      <c r="U126" s="182"/>
      <c r="V126" s="182"/>
      <c r="W126" s="182"/>
      <c r="X126" s="182"/>
      <c r="Y126" s="182"/>
      <c r="Z126" s="182"/>
      <c r="AA126" s="162">
        <f ca="1">TblImps[[#This Row],[Real time]]</f>
        <v>45434.833333333037</v>
      </c>
      <c r="AB126" s="97">
        <f ca="1">TblMili[[#This Row],[Draftees]]</f>
        <v>3656</v>
      </c>
      <c r="AC126" s="97">
        <f ca="1">TblProd[[#This Row],[Platinum]]</f>
        <v>1921240</v>
      </c>
      <c r="AD126" s="226"/>
      <c r="AE126" s="45">
        <f ca="1">TblExplore[[#This Row],[Land]]-TblExplore[[#This Row],[Land Bonus]]*20</f>
        <v>700</v>
      </c>
      <c r="AF126" s="97">
        <f ca="1">ROUND(MAX(0.6*TblExplore[[#This Row],[Land-DB]]^1.299,850)*(1+ tech_2_6*Techs!AC126 + tech_2_9*Techs!AF126 + tech_3_7*Techs!AN126 + Overview!$I$32),0)</f>
        <v>2978</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522</v>
      </c>
    </row>
    <row r="127" spans="1:36" x14ac:dyDescent="0.2">
      <c r="A127" s="178">
        <f>TblRezone[[#This Row],[Hour]]</f>
        <v>124</v>
      </c>
      <c r="B127" s="225">
        <f ca="1">TblConstr[[#This Row],[Land]]</f>
        <v>700</v>
      </c>
      <c r="C127" s="226"/>
      <c r="D127" s="227">
        <f ca="1">TblConstr[[#This Row],[Plain]]</f>
        <v>0</v>
      </c>
      <c r="E127" s="185">
        <f ca="1">TblConstr[[#This Row],[Forest]]</f>
        <v>0</v>
      </c>
      <c r="F127" s="385">
        <f ca="1">TblConstr[[#This Row],[Mountain]]</f>
        <v>0</v>
      </c>
      <c r="G127" s="389">
        <f ca="1">TblConstr[[#This Row],[Hill]]</f>
        <v>0</v>
      </c>
      <c r="H127" s="393">
        <f ca="1">TblConstr[[#This Row],[Swamp]]</f>
        <v>0</v>
      </c>
      <c r="I127" s="188">
        <f ca="1">TblConstr[[#This Row],[Cavern]]</f>
        <v>0</v>
      </c>
      <c r="J127" s="189">
        <f ca="1">TblConstr[[#This Row],[Water]]</f>
        <v>0</v>
      </c>
      <c r="K127" s="221"/>
      <c r="L127" s="221">
        <v>4</v>
      </c>
      <c r="M127" s="221">
        <v>299</v>
      </c>
      <c r="N127" s="228">
        <f ca="1">TblMili[[#This Row],[Smithies]]</f>
        <v>0.18</v>
      </c>
      <c r="O127" s="228">
        <f ca="1">TblPop[[#This Row],[Employment]]</f>
        <v>1</v>
      </c>
      <c r="P127" s="228">
        <f ca="1">TblImps[[#This Row],[Population]]</f>
        <v>1</v>
      </c>
      <c r="Q127" s="178">
        <f ca="1">TblExplore[[#This Row],[Land]]</f>
        <v>700</v>
      </c>
      <c r="R127" s="178">
        <f>TblExplore[[#This Row],[Hour]]</f>
        <v>124</v>
      </c>
      <c r="S127" s="229"/>
      <c r="T127" s="182"/>
      <c r="U127" s="182"/>
      <c r="V127" s="182"/>
      <c r="W127" s="182"/>
      <c r="X127" s="182"/>
      <c r="Y127" s="182"/>
      <c r="Z127" s="182"/>
      <c r="AA127" s="162">
        <f ca="1">TblImps[[#This Row],[Real time]]</f>
        <v>45434.874999999702</v>
      </c>
      <c r="AB127" s="97">
        <f ca="1">TblMili[[#This Row],[Draftees]]</f>
        <v>3717</v>
      </c>
      <c r="AC127" s="97">
        <f ca="1">TblProd[[#This Row],[Platinum]]</f>
        <v>1949974</v>
      </c>
      <c r="AD127" s="226"/>
      <c r="AE127" s="45">
        <f ca="1">TblExplore[[#This Row],[Land]]-TblExplore[[#This Row],[Land Bonus]]*20</f>
        <v>700</v>
      </c>
      <c r="AF127" s="97">
        <f ca="1">ROUND(MAX(0.6*TblExplore[[#This Row],[Land-DB]]^1.299,850)*(1+ tech_2_6*Techs!AC127 + tech_2_9*Techs!AF127 + tech_3_7*Techs!AN127 + Overview!$I$32),0)</f>
        <v>2978</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531</v>
      </c>
    </row>
    <row r="128" spans="1:36" x14ac:dyDescent="0.2">
      <c r="A128" s="178">
        <f>TblRezone[[#This Row],[Hour]]</f>
        <v>125</v>
      </c>
      <c r="B128" s="225">
        <f ca="1">TblConstr[[#This Row],[Land]]</f>
        <v>700</v>
      </c>
      <c r="C128" s="226"/>
      <c r="D128" s="227">
        <f ca="1">TblConstr[[#This Row],[Plain]]</f>
        <v>0</v>
      </c>
      <c r="E128" s="185">
        <f ca="1">TblConstr[[#This Row],[Forest]]</f>
        <v>0</v>
      </c>
      <c r="F128" s="385">
        <f ca="1">TblConstr[[#This Row],[Mountain]]</f>
        <v>0</v>
      </c>
      <c r="G128" s="389">
        <f ca="1">TblConstr[[#This Row],[Hill]]</f>
        <v>0</v>
      </c>
      <c r="H128" s="393">
        <f ca="1">TblConstr[[#This Row],[Swamp]]</f>
        <v>0</v>
      </c>
      <c r="I128" s="188">
        <f ca="1">TblConstr[[#This Row],[Cavern]]</f>
        <v>0</v>
      </c>
      <c r="J128" s="189">
        <f ca="1">TblConstr[[#This Row],[Water]]</f>
        <v>0</v>
      </c>
      <c r="K128" s="221"/>
      <c r="L128" s="221">
        <v>5</v>
      </c>
      <c r="M128" s="221">
        <v>419</v>
      </c>
      <c r="N128" s="228">
        <f ca="1">TblMili[[#This Row],[Smithies]]</f>
        <v>0.18</v>
      </c>
      <c r="O128" s="228">
        <f ca="1">TblPop[[#This Row],[Employment]]</f>
        <v>1</v>
      </c>
      <c r="P128" s="228">
        <f ca="1">TblImps[[#This Row],[Population]]</f>
        <v>1</v>
      </c>
      <c r="Q128" s="178">
        <f ca="1">TblExplore[[#This Row],[Land]]</f>
        <v>700</v>
      </c>
      <c r="R128" s="178">
        <f>TblExplore[[#This Row],[Hour]]</f>
        <v>125</v>
      </c>
      <c r="S128" s="229"/>
      <c r="T128" s="182"/>
      <c r="U128" s="182"/>
      <c r="V128" s="182"/>
      <c r="W128" s="182"/>
      <c r="X128" s="182"/>
      <c r="Y128" s="182"/>
      <c r="Z128" s="182"/>
      <c r="AA128" s="162">
        <f ca="1">TblImps[[#This Row],[Real time]]</f>
        <v>45434.916666666366</v>
      </c>
      <c r="AB128" s="97">
        <f ca="1">TblMili[[#This Row],[Draftees]]</f>
        <v>3777</v>
      </c>
      <c r="AC128" s="97">
        <f ca="1">TblProd[[#This Row],[Platinum]]</f>
        <v>1978543</v>
      </c>
      <c r="AD128" s="226"/>
      <c r="AE128" s="45">
        <f ca="1">TblExplore[[#This Row],[Land]]-TblExplore[[#This Row],[Land Bonus]]*20</f>
        <v>700</v>
      </c>
      <c r="AF128" s="97">
        <f ca="1">ROUND(MAX(0.6*TblExplore[[#This Row],[Land-DB]]^1.299,850)*(1+ tech_2_6*Techs!AC128 + tech_2_9*Techs!AF128 + tech_3_7*Techs!AN128 + Overview!$I$32),0)</f>
        <v>2978</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539</v>
      </c>
    </row>
    <row r="129" spans="1:36" x14ac:dyDescent="0.2">
      <c r="A129" s="178">
        <f>TblRezone[[#This Row],[Hour]]</f>
        <v>126</v>
      </c>
      <c r="B129" s="225">
        <f ca="1">TblConstr[[#This Row],[Land]]</f>
        <v>700</v>
      </c>
      <c r="C129" s="226"/>
      <c r="D129" s="227">
        <f ca="1">TblConstr[[#This Row],[Plain]]</f>
        <v>0</v>
      </c>
      <c r="E129" s="185">
        <f ca="1">TblConstr[[#This Row],[Forest]]</f>
        <v>0</v>
      </c>
      <c r="F129" s="385">
        <f ca="1">TblConstr[[#This Row],[Mountain]]</f>
        <v>0</v>
      </c>
      <c r="G129" s="389">
        <f ca="1">TblConstr[[#This Row],[Hill]]</f>
        <v>0</v>
      </c>
      <c r="H129" s="393">
        <f ca="1">TblConstr[[#This Row],[Swamp]]</f>
        <v>0</v>
      </c>
      <c r="I129" s="188">
        <f ca="1">TblConstr[[#This Row],[Cavern]]</f>
        <v>0</v>
      </c>
      <c r="J129" s="189">
        <f ca="1">TblConstr[[#This Row],[Water]]</f>
        <v>0</v>
      </c>
      <c r="K129" s="221"/>
      <c r="L129" s="221">
        <v>6</v>
      </c>
      <c r="M129" s="221">
        <v>632</v>
      </c>
      <c r="N129" s="228">
        <f ca="1">TblMili[[#This Row],[Smithies]]</f>
        <v>0.18</v>
      </c>
      <c r="O129" s="228">
        <f ca="1">TblPop[[#This Row],[Employment]]</f>
        <v>1</v>
      </c>
      <c r="P129" s="228">
        <f ca="1">TblImps[[#This Row],[Population]]</f>
        <v>1</v>
      </c>
      <c r="Q129" s="178">
        <f ca="1">TblExplore[[#This Row],[Land]]</f>
        <v>700</v>
      </c>
      <c r="R129" s="178">
        <f>TblExplore[[#This Row],[Hour]]</f>
        <v>126</v>
      </c>
      <c r="S129" s="229"/>
      <c r="T129" s="182"/>
      <c r="U129" s="182"/>
      <c r="V129" s="182"/>
      <c r="W129" s="182"/>
      <c r="X129" s="182"/>
      <c r="Y129" s="182"/>
      <c r="Z129" s="182"/>
      <c r="AA129" s="162">
        <f ca="1">TblImps[[#This Row],[Real time]]</f>
        <v>45434.95833333303</v>
      </c>
      <c r="AB129" s="97">
        <f ca="1">TblMili[[#This Row],[Draftees]]</f>
        <v>3836</v>
      </c>
      <c r="AC129" s="97">
        <f ca="1">TblProd[[#This Row],[Platinum]]</f>
        <v>2006950</v>
      </c>
      <c r="AD129" s="226"/>
      <c r="AE129" s="45">
        <f ca="1">TblExplore[[#This Row],[Land]]-TblExplore[[#This Row],[Land Bonus]]*20</f>
        <v>700</v>
      </c>
      <c r="AF129" s="97">
        <f ca="1">ROUND(MAX(0.6*TblExplore[[#This Row],[Land-DB]]^1.299,850)*(1+ tech_2_6*Techs!AC129 + tech_2_9*Techs!AF129 + tech_3_7*Techs!AN129 + Overview!$I$32),0)</f>
        <v>2978</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548</v>
      </c>
    </row>
    <row r="130" spans="1:36" x14ac:dyDescent="0.2">
      <c r="A130" s="178">
        <f>TblRezone[[#This Row],[Hour]]</f>
        <v>127</v>
      </c>
      <c r="B130" s="225">
        <f ca="1">TblConstr[[#This Row],[Land]]</f>
        <v>700</v>
      </c>
      <c r="C130" s="226"/>
      <c r="D130" s="227">
        <f ca="1">TblConstr[[#This Row],[Plain]]</f>
        <v>0</v>
      </c>
      <c r="E130" s="185">
        <f ca="1">TblConstr[[#This Row],[Forest]]</f>
        <v>0</v>
      </c>
      <c r="F130" s="385">
        <f ca="1">TblConstr[[#This Row],[Mountain]]</f>
        <v>0</v>
      </c>
      <c r="G130" s="389">
        <f ca="1">TblConstr[[#This Row],[Hill]]</f>
        <v>0</v>
      </c>
      <c r="H130" s="393">
        <f ca="1">TblConstr[[#This Row],[Swamp]]</f>
        <v>0</v>
      </c>
      <c r="I130" s="188">
        <f ca="1">TblConstr[[#This Row],[Cavern]]</f>
        <v>0</v>
      </c>
      <c r="J130" s="189">
        <f ca="1">TblConstr[[#This Row],[Water]]</f>
        <v>0</v>
      </c>
      <c r="K130" s="221"/>
      <c r="L130" s="221">
        <v>7</v>
      </c>
      <c r="M130" s="221">
        <v>836</v>
      </c>
      <c r="N130" s="228">
        <f ca="1">TblMili[[#This Row],[Smithies]]</f>
        <v>0.18</v>
      </c>
      <c r="O130" s="228">
        <f ca="1">TblPop[[#This Row],[Employment]]</f>
        <v>1</v>
      </c>
      <c r="P130" s="228">
        <f ca="1">TblImps[[#This Row],[Population]]</f>
        <v>1</v>
      </c>
      <c r="Q130" s="178">
        <f ca="1">TblExplore[[#This Row],[Land]]</f>
        <v>700</v>
      </c>
      <c r="R130" s="178">
        <f>TblExplore[[#This Row],[Hour]]</f>
        <v>127</v>
      </c>
      <c r="S130" s="229"/>
      <c r="T130" s="182"/>
      <c r="U130" s="182"/>
      <c r="V130" s="182"/>
      <c r="W130" s="182"/>
      <c r="X130" s="182"/>
      <c r="Y130" s="182"/>
      <c r="Z130" s="182"/>
      <c r="AA130" s="162">
        <f ca="1">TblImps[[#This Row],[Real time]]</f>
        <v>45434.999999999694</v>
      </c>
      <c r="AB130" s="97">
        <f ca="1">TblMili[[#This Row],[Draftees]]</f>
        <v>3895</v>
      </c>
      <c r="AC130" s="97">
        <f ca="1">TblProd[[#This Row],[Platinum]]</f>
        <v>2035198</v>
      </c>
      <c r="AD130" s="226"/>
      <c r="AE130" s="45">
        <f ca="1">TblExplore[[#This Row],[Land]]-TblExplore[[#This Row],[Land Bonus]]*20</f>
        <v>700</v>
      </c>
      <c r="AF130" s="97">
        <f ca="1">ROUND(MAX(0.6*TblExplore[[#This Row],[Land-DB]]^1.299,850)*(1+ tech_2_6*Techs!AC130 + tech_2_9*Techs!AF130 + tech_3_7*Techs!AN130 + Overview!$I$32),0)</f>
        <v>2978</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556</v>
      </c>
    </row>
    <row r="131" spans="1:36" x14ac:dyDescent="0.2">
      <c r="A131" s="178">
        <f>TblRezone[[#This Row],[Hour]]</f>
        <v>128</v>
      </c>
      <c r="B131" s="225">
        <f ca="1">TblConstr[[#This Row],[Land]]</f>
        <v>700</v>
      </c>
      <c r="C131" s="226"/>
      <c r="D131" s="227">
        <f ca="1">TblConstr[[#This Row],[Plain]]</f>
        <v>0</v>
      </c>
      <c r="E131" s="185">
        <f ca="1">TblConstr[[#This Row],[Forest]]</f>
        <v>0</v>
      </c>
      <c r="F131" s="385">
        <f ca="1">TblConstr[[#This Row],[Mountain]]</f>
        <v>0</v>
      </c>
      <c r="G131" s="389">
        <f ca="1">TblConstr[[#This Row],[Hill]]</f>
        <v>0</v>
      </c>
      <c r="H131" s="393">
        <f ca="1">TblConstr[[#This Row],[Swamp]]</f>
        <v>0</v>
      </c>
      <c r="I131" s="188">
        <f ca="1">TblConstr[[#This Row],[Cavern]]</f>
        <v>0</v>
      </c>
      <c r="J131" s="189">
        <f ca="1">TblConstr[[#This Row],[Water]]</f>
        <v>0</v>
      </c>
      <c r="K131" s="221"/>
      <c r="L131" s="221">
        <v>8</v>
      </c>
      <c r="M131" s="221">
        <v>1035</v>
      </c>
      <c r="N131" s="228">
        <f ca="1">TblMili[[#This Row],[Smithies]]</f>
        <v>0.18</v>
      </c>
      <c r="O131" s="228">
        <f ca="1">TblPop[[#This Row],[Employment]]</f>
        <v>1</v>
      </c>
      <c r="P131" s="228">
        <f ca="1">TblImps[[#This Row],[Population]]</f>
        <v>1</v>
      </c>
      <c r="Q131" s="178">
        <f ca="1">TblExplore[[#This Row],[Land]]</f>
        <v>700</v>
      </c>
      <c r="R131" s="178">
        <f>TblExplore[[#This Row],[Hour]]</f>
        <v>128</v>
      </c>
      <c r="S131" s="229"/>
      <c r="T131" s="182"/>
      <c r="U131" s="182"/>
      <c r="V131" s="182"/>
      <c r="W131" s="182"/>
      <c r="X131" s="182"/>
      <c r="Y131" s="182"/>
      <c r="Z131" s="182"/>
      <c r="AA131" s="162">
        <f ca="1">TblImps[[#This Row],[Real time]]</f>
        <v>45435.041666666359</v>
      </c>
      <c r="AB131" s="97">
        <f ca="1">TblMili[[#This Row],[Draftees]]</f>
        <v>3953</v>
      </c>
      <c r="AC131" s="97">
        <f ca="1">TblProd[[#This Row],[Platinum]]</f>
        <v>2063287</v>
      </c>
      <c r="AD131" s="226"/>
      <c r="AE131" s="45">
        <f ca="1">TblExplore[[#This Row],[Land]]-TblExplore[[#This Row],[Land Bonus]]*20</f>
        <v>700</v>
      </c>
      <c r="AF131" s="97">
        <f ca="1">ROUND(MAX(0.6*TblExplore[[#This Row],[Land-DB]]^1.299,850)*(1+ tech_2_6*Techs!AC131 + tech_2_9*Techs!AF131 + tech_3_7*Techs!AN131 + Overview!$I$32),0)</f>
        <v>2978</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564</v>
      </c>
    </row>
    <row r="132" spans="1:36" x14ac:dyDescent="0.2">
      <c r="A132" s="178">
        <f>TblRezone[[#This Row],[Hour]]</f>
        <v>129</v>
      </c>
      <c r="B132" s="225">
        <f ca="1">TblConstr[[#This Row],[Land]]</f>
        <v>700</v>
      </c>
      <c r="C132" s="226"/>
      <c r="D132" s="227">
        <f ca="1">TblConstr[[#This Row],[Plain]]</f>
        <v>0</v>
      </c>
      <c r="E132" s="185">
        <f ca="1">TblConstr[[#This Row],[Forest]]</f>
        <v>0</v>
      </c>
      <c r="F132" s="385">
        <f ca="1">TblConstr[[#This Row],[Mountain]]</f>
        <v>0</v>
      </c>
      <c r="G132" s="389">
        <f ca="1">TblConstr[[#This Row],[Hill]]</f>
        <v>0</v>
      </c>
      <c r="H132" s="393">
        <f ca="1">TblConstr[[#This Row],[Swamp]]</f>
        <v>0</v>
      </c>
      <c r="I132" s="188">
        <f ca="1">TblConstr[[#This Row],[Cavern]]</f>
        <v>0</v>
      </c>
      <c r="J132" s="189">
        <f ca="1">TblConstr[[#This Row],[Water]]</f>
        <v>0</v>
      </c>
      <c r="K132" s="221"/>
      <c r="L132" s="221">
        <v>9</v>
      </c>
      <c r="M132" s="221">
        <v>1229</v>
      </c>
      <c r="N132" s="228">
        <f ca="1">TblMili[[#This Row],[Smithies]]</f>
        <v>0.18</v>
      </c>
      <c r="O132" s="228">
        <f ca="1">TblPop[[#This Row],[Employment]]</f>
        <v>1</v>
      </c>
      <c r="P132" s="228">
        <f ca="1">TblImps[[#This Row],[Population]]</f>
        <v>1</v>
      </c>
      <c r="Q132" s="178">
        <f ca="1">TblExplore[[#This Row],[Land]]</f>
        <v>700</v>
      </c>
      <c r="R132" s="178">
        <f>TblExplore[[#This Row],[Hour]]</f>
        <v>129</v>
      </c>
      <c r="S132" s="229"/>
      <c r="T132" s="182"/>
      <c r="U132" s="182"/>
      <c r="V132" s="182"/>
      <c r="W132" s="182"/>
      <c r="X132" s="182"/>
      <c r="Y132" s="182"/>
      <c r="Z132" s="182"/>
      <c r="AA132" s="162">
        <f ca="1">TblImps[[#This Row],[Real time]]</f>
        <v>45435.083333333023</v>
      </c>
      <c r="AB132" s="97">
        <f ca="1">TblMili[[#This Row],[Draftees]]</f>
        <v>4011</v>
      </c>
      <c r="AC132" s="97">
        <f ca="1">TblProd[[#This Row],[Platinum]]</f>
        <v>2091219</v>
      </c>
      <c r="AD132" s="226"/>
      <c r="AE132" s="45">
        <f ca="1">TblExplore[[#This Row],[Land]]-TblExplore[[#This Row],[Land Bonus]]*20</f>
        <v>700</v>
      </c>
      <c r="AF132" s="97">
        <f ca="1">ROUND(MAX(0.6*TblExplore[[#This Row],[Land-DB]]^1.299,850)*(1+ tech_2_6*Techs!AC132 + tech_2_9*Techs!AF132 + tech_3_7*Techs!AN132 + Overview!$I$32),0)</f>
        <v>2978</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573</v>
      </c>
    </row>
    <row r="133" spans="1:36" x14ac:dyDescent="0.2">
      <c r="A133" s="178">
        <f>TblRezone[[#This Row],[Hour]]</f>
        <v>130</v>
      </c>
      <c r="B133" s="225">
        <f ca="1">TblConstr[[#This Row],[Land]]</f>
        <v>700</v>
      </c>
      <c r="C133" s="226"/>
      <c r="D133" s="227">
        <f ca="1">TblConstr[[#This Row],[Plain]]</f>
        <v>0</v>
      </c>
      <c r="E133" s="185">
        <f ca="1">TblConstr[[#This Row],[Forest]]</f>
        <v>0</v>
      </c>
      <c r="F133" s="385">
        <f ca="1">TblConstr[[#This Row],[Mountain]]</f>
        <v>0</v>
      </c>
      <c r="G133" s="389">
        <f ca="1">TblConstr[[#This Row],[Hill]]</f>
        <v>0</v>
      </c>
      <c r="H133" s="393">
        <f ca="1">TblConstr[[#This Row],[Swamp]]</f>
        <v>0</v>
      </c>
      <c r="I133" s="188">
        <f ca="1">TblConstr[[#This Row],[Cavern]]</f>
        <v>0</v>
      </c>
      <c r="J133" s="189">
        <f ca="1">TblConstr[[#This Row],[Water]]</f>
        <v>0</v>
      </c>
      <c r="K133" s="221"/>
      <c r="L133" s="221">
        <v>10</v>
      </c>
      <c r="M133" s="221">
        <v>1421</v>
      </c>
      <c r="N133" s="228">
        <f ca="1">TblMili[[#This Row],[Smithies]]</f>
        <v>0.18</v>
      </c>
      <c r="O133" s="228">
        <f ca="1">TblPop[[#This Row],[Employment]]</f>
        <v>1</v>
      </c>
      <c r="P133" s="228">
        <f ca="1">TblImps[[#This Row],[Population]]</f>
        <v>1</v>
      </c>
      <c r="Q133" s="178">
        <f ca="1">TblExplore[[#This Row],[Land]]</f>
        <v>700</v>
      </c>
      <c r="R133" s="178">
        <f>TblExplore[[#This Row],[Hour]]</f>
        <v>130</v>
      </c>
      <c r="S133" s="229"/>
      <c r="T133" s="182"/>
      <c r="U133" s="182"/>
      <c r="V133" s="182"/>
      <c r="W133" s="182"/>
      <c r="X133" s="182"/>
      <c r="Y133" s="182"/>
      <c r="Z133" s="182"/>
      <c r="AA133" s="162">
        <f ca="1">TblImps[[#This Row],[Real time]]</f>
        <v>45435.124999999687</v>
      </c>
      <c r="AB133" s="97">
        <f ca="1">TblMili[[#This Row],[Draftees]]</f>
        <v>4068</v>
      </c>
      <c r="AC133" s="97">
        <f ca="1">TblProd[[#This Row],[Platinum]]</f>
        <v>2118994</v>
      </c>
      <c r="AD133" s="226"/>
      <c r="AE133" s="45">
        <f ca="1">TblExplore[[#This Row],[Land]]-TblExplore[[#This Row],[Land Bonus]]*20</f>
        <v>700</v>
      </c>
      <c r="AF133" s="97">
        <f ca="1">ROUND(MAX(0.6*TblExplore[[#This Row],[Land-DB]]^1.299,850)*(1+ tech_2_6*Techs!AC133 + tech_2_9*Techs!AF133 + tech_3_7*Techs!AN133 + Overview!$I$32),0)</f>
        <v>2978</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581</v>
      </c>
    </row>
    <row r="134" spans="1:36" x14ac:dyDescent="0.2">
      <c r="A134" s="178">
        <f>TblRezone[[#This Row],[Hour]]</f>
        <v>131</v>
      </c>
      <c r="B134" s="225">
        <f ca="1">TblConstr[[#This Row],[Land]]</f>
        <v>700</v>
      </c>
      <c r="C134" s="226"/>
      <c r="D134" s="227">
        <f ca="1">TblConstr[[#This Row],[Plain]]</f>
        <v>0</v>
      </c>
      <c r="E134" s="185">
        <f ca="1">TblConstr[[#This Row],[Forest]]</f>
        <v>0</v>
      </c>
      <c r="F134" s="385">
        <f ca="1">TblConstr[[#This Row],[Mountain]]</f>
        <v>0</v>
      </c>
      <c r="G134" s="389">
        <f ca="1">TblConstr[[#This Row],[Hill]]</f>
        <v>0</v>
      </c>
      <c r="H134" s="393">
        <f ca="1">TblConstr[[#This Row],[Swamp]]</f>
        <v>0</v>
      </c>
      <c r="I134" s="188">
        <f ca="1">TblConstr[[#This Row],[Cavern]]</f>
        <v>0</v>
      </c>
      <c r="J134" s="189">
        <f ca="1">TblConstr[[#This Row],[Water]]</f>
        <v>0</v>
      </c>
      <c r="K134" s="221"/>
      <c r="L134" s="221">
        <v>11</v>
      </c>
      <c r="M134" s="221">
        <v>1610</v>
      </c>
      <c r="N134" s="228">
        <f ca="1">TblMili[[#This Row],[Smithies]]</f>
        <v>0.18</v>
      </c>
      <c r="O134" s="228">
        <f ca="1">TblPop[[#This Row],[Employment]]</f>
        <v>1</v>
      </c>
      <c r="P134" s="228">
        <f ca="1">TblImps[[#This Row],[Population]]</f>
        <v>1</v>
      </c>
      <c r="Q134" s="178">
        <f ca="1">TblExplore[[#This Row],[Land]]</f>
        <v>700</v>
      </c>
      <c r="R134" s="178">
        <f>TblExplore[[#This Row],[Hour]]</f>
        <v>131</v>
      </c>
      <c r="S134" s="229"/>
      <c r="T134" s="182"/>
      <c r="U134" s="182"/>
      <c r="V134" s="182"/>
      <c r="W134" s="182"/>
      <c r="X134" s="182"/>
      <c r="Y134" s="182"/>
      <c r="Z134" s="182"/>
      <c r="AA134" s="162">
        <f ca="1">TblImps[[#This Row],[Real time]]</f>
        <v>45435.166666666351</v>
      </c>
      <c r="AB134" s="97">
        <f ca="1">TblMili[[#This Row],[Draftees]]</f>
        <v>4124</v>
      </c>
      <c r="AC134" s="97">
        <f ca="1">TblProd[[#This Row],[Platinum]]</f>
        <v>2146615</v>
      </c>
      <c r="AD134" s="226"/>
      <c r="AE134" s="45">
        <f ca="1">TblExplore[[#This Row],[Land]]-TblExplore[[#This Row],[Land Bonus]]*20</f>
        <v>700</v>
      </c>
      <c r="AF134" s="97">
        <f ca="1">ROUND(MAX(0.6*TblExplore[[#This Row],[Land-DB]]^1.299,850)*(1+ tech_2_6*Techs!AC134 + tech_2_9*Techs!AF134 + tech_3_7*Techs!AN134 + Overview!$I$32),0)</f>
        <v>2978</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589</v>
      </c>
    </row>
    <row r="135" spans="1:36" x14ac:dyDescent="0.2">
      <c r="A135" s="178">
        <f>TblRezone[[#This Row],[Hour]]</f>
        <v>132</v>
      </c>
      <c r="B135" s="225">
        <f ca="1">TblConstr[[#This Row],[Land]]</f>
        <v>700</v>
      </c>
      <c r="C135" s="226"/>
      <c r="D135" s="227">
        <f ca="1">TblConstr[[#This Row],[Plain]]</f>
        <v>0</v>
      </c>
      <c r="E135" s="185">
        <f ca="1">TblConstr[[#This Row],[Forest]]</f>
        <v>0</v>
      </c>
      <c r="F135" s="385">
        <f ca="1">TblConstr[[#This Row],[Mountain]]</f>
        <v>0</v>
      </c>
      <c r="G135" s="389">
        <f ca="1">TblConstr[[#This Row],[Hill]]</f>
        <v>0</v>
      </c>
      <c r="H135" s="393">
        <f ca="1">TblConstr[[#This Row],[Swamp]]</f>
        <v>0</v>
      </c>
      <c r="I135" s="188">
        <f ca="1">TblConstr[[#This Row],[Cavern]]</f>
        <v>0</v>
      </c>
      <c r="J135" s="189">
        <f ca="1">TblConstr[[#This Row],[Water]]</f>
        <v>0</v>
      </c>
      <c r="K135" s="221"/>
      <c r="L135" s="221">
        <v>12</v>
      </c>
      <c r="M135" s="221">
        <v>1798</v>
      </c>
      <c r="N135" s="228">
        <f ca="1">TblMili[[#This Row],[Smithies]]</f>
        <v>0.18</v>
      </c>
      <c r="O135" s="228">
        <f ca="1">TblPop[[#This Row],[Employment]]</f>
        <v>1</v>
      </c>
      <c r="P135" s="228">
        <f ca="1">TblImps[[#This Row],[Population]]</f>
        <v>1</v>
      </c>
      <c r="Q135" s="178">
        <f ca="1">TblExplore[[#This Row],[Land]]</f>
        <v>700</v>
      </c>
      <c r="R135" s="178">
        <f>TblExplore[[#This Row],[Hour]]</f>
        <v>132</v>
      </c>
      <c r="S135" s="229"/>
      <c r="T135" s="182"/>
      <c r="U135" s="182"/>
      <c r="V135" s="182"/>
      <c r="W135" s="182"/>
      <c r="X135" s="182"/>
      <c r="Y135" s="182"/>
      <c r="Z135" s="182"/>
      <c r="AA135" s="162">
        <f ca="1">TblImps[[#This Row],[Real time]]</f>
        <v>45435.208333333016</v>
      </c>
      <c r="AB135" s="97">
        <f ca="1">TblMili[[#This Row],[Draftees]]</f>
        <v>4180</v>
      </c>
      <c r="AC135" s="97">
        <f ca="1">TblProd[[#This Row],[Platinum]]</f>
        <v>2174085</v>
      </c>
      <c r="AD135" s="226"/>
      <c r="AE135" s="45">
        <f ca="1">TblExplore[[#This Row],[Land]]-TblExplore[[#This Row],[Land Bonus]]*20</f>
        <v>700</v>
      </c>
      <c r="AF135" s="97">
        <f ca="1">ROUND(MAX(0.6*TblExplore[[#This Row],[Land-DB]]^1.299,850)*(1+ tech_2_6*Techs!AC135 + tech_2_9*Techs!AF135 + tech_3_7*Techs!AN135 + Overview!$I$32),0)</f>
        <v>2978</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597</v>
      </c>
    </row>
    <row r="136" spans="1:36" x14ac:dyDescent="0.2">
      <c r="A136" s="178">
        <f>TblRezone[[#This Row],[Hour]]</f>
        <v>133</v>
      </c>
      <c r="B136" s="225">
        <f ca="1">TblConstr[[#This Row],[Land]]</f>
        <v>700</v>
      </c>
      <c r="C136" s="226"/>
      <c r="D136" s="227">
        <f ca="1">TblConstr[[#This Row],[Plain]]</f>
        <v>0</v>
      </c>
      <c r="E136" s="185">
        <f ca="1">TblConstr[[#This Row],[Forest]]</f>
        <v>0</v>
      </c>
      <c r="F136" s="385">
        <f ca="1">TblConstr[[#This Row],[Mountain]]</f>
        <v>0</v>
      </c>
      <c r="G136" s="389">
        <f ca="1">TblConstr[[#This Row],[Hill]]</f>
        <v>0</v>
      </c>
      <c r="H136" s="393">
        <f ca="1">TblConstr[[#This Row],[Swamp]]</f>
        <v>0</v>
      </c>
      <c r="I136" s="188">
        <f ca="1">TblConstr[[#This Row],[Cavern]]</f>
        <v>0</v>
      </c>
      <c r="J136" s="189">
        <f ca="1">TblConstr[[#This Row],[Water]]</f>
        <v>0</v>
      </c>
      <c r="K136" s="221"/>
      <c r="L136" s="221">
        <v>13</v>
      </c>
      <c r="M136" s="221">
        <v>1984</v>
      </c>
      <c r="N136" s="228">
        <f ca="1">TblMili[[#This Row],[Smithies]]</f>
        <v>0.18</v>
      </c>
      <c r="O136" s="228">
        <f ca="1">TblPop[[#This Row],[Employment]]</f>
        <v>0</v>
      </c>
      <c r="P136" s="228">
        <f ca="1">TblImps[[#This Row],[Population]]</f>
        <v>1</v>
      </c>
      <c r="Q136" s="178">
        <f ca="1">TblExplore[[#This Row],[Land]]</f>
        <v>700</v>
      </c>
      <c r="R136" s="178">
        <f>TblExplore[[#This Row],[Hour]]</f>
        <v>133</v>
      </c>
      <c r="S136" s="229"/>
      <c r="T136" s="182"/>
      <c r="U136" s="182"/>
      <c r="V136" s="182"/>
      <c r="W136" s="182"/>
      <c r="X136" s="182"/>
      <c r="Y136" s="182"/>
      <c r="Z136" s="182"/>
      <c r="AA136" s="162">
        <f ca="1">TblImps[[#This Row],[Real time]]</f>
        <v>45435.24999999968</v>
      </c>
      <c r="AB136" s="97">
        <f ca="1">TblMili[[#This Row],[Draftees]]</f>
        <v>4235</v>
      </c>
      <c r="AC136" s="97">
        <f ca="1">TblProd[[#This Row],[Platinum]]</f>
        <v>2201404</v>
      </c>
      <c r="AD136" s="226"/>
      <c r="AE136" s="45">
        <f ca="1">TblExplore[[#This Row],[Land]]-TblExplore[[#This Row],[Land Bonus]]*20</f>
        <v>700</v>
      </c>
      <c r="AF136" s="97">
        <f ca="1">ROUND(MAX(0.6*TblExplore[[#This Row],[Land-DB]]^1.299,850)*(1+ tech_2_6*Techs!AC136 + tech_2_9*Techs!AF136 + tech_3_7*Techs!AN136 + Overview!$I$32),0)</f>
        <v>2978</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605</v>
      </c>
    </row>
    <row r="1269" spans="2:13" x14ac:dyDescent="0.2">
      <c r="B1269" s="496" t="s">
        <v>316</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17" sqref="L17"/>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304</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774</v>
      </c>
      <c r="J3" s="138" t="s">
        <v>0</v>
      </c>
      <c r="K3" s="138" t="s">
        <v>311</v>
      </c>
      <c r="L3" s="138" t="s">
        <v>1031</v>
      </c>
      <c r="M3" s="138" t="s">
        <v>1032</v>
      </c>
      <c r="N3" s="138" t="s">
        <v>1033</v>
      </c>
      <c r="O3" s="138" t="s">
        <v>1034</v>
      </c>
      <c r="P3" s="138" t="s">
        <v>1035</v>
      </c>
      <c r="Q3" s="138" t="s">
        <v>1036</v>
      </c>
      <c r="R3" s="138" t="s">
        <v>1037</v>
      </c>
      <c r="S3" s="138" t="s">
        <v>302</v>
      </c>
      <c r="T3" s="138" t="s">
        <v>194</v>
      </c>
      <c r="U3" s="138" t="s">
        <v>775</v>
      </c>
      <c r="V3" s="138" t="s">
        <v>2</v>
      </c>
      <c r="W3" s="138" t="s">
        <v>776</v>
      </c>
      <c r="X3" s="138" t="s">
        <v>57</v>
      </c>
      <c r="Y3" s="138" t="s">
        <v>903</v>
      </c>
      <c r="Z3" s="138" t="s">
        <v>791</v>
      </c>
      <c r="AA3" s="138" t="s">
        <v>260</v>
      </c>
      <c r="AB3" s="138" t="s">
        <v>792</v>
      </c>
      <c r="AC3" s="138" t="s">
        <v>190</v>
      </c>
    </row>
    <row r="4" spans="1:29" ht="12.75" customHeight="1" x14ac:dyDescent="0.2">
      <c r="A4" s="225">
        <f ca="1">TblConstr[[#This Row],[Land]]</f>
        <v>250</v>
      </c>
      <c r="B4" s="227">
        <f ca="1">TblConstr[[#This Row],[Plain]]</f>
        <v>0</v>
      </c>
      <c r="C4" s="185">
        <f ca="1">TblConstr[[#This Row],[Forest]]</f>
        <v>0</v>
      </c>
      <c r="D4" s="385">
        <f ca="1">TblConstr[[#This Row],[Mountain]]</f>
        <v>0</v>
      </c>
      <c r="E4" s="389">
        <f ca="1">TblConstr[[#This Row],[Hill]]</f>
        <v>0</v>
      </c>
      <c r="F4" s="393">
        <f ca="1">TblConstr[[#This Row],[Swamp]]</f>
        <v>0</v>
      </c>
      <c r="G4" s="188">
        <f ca="1">TblConstr[[#This Row],[Cavern]]</f>
        <v>20</v>
      </c>
      <c r="H4" s="189">
        <f ca="1">TblConstr[[#This Row],[Water]]</f>
        <v>10</v>
      </c>
      <c r="I4" s="226"/>
      <c r="J4" s="178">
        <v>1</v>
      </c>
      <c r="K4" s="250">
        <f>TblImps[[#This Row],[Real time]]</f>
        <v>45429.75</v>
      </c>
      <c r="L4" s="161"/>
      <c r="M4" s="161">
        <v>-20</v>
      </c>
      <c r="N4" s="182">
        <v>-20</v>
      </c>
      <c r="O4" s="161">
        <v>8</v>
      </c>
      <c r="P4" s="161">
        <v>42</v>
      </c>
      <c r="Q4" s="161"/>
      <c r="R4" s="161">
        <v>-10</v>
      </c>
      <c r="S4" s="97">
        <f>SUMIF(TblRezone[[#This Row],[Plains Rezone]:[Water Rezone]],"&gt;0")</f>
        <v>50</v>
      </c>
      <c r="T4" s="62" t="str">
        <f>IF(SUM(TblRezone[[#This Row],[Plains Rezone]:[Water Rezone]])=0,"Ok","Nope")</f>
        <v>Ok</v>
      </c>
      <c r="U4" s="226"/>
      <c r="V4" s="97">
        <f ca="1">TblProd[[#This Row],[Platinum]]</f>
        <v>9830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12500</v>
      </c>
      <c r="Z4" s="226"/>
      <c r="AA4" s="97">
        <f ca="1">250+0.6*(TblRezone[[#This Row],[Land]]-250)</f>
        <v>250</v>
      </c>
      <c r="AB4" s="226"/>
      <c r="AC4" s="160">
        <f ca="1">TblConstr[[#This Row],[Facs DB]]</f>
        <v>0</v>
      </c>
    </row>
    <row r="5" spans="1:29" x14ac:dyDescent="0.2">
      <c r="A5" s="225">
        <f ca="1">TblConstr[[#This Row],[Land]]</f>
        <v>250</v>
      </c>
      <c r="B5" s="227">
        <f ca="1">TblConstr[[#This Row],[Plain]]</f>
        <v>0</v>
      </c>
      <c r="C5" s="185">
        <f ca="1">TblConstr[[#This Row],[Forest]]</f>
        <v>0</v>
      </c>
      <c r="D5" s="385">
        <f ca="1">TblConstr[[#This Row],[Mountain]]</f>
        <v>0</v>
      </c>
      <c r="E5" s="389">
        <f ca="1">TblConstr[[#This Row],[Hill]]</f>
        <v>0</v>
      </c>
      <c r="F5" s="393">
        <f ca="1">TblConstr[[#This Row],[Swamp]]</f>
        <v>0</v>
      </c>
      <c r="G5" s="188">
        <f ca="1">TblConstr[[#This Row],[Cavern]]</f>
        <v>20</v>
      </c>
      <c r="H5" s="189">
        <f ca="1">TblConstr[[#This Row],[Water]]</f>
        <v>10</v>
      </c>
      <c r="I5" s="226"/>
      <c r="J5" s="178">
        <f t="shared" ref="J5:J15" si="0">J4+1</f>
        <v>2</v>
      </c>
      <c r="K5" s="250">
        <f ca="1">TblImps[[#This Row],[Real time]]</f>
        <v>45429.791666666664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15140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0</v>
      </c>
      <c r="C6" s="185">
        <f ca="1">TblConstr[[#This Row],[Forest]]</f>
        <v>0</v>
      </c>
      <c r="D6" s="385">
        <f ca="1">TblConstr[[#This Row],[Mountain]]</f>
        <v>0</v>
      </c>
      <c r="E6" s="389">
        <f ca="1">TblConstr[[#This Row],[Hill]]</f>
        <v>0</v>
      </c>
      <c r="F6" s="393">
        <f ca="1">TblConstr[[#This Row],[Swamp]]</f>
        <v>0</v>
      </c>
      <c r="G6" s="188">
        <f ca="1">TblConstr[[#This Row],[Cavern]]</f>
        <v>20</v>
      </c>
      <c r="H6" s="189">
        <f ca="1">TblConstr[[#This Row],[Water]]</f>
        <v>10</v>
      </c>
      <c r="I6" s="226"/>
      <c r="J6" s="178">
        <f t="shared" si="0"/>
        <v>3</v>
      </c>
      <c r="K6" s="250">
        <f ca="1">TblImps[[#This Row],[Real time]]</f>
        <v>45429.833333333328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20520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0</v>
      </c>
      <c r="C7" s="185">
        <f ca="1">TblConstr[[#This Row],[Forest]]</f>
        <v>0</v>
      </c>
      <c r="D7" s="385">
        <f ca="1">TblConstr[[#This Row],[Mountain]]</f>
        <v>0</v>
      </c>
      <c r="E7" s="389">
        <f ca="1">TblConstr[[#This Row],[Hill]]</f>
        <v>0</v>
      </c>
      <c r="F7" s="393">
        <f ca="1">TblConstr[[#This Row],[Swamp]]</f>
        <v>0</v>
      </c>
      <c r="G7" s="188">
        <f ca="1">TblConstr[[#This Row],[Cavern]]</f>
        <v>20</v>
      </c>
      <c r="H7" s="189">
        <f ca="1">TblConstr[[#This Row],[Water]]</f>
        <v>10</v>
      </c>
      <c r="I7" s="226"/>
      <c r="J7" s="178">
        <f t="shared" si="0"/>
        <v>4</v>
      </c>
      <c r="K7" s="250">
        <f ca="1">TblImps[[#This Row],[Real time]]</f>
        <v>45429.874999999993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25970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0</v>
      </c>
      <c r="C8" s="185">
        <f ca="1">TblConstr[[#This Row],[Forest]]</f>
        <v>0</v>
      </c>
      <c r="D8" s="385">
        <f ca="1">TblConstr[[#This Row],[Mountain]]</f>
        <v>0</v>
      </c>
      <c r="E8" s="389">
        <f ca="1">TblConstr[[#This Row],[Hill]]</f>
        <v>0</v>
      </c>
      <c r="F8" s="393">
        <f ca="1">TblConstr[[#This Row],[Swamp]]</f>
        <v>0</v>
      </c>
      <c r="G8" s="188">
        <f ca="1">TblConstr[[#This Row],[Cavern]]</f>
        <v>20</v>
      </c>
      <c r="H8" s="189">
        <f ca="1">TblConstr[[#This Row],[Water]]</f>
        <v>10</v>
      </c>
      <c r="I8" s="226"/>
      <c r="J8" s="178">
        <f t="shared" si="0"/>
        <v>5</v>
      </c>
      <c r="K8" s="250">
        <f ca="1">TblImps[[#This Row],[Real time]]</f>
        <v>45429.916666666657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31490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0</v>
      </c>
      <c r="C9" s="185">
        <f ca="1">TblConstr[[#This Row],[Forest]]</f>
        <v>0</v>
      </c>
      <c r="D9" s="385">
        <f ca="1">TblConstr[[#This Row],[Mountain]]</f>
        <v>0</v>
      </c>
      <c r="E9" s="389">
        <f ca="1">TblConstr[[#This Row],[Hill]]</f>
        <v>0</v>
      </c>
      <c r="F9" s="393">
        <f ca="1">TblConstr[[#This Row],[Swamp]]</f>
        <v>0</v>
      </c>
      <c r="G9" s="188">
        <f ca="1">TblConstr[[#This Row],[Cavern]]</f>
        <v>20</v>
      </c>
      <c r="H9" s="189">
        <f ca="1">TblConstr[[#This Row],[Water]]</f>
        <v>10</v>
      </c>
      <c r="I9" s="226"/>
      <c r="J9" s="178">
        <f t="shared" si="0"/>
        <v>6</v>
      </c>
      <c r="K9" s="250">
        <f ca="1">TblImps[[#This Row],[Real time]]</f>
        <v>45429.958333333321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16683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0</v>
      </c>
      <c r="C10" s="185">
        <f ca="1">TblConstr[[#This Row],[Forest]]</f>
        <v>0</v>
      </c>
      <c r="D10" s="385">
        <f ca="1">TblConstr[[#This Row],[Mountain]]</f>
        <v>0</v>
      </c>
      <c r="E10" s="389">
        <f ca="1">TblConstr[[#This Row],[Hill]]</f>
        <v>0</v>
      </c>
      <c r="F10" s="393">
        <f ca="1">TblConstr[[#This Row],[Swamp]]</f>
        <v>0</v>
      </c>
      <c r="G10" s="188">
        <f ca="1">TblConstr[[#This Row],[Cavern]]</f>
        <v>20</v>
      </c>
      <c r="H10" s="189">
        <f ca="1">TblConstr[[#This Row],[Water]]</f>
        <v>10</v>
      </c>
      <c r="I10" s="226"/>
      <c r="J10" s="178">
        <f t="shared" si="0"/>
        <v>7</v>
      </c>
      <c r="K10" s="250">
        <f ca="1">TblImps[[#This Row],[Real time]]</f>
        <v>45429.999999999985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21502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0</v>
      </c>
      <c r="C11" s="185">
        <f ca="1">TblConstr[[#This Row],[Forest]]</f>
        <v>0</v>
      </c>
      <c r="D11" s="385">
        <f ca="1">TblConstr[[#This Row],[Mountain]]</f>
        <v>0</v>
      </c>
      <c r="E11" s="389">
        <f ca="1">TblConstr[[#This Row],[Hill]]</f>
        <v>0</v>
      </c>
      <c r="F11" s="393">
        <f ca="1">TblConstr[[#This Row],[Swamp]]</f>
        <v>0</v>
      </c>
      <c r="G11" s="188">
        <f ca="1">TblConstr[[#This Row],[Cavern]]</f>
        <v>20</v>
      </c>
      <c r="H11" s="189">
        <f ca="1">TblConstr[[#This Row],[Water]]</f>
        <v>10</v>
      </c>
      <c r="I11" s="226"/>
      <c r="J11" s="178">
        <f t="shared" si="0"/>
        <v>8</v>
      </c>
      <c r="K11" s="250">
        <f ca="1">TblImps[[#This Row],[Real time]]</f>
        <v>45430.04166666665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26399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0</v>
      </c>
      <c r="C12" s="185">
        <f ca="1">TblConstr[[#This Row],[Forest]]</f>
        <v>0</v>
      </c>
      <c r="D12" s="385">
        <f ca="1">TblConstr[[#This Row],[Mountain]]</f>
        <v>0</v>
      </c>
      <c r="E12" s="389">
        <f ca="1">TblConstr[[#This Row],[Hill]]</f>
        <v>0</v>
      </c>
      <c r="F12" s="393">
        <f ca="1">TblConstr[[#This Row],[Swamp]]</f>
        <v>0</v>
      </c>
      <c r="G12" s="188">
        <f ca="1">TblConstr[[#This Row],[Cavern]]</f>
        <v>20</v>
      </c>
      <c r="H12" s="189">
        <f ca="1">TblConstr[[#This Row],[Water]]</f>
        <v>10</v>
      </c>
      <c r="I12" s="226"/>
      <c r="J12" s="178">
        <f t="shared" si="0"/>
        <v>9</v>
      </c>
      <c r="K12" s="250">
        <f ca="1">TblImps[[#This Row],[Real time]]</f>
        <v>45430.083333333314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31372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0</v>
      </c>
      <c r="C13" s="185">
        <f ca="1">TblConstr[[#This Row],[Forest]]</f>
        <v>0</v>
      </c>
      <c r="D13" s="385">
        <f ca="1">TblConstr[[#This Row],[Mountain]]</f>
        <v>0</v>
      </c>
      <c r="E13" s="389">
        <f ca="1">TblConstr[[#This Row],[Hill]]</f>
        <v>0</v>
      </c>
      <c r="F13" s="393">
        <f ca="1">TblConstr[[#This Row],[Swamp]]</f>
        <v>0</v>
      </c>
      <c r="G13" s="188">
        <f ca="1">TblConstr[[#This Row],[Cavern]]</f>
        <v>20</v>
      </c>
      <c r="H13" s="189">
        <f ca="1">TblConstr[[#This Row],[Water]]</f>
        <v>10</v>
      </c>
      <c r="I13" s="226"/>
      <c r="J13" s="178">
        <f t="shared" si="0"/>
        <v>10</v>
      </c>
      <c r="K13" s="250">
        <f ca="1">TblImps[[#This Row],[Real time]]</f>
        <v>45430.124999999978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36323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0</v>
      </c>
      <c r="C14" s="185">
        <f ca="1">TblConstr[[#This Row],[Forest]]</f>
        <v>0</v>
      </c>
      <c r="D14" s="385">
        <f ca="1">TblConstr[[#This Row],[Mountain]]</f>
        <v>0</v>
      </c>
      <c r="E14" s="389">
        <f ca="1">TblConstr[[#This Row],[Hill]]</f>
        <v>0</v>
      </c>
      <c r="F14" s="393">
        <f ca="1">TblConstr[[#This Row],[Swamp]]</f>
        <v>0</v>
      </c>
      <c r="G14" s="188">
        <f ca="1">TblConstr[[#This Row],[Cavern]]</f>
        <v>20</v>
      </c>
      <c r="H14" s="189">
        <f ca="1">TblConstr[[#This Row],[Water]]</f>
        <v>10</v>
      </c>
      <c r="I14" s="226"/>
      <c r="J14" s="178">
        <f t="shared" si="0"/>
        <v>11</v>
      </c>
      <c r="K14" s="250">
        <f ca="1">TblImps[[#This Row],[Real time]]</f>
        <v>45430.166666666642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41005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0</v>
      </c>
      <c r="C15" s="185">
        <f ca="1">TblConstr[[#This Row],[Forest]]</f>
        <v>0</v>
      </c>
      <c r="D15" s="385">
        <f ca="1">TblConstr[[#This Row],[Mountain]]</f>
        <v>0</v>
      </c>
      <c r="E15" s="389">
        <f ca="1">TblConstr[[#This Row],[Hill]]</f>
        <v>0</v>
      </c>
      <c r="F15" s="393">
        <f ca="1">TblConstr[[#This Row],[Swamp]]</f>
        <v>0</v>
      </c>
      <c r="G15" s="188">
        <f ca="1">TblConstr[[#This Row],[Cavern]]</f>
        <v>20</v>
      </c>
      <c r="H15" s="189">
        <f ca="1">TblConstr[[#This Row],[Water]]</f>
        <v>10</v>
      </c>
      <c r="I15" s="226"/>
      <c r="J15" s="178">
        <f t="shared" si="0"/>
        <v>12</v>
      </c>
      <c r="K15" s="250">
        <f ca="1">TblImps[[#This Row],[Real time]]</f>
        <v>45430.208333333307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46621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0</v>
      </c>
      <c r="C16" s="185">
        <f ca="1">TblConstr[[#This Row],[Forest]]</f>
        <v>0</v>
      </c>
      <c r="D16" s="385">
        <f ca="1">TblConstr[[#This Row],[Mountain]]</f>
        <v>0</v>
      </c>
      <c r="E16" s="389">
        <f ca="1">TblConstr[[#This Row],[Hill]]</f>
        <v>0</v>
      </c>
      <c r="F16" s="393">
        <f ca="1">TblConstr[[#This Row],[Swamp]]</f>
        <v>0</v>
      </c>
      <c r="G16" s="188">
        <f ca="1">TblConstr[[#This Row],[Cavern]]</f>
        <v>0</v>
      </c>
      <c r="H16" s="189">
        <f ca="1">TblConstr[[#This Row],[Water]]</f>
        <v>0</v>
      </c>
      <c r="I16" s="226"/>
      <c r="J16" s="178">
        <f>J15+1</f>
        <v>13</v>
      </c>
      <c r="K16" s="250">
        <f ca="1">TblImps[[#This Row],[Real time]]</f>
        <v>45430.249999999971</v>
      </c>
      <c r="L16" s="161">
        <v>30</v>
      </c>
      <c r="M16" s="161"/>
      <c r="N16" s="182"/>
      <c r="O16" s="182">
        <v>2</v>
      </c>
      <c r="P16" s="182">
        <v>3</v>
      </c>
      <c r="Q16" s="161">
        <v>-30</v>
      </c>
      <c r="R16" s="161">
        <v>-5</v>
      </c>
      <c r="S16" s="97">
        <f>SUMIF(TblRezone[[#This Row],[Plains Rezone]:[Water Rezone]],"&gt;0")</f>
        <v>35</v>
      </c>
      <c r="T16" s="62" t="str">
        <f>IF(SUM(TblRezone[[#This Row],[Plains Rezone]:[Water Rezone]])=0,"Ok","Nope")</f>
        <v>Ok</v>
      </c>
      <c r="U16" s="226"/>
      <c r="V16" s="97">
        <f ca="1">TblProd[[#This Row],[Platinum]]</f>
        <v>27645</v>
      </c>
      <c r="W16" s="226"/>
      <c r="X16" s="97">
        <f ca="1">ROUNDUP( (1-MIN(ROUND(facs_rezone_factor*TblRezone[[#This Row],[Facs]],4),facs_rezone_max) + tech_6_4*TblTech[[#This Row],[6-4]] + tech_10_2*TblTech[[#This Row],[10-2]] - IF(TblMagic[[#This Row],[Active Mechanical Genius]]&gt;0,mech_genius_bonus,0) + race_rezone_cost) * TblRezone[[#This Row],[Plat/acre*]],0)</f>
        <v>125</v>
      </c>
      <c r="Y16" s="97">
        <f ca="1">TblRezone[[#This Row],[Total acres]]*TblRezone[[#This Row],[Plat/acre]]</f>
        <v>4375</v>
      </c>
      <c r="Z16" s="226"/>
      <c r="AA16" s="97">
        <f ca="1">250+0.6*(TblRezone[[#This Row],[Land]]-250)</f>
        <v>250</v>
      </c>
      <c r="AB16" s="226"/>
      <c r="AC16" s="160">
        <f ca="1">TblConstr[[#This Row],[Facs DB]]</f>
        <v>0.112</v>
      </c>
    </row>
    <row r="17" spans="1:29" x14ac:dyDescent="0.2">
      <c r="A17" s="225">
        <f ca="1">TblConstr[[#This Row],[Land]]</f>
        <v>250</v>
      </c>
      <c r="B17" s="227">
        <f ca="1">TblConstr[[#This Row],[Plain]]</f>
        <v>0</v>
      </c>
      <c r="C17" s="185">
        <f ca="1">TblConstr[[#This Row],[Forest]]</f>
        <v>0</v>
      </c>
      <c r="D17" s="385">
        <f ca="1">TblConstr[[#This Row],[Mountain]]</f>
        <v>0</v>
      </c>
      <c r="E17" s="389">
        <f ca="1">TblConstr[[#This Row],[Hill]]</f>
        <v>0</v>
      </c>
      <c r="F17" s="393">
        <f ca="1">TblConstr[[#This Row],[Swamp]]</f>
        <v>0</v>
      </c>
      <c r="G17" s="188">
        <f ca="1">TblConstr[[#This Row],[Cavern]]</f>
        <v>0</v>
      </c>
      <c r="H17" s="189">
        <f ca="1">TblConstr[[#This Row],[Water]]</f>
        <v>0</v>
      </c>
      <c r="I17" s="226"/>
      <c r="J17" s="178">
        <f t="shared" ref="J17:J76" si="1">J16+1</f>
        <v>14</v>
      </c>
      <c r="K17" s="250">
        <f ca="1">TblImps[[#This Row],[Real time]]</f>
        <v>45430.291666666635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35376</v>
      </c>
      <c r="W17" s="226"/>
      <c r="X17" s="97">
        <f ca="1">ROUNDUP( (1-MIN(ROUND(facs_rezone_factor*TblRezone[[#This Row],[Facs]],4),facs_rezone_max) + tech_6_4*TblTech[[#This Row],[6-4]] + tech_10_2*TblTech[[#This Row],[10-2]] - IF(TblMagic[[#This Row],[Active Mechanical Genius]]&gt;0,mech_genius_bonus,0) + race_rezone_cost) * TblRezone[[#This Row],[Plat/acre*]],0)</f>
        <v>125</v>
      </c>
      <c r="Y17" s="97">
        <f ca="1">TblRezone[[#This Row],[Total acres]]*TblRezone[[#This Row],[Plat/acre]]</f>
        <v>0</v>
      </c>
      <c r="Z17" s="226"/>
      <c r="AA17" s="97">
        <f ca="1">250+0.6*(TblRezone[[#This Row],[Land]]-250)</f>
        <v>250</v>
      </c>
      <c r="AB17" s="226"/>
      <c r="AC17" s="160">
        <f ca="1">TblConstr[[#This Row],[Facs DB]]</f>
        <v>0.112</v>
      </c>
    </row>
    <row r="18" spans="1:29" x14ac:dyDescent="0.2">
      <c r="A18" s="225">
        <f ca="1">TblConstr[[#This Row],[Land]]</f>
        <v>250</v>
      </c>
      <c r="B18" s="227">
        <f ca="1">TblConstr[[#This Row],[Plain]]</f>
        <v>0</v>
      </c>
      <c r="C18" s="185">
        <f ca="1">TblConstr[[#This Row],[Forest]]</f>
        <v>0</v>
      </c>
      <c r="D18" s="385">
        <f ca="1">TblConstr[[#This Row],[Mountain]]</f>
        <v>0</v>
      </c>
      <c r="E18" s="389">
        <f ca="1">TblConstr[[#This Row],[Hill]]</f>
        <v>0</v>
      </c>
      <c r="F18" s="393">
        <f ca="1">TblConstr[[#This Row],[Swamp]]</f>
        <v>0</v>
      </c>
      <c r="G18" s="188">
        <f ca="1">TblConstr[[#This Row],[Cavern]]</f>
        <v>0</v>
      </c>
      <c r="H18" s="189">
        <f ca="1">TblConstr[[#This Row],[Water]]</f>
        <v>0</v>
      </c>
      <c r="I18" s="226"/>
      <c r="J18" s="178">
        <f t="shared" si="1"/>
        <v>15</v>
      </c>
      <c r="K18" s="250">
        <f ca="1">TblImps[[#This Row],[Real time]]</f>
        <v>45430.333333333299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43350</v>
      </c>
      <c r="W18" s="226"/>
      <c r="X18" s="97">
        <f ca="1">ROUNDUP( (1-MIN(ROUND(facs_rezone_factor*TblRezone[[#This Row],[Facs]],4),facs_rezone_max) + tech_6_4*TblTech[[#This Row],[6-4]] + tech_10_2*TblTech[[#This Row],[10-2]] - IF(TblMagic[[#This Row],[Active Mechanical Genius]]&gt;0,mech_genius_bonus,0) + race_rezone_cost) * TblRezone[[#This Row],[Plat/acre*]],0)</f>
        <v>125</v>
      </c>
      <c r="Y18" s="97">
        <f ca="1">TblRezone[[#This Row],[Total acres]]*TblRezone[[#This Row],[Plat/acre]]</f>
        <v>0</v>
      </c>
      <c r="Z18" s="226"/>
      <c r="AA18" s="97">
        <f ca="1">250+0.6*(TblRezone[[#This Row],[Land]]-250)</f>
        <v>250</v>
      </c>
      <c r="AB18" s="226"/>
      <c r="AC18" s="160">
        <f ca="1">TblConstr[[#This Row],[Facs DB]]</f>
        <v>0.112</v>
      </c>
    </row>
    <row r="19" spans="1:29" x14ac:dyDescent="0.2">
      <c r="A19" s="225">
        <f ca="1">TblConstr[[#This Row],[Land]]</f>
        <v>250</v>
      </c>
      <c r="B19" s="227">
        <f ca="1">TblConstr[[#This Row],[Plain]]</f>
        <v>0</v>
      </c>
      <c r="C19" s="185">
        <f ca="1">TblConstr[[#This Row],[Forest]]</f>
        <v>0</v>
      </c>
      <c r="D19" s="385">
        <f ca="1">TblConstr[[#This Row],[Mountain]]</f>
        <v>0</v>
      </c>
      <c r="E19" s="389">
        <f ca="1">TblConstr[[#This Row],[Hill]]</f>
        <v>0</v>
      </c>
      <c r="F19" s="393">
        <f ca="1">TblConstr[[#This Row],[Swamp]]</f>
        <v>0</v>
      </c>
      <c r="G19" s="188">
        <f ca="1">TblConstr[[#This Row],[Cavern]]</f>
        <v>0</v>
      </c>
      <c r="H19" s="189">
        <f ca="1">TblConstr[[#This Row],[Water]]</f>
        <v>0</v>
      </c>
      <c r="I19" s="226"/>
      <c r="J19" s="178">
        <f t="shared" si="1"/>
        <v>16</v>
      </c>
      <c r="K19" s="250">
        <f ca="1">TblImps[[#This Row],[Real time]]</f>
        <v>45430.374999999964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51651</v>
      </c>
      <c r="W19" s="226"/>
      <c r="X19" s="97">
        <f ca="1">ROUNDUP( (1-MIN(ROUND(facs_rezone_factor*TblRezone[[#This Row],[Facs]],4),facs_rezone_max) + tech_6_4*TblTech[[#This Row],[6-4]] + tech_10_2*TblTech[[#This Row],[10-2]] - IF(TblMagic[[#This Row],[Active Mechanical Genius]]&gt;0,mech_genius_bonus,0) + race_rezone_cost) * TblRezone[[#This Row],[Plat/acre*]],0)</f>
        <v>125</v>
      </c>
      <c r="Y19" s="97">
        <f ca="1">TblRezone[[#This Row],[Total acres]]*TblRezone[[#This Row],[Plat/acre]]</f>
        <v>0</v>
      </c>
      <c r="Z19" s="226"/>
      <c r="AA19" s="97">
        <f ca="1">250+0.6*(TblRezone[[#This Row],[Land]]-250)</f>
        <v>250</v>
      </c>
      <c r="AB19" s="226"/>
      <c r="AC19" s="160">
        <f ca="1">TblConstr[[#This Row],[Facs DB]]</f>
        <v>0.112</v>
      </c>
    </row>
    <row r="20" spans="1:29" x14ac:dyDescent="0.2">
      <c r="A20" s="225">
        <f ca="1">TblConstr[[#This Row],[Land]]</f>
        <v>250</v>
      </c>
      <c r="B20" s="227">
        <f ca="1">TblConstr[[#This Row],[Plain]]</f>
        <v>0</v>
      </c>
      <c r="C20" s="185">
        <f ca="1">TblConstr[[#This Row],[Forest]]</f>
        <v>0</v>
      </c>
      <c r="D20" s="385">
        <f ca="1">TblConstr[[#This Row],[Mountain]]</f>
        <v>0</v>
      </c>
      <c r="E20" s="389">
        <f ca="1">TblConstr[[#This Row],[Hill]]</f>
        <v>0</v>
      </c>
      <c r="F20" s="393">
        <f ca="1">TblConstr[[#This Row],[Swamp]]</f>
        <v>0</v>
      </c>
      <c r="G20" s="188">
        <f ca="1">TblConstr[[#This Row],[Cavern]]</f>
        <v>0</v>
      </c>
      <c r="H20" s="189">
        <f ca="1">TblConstr[[#This Row],[Water]]</f>
        <v>0</v>
      </c>
      <c r="I20" s="226"/>
      <c r="J20" s="178">
        <f t="shared" si="1"/>
        <v>17</v>
      </c>
      <c r="K20" s="250">
        <f ca="1">TblImps[[#This Row],[Real time]]</f>
        <v>45430.416666666628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61168</v>
      </c>
      <c r="W20" s="226"/>
      <c r="X20" s="97">
        <f ca="1">ROUNDUP( (1-MIN(ROUND(facs_rezone_factor*TblRezone[[#This Row],[Facs]],4),facs_rezone_max) + tech_6_4*TblTech[[#This Row],[6-4]] + tech_10_2*TblTech[[#This Row],[10-2]] - IF(TblMagic[[#This Row],[Active Mechanical Genius]]&gt;0,mech_genius_bonus,0) + race_rezone_cost) * TblRezone[[#This Row],[Plat/acre*]],0)</f>
        <v>125</v>
      </c>
      <c r="Y20" s="97">
        <f ca="1">TblRezone[[#This Row],[Total acres]]*TblRezone[[#This Row],[Plat/acre]]</f>
        <v>0</v>
      </c>
      <c r="Z20" s="226"/>
      <c r="AA20" s="97">
        <f ca="1">250+0.6*(TblRezone[[#This Row],[Land]]-250)</f>
        <v>250</v>
      </c>
      <c r="AB20" s="226"/>
      <c r="AC20" s="160">
        <f ca="1">TblConstr[[#This Row],[Facs DB]]</f>
        <v>0.112</v>
      </c>
    </row>
    <row r="21" spans="1:29" x14ac:dyDescent="0.2">
      <c r="A21" s="225">
        <f ca="1">TblConstr[[#This Row],[Land]]</f>
        <v>274</v>
      </c>
      <c r="B21" s="227">
        <f ca="1">TblConstr[[#This Row],[Plain]]</f>
        <v>0</v>
      </c>
      <c r="C21" s="185">
        <f ca="1">TblConstr[[#This Row],[Forest]]</f>
        <v>0</v>
      </c>
      <c r="D21" s="385">
        <f ca="1">TblConstr[[#This Row],[Mountain]]</f>
        <v>0</v>
      </c>
      <c r="E21" s="389">
        <f ca="1">TblConstr[[#This Row],[Hill]]</f>
        <v>0</v>
      </c>
      <c r="F21" s="393">
        <f ca="1">TblConstr[[#This Row],[Swamp]]</f>
        <v>0</v>
      </c>
      <c r="G21" s="188">
        <f ca="1">TblConstr[[#This Row],[Cavern]]</f>
        <v>0</v>
      </c>
      <c r="H21" s="189">
        <f ca="1">TblConstr[[#This Row],[Water]]</f>
        <v>0</v>
      </c>
      <c r="I21" s="226"/>
      <c r="J21" s="178">
        <f t="shared" si="1"/>
        <v>18</v>
      </c>
      <c r="K21" s="250">
        <f ca="1">TblImps[[#This Row],[Real time]]</f>
        <v>45430.458333333292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980</v>
      </c>
      <c r="W21" s="226"/>
      <c r="X21" s="97">
        <f ca="1">ROUNDUP( (1-MIN(ROUND(facs_rezone_factor*TblRezone[[#This Row],[Facs]],4),facs_rezone_max) + tech_6_4*TblTech[[#This Row],[6-4]] + tech_10_2*TblTech[[#This Row],[10-2]] - IF(TblMagic[[#This Row],[Active Mechanical Genius]]&gt;0,mech_genius_bonus,0) + race_rezone_cost) * TblRezone[[#This Row],[Plat/acre*]],0)</f>
        <v>133</v>
      </c>
      <c r="Y21" s="97">
        <f ca="1">TblRezone[[#This Row],[Total acres]]*TblRezone[[#This Row],[Plat/acre]]</f>
        <v>0</v>
      </c>
      <c r="Z21" s="226"/>
      <c r="AA21" s="97">
        <f ca="1">250+0.6*(TblRezone[[#This Row],[Land]]-250)</f>
        <v>264.39999999999998</v>
      </c>
      <c r="AB21" s="226"/>
      <c r="AC21" s="160">
        <f ca="1">TblConstr[[#This Row],[Facs DB]]</f>
        <v>0.10218978102189781</v>
      </c>
    </row>
    <row r="22" spans="1:29" x14ac:dyDescent="0.2">
      <c r="A22" s="225">
        <f ca="1">TblConstr[[#This Row],[Land]]</f>
        <v>275</v>
      </c>
      <c r="B22" s="227">
        <f ca="1">TblConstr[[#This Row],[Plain]]</f>
        <v>0</v>
      </c>
      <c r="C22" s="185">
        <f ca="1">TblConstr[[#This Row],[Forest]]</f>
        <v>0</v>
      </c>
      <c r="D22" s="385">
        <f ca="1">TblConstr[[#This Row],[Mountain]]</f>
        <v>0</v>
      </c>
      <c r="E22" s="389">
        <f ca="1">TblConstr[[#This Row],[Hill]]</f>
        <v>0</v>
      </c>
      <c r="F22" s="393">
        <f ca="1">TblConstr[[#This Row],[Swamp]]</f>
        <v>0</v>
      </c>
      <c r="G22" s="188">
        <f ca="1">TblConstr[[#This Row],[Cavern]]</f>
        <v>0</v>
      </c>
      <c r="H22" s="189">
        <f ca="1">TblConstr[[#This Row],[Water]]</f>
        <v>0</v>
      </c>
      <c r="I22" s="226"/>
      <c r="J22" s="178">
        <f t="shared" si="1"/>
        <v>19</v>
      </c>
      <c r="K22" s="250">
        <f ca="1">TblImps[[#This Row],[Real time]]</f>
        <v>45430.499999999956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1245</v>
      </c>
      <c r="W22" s="226"/>
      <c r="X22" s="97">
        <f ca="1">ROUNDUP( (1-MIN(ROUND(facs_rezone_factor*TblRezone[[#This Row],[Facs]],4),facs_rezone_max) + tech_6_4*TblTech[[#This Row],[6-4]] + tech_10_2*TblTech[[#This Row],[10-2]] - IF(TblMagic[[#This Row],[Active Mechanical Genius]]&gt;0,mech_genius_bonus,0) + race_rezone_cost) * TblRezone[[#This Row],[Plat/acre*]],0)</f>
        <v>133</v>
      </c>
      <c r="Y22" s="97">
        <f ca="1">TblRezone[[#This Row],[Total acres]]*TblRezone[[#This Row],[Plat/acre]]</f>
        <v>0</v>
      </c>
      <c r="Z22" s="226"/>
      <c r="AA22" s="97">
        <f ca="1">250+0.6*(TblRezone[[#This Row],[Land]]-250)</f>
        <v>265</v>
      </c>
      <c r="AB22" s="226"/>
      <c r="AC22" s="160">
        <f ca="1">TblConstr[[#This Row],[Facs DB]]</f>
        <v>0.10181818181818182</v>
      </c>
    </row>
    <row r="23" spans="1:29" x14ac:dyDescent="0.2">
      <c r="A23" s="225">
        <f ca="1">TblConstr[[#This Row],[Land]]</f>
        <v>276</v>
      </c>
      <c r="B23" s="227">
        <f ca="1">TblConstr[[#This Row],[Plain]]</f>
        <v>0</v>
      </c>
      <c r="C23" s="185">
        <f ca="1">TblConstr[[#This Row],[Forest]]</f>
        <v>0</v>
      </c>
      <c r="D23" s="385">
        <f ca="1">TblConstr[[#This Row],[Mountain]]</f>
        <v>0</v>
      </c>
      <c r="E23" s="389">
        <f ca="1">TblConstr[[#This Row],[Hill]]</f>
        <v>0</v>
      </c>
      <c r="F23" s="393">
        <f ca="1">TblConstr[[#This Row],[Swamp]]</f>
        <v>0</v>
      </c>
      <c r="G23" s="188">
        <f ca="1">TblConstr[[#This Row],[Cavern]]</f>
        <v>0</v>
      </c>
      <c r="H23" s="189">
        <f ca="1">TblConstr[[#This Row],[Water]]</f>
        <v>0</v>
      </c>
      <c r="I23" s="226"/>
      <c r="J23" s="178">
        <f t="shared" si="1"/>
        <v>20</v>
      </c>
      <c r="K23" s="250">
        <f ca="1">TblImps[[#This Row],[Real time]]</f>
        <v>45430.541666666621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1024</v>
      </c>
      <c r="W23" s="226"/>
      <c r="X23" s="97">
        <f ca="1">ROUNDUP( (1-MIN(ROUND(facs_rezone_factor*TblRezone[[#This Row],[Facs]],4),facs_rezone_max) + tech_6_4*TblTech[[#This Row],[6-4]] + tech_10_2*TblTech[[#This Row],[10-2]] - IF(TblMagic[[#This Row],[Active Mechanical Genius]]&gt;0,mech_genius_bonus,0) + race_rezone_cost) * TblRezone[[#This Row],[Plat/acre*]],0)</f>
        <v>133</v>
      </c>
      <c r="Y23" s="97">
        <f ca="1">TblRezone[[#This Row],[Total acres]]*TblRezone[[#This Row],[Plat/acre]]</f>
        <v>0</v>
      </c>
      <c r="Z23" s="226"/>
      <c r="AA23" s="97">
        <f ca="1">250+0.6*(TblRezone[[#This Row],[Land]]-250)</f>
        <v>265.60000000000002</v>
      </c>
      <c r="AB23" s="226"/>
      <c r="AC23" s="160">
        <f ca="1">TblConstr[[#This Row],[Facs DB]]</f>
        <v>0.10144927536231885</v>
      </c>
    </row>
    <row r="24" spans="1:29" x14ac:dyDescent="0.2">
      <c r="A24" s="225">
        <f ca="1">TblConstr[[#This Row],[Land]]</f>
        <v>277</v>
      </c>
      <c r="B24" s="227">
        <f ca="1">TblConstr[[#This Row],[Plain]]</f>
        <v>0</v>
      </c>
      <c r="C24" s="185">
        <f ca="1">TblConstr[[#This Row],[Forest]]</f>
        <v>0</v>
      </c>
      <c r="D24" s="385">
        <f ca="1">TblConstr[[#This Row],[Mountain]]</f>
        <v>0</v>
      </c>
      <c r="E24" s="389">
        <f ca="1">TblConstr[[#This Row],[Hill]]</f>
        <v>0</v>
      </c>
      <c r="F24" s="393">
        <f ca="1">TblConstr[[#This Row],[Swamp]]</f>
        <v>0</v>
      </c>
      <c r="G24" s="188">
        <f ca="1">TblConstr[[#This Row],[Cavern]]</f>
        <v>0</v>
      </c>
      <c r="H24" s="189">
        <f ca="1">TblConstr[[#This Row],[Water]]</f>
        <v>0</v>
      </c>
      <c r="I24" s="226"/>
      <c r="J24" s="178">
        <f t="shared" si="1"/>
        <v>21</v>
      </c>
      <c r="K24" s="250">
        <f ca="1">TblImps[[#This Row],[Real time]]</f>
        <v>45430.583333333285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1231</v>
      </c>
      <c r="W24" s="226"/>
      <c r="X24" s="97">
        <f ca="1">ROUNDUP( (1-MIN(ROUND(facs_rezone_factor*TblRezone[[#This Row],[Facs]],4),facs_rezone_max) + tech_6_4*TblTech[[#This Row],[6-4]] + tech_10_2*TblTech[[#This Row],[10-2]] - IF(TblMagic[[#This Row],[Active Mechanical Genius]]&gt;0,mech_genius_bonus,0) + race_rezone_cost) * TblRezone[[#This Row],[Plat/acre*]],0)</f>
        <v>134</v>
      </c>
      <c r="Y24" s="97">
        <f ca="1">TblRezone[[#This Row],[Total acres]]*TblRezone[[#This Row],[Plat/acre]]</f>
        <v>0</v>
      </c>
      <c r="Z24" s="226"/>
      <c r="AA24" s="97">
        <f ca="1">250+0.6*(TblRezone[[#This Row],[Land]]-250)</f>
        <v>266.2</v>
      </c>
      <c r="AB24" s="226"/>
      <c r="AC24" s="160">
        <f ca="1">TblConstr[[#This Row],[Facs DB]]</f>
        <v>0.10108303249097472</v>
      </c>
    </row>
    <row r="25" spans="1:29" x14ac:dyDescent="0.2">
      <c r="A25" s="225">
        <f ca="1">TblConstr[[#This Row],[Land]]</f>
        <v>278</v>
      </c>
      <c r="B25" s="227">
        <f ca="1">TblConstr[[#This Row],[Plain]]</f>
        <v>0</v>
      </c>
      <c r="C25" s="185">
        <f ca="1">TblConstr[[#This Row],[Forest]]</f>
        <v>0</v>
      </c>
      <c r="D25" s="385">
        <f ca="1">TblConstr[[#This Row],[Mountain]]</f>
        <v>0</v>
      </c>
      <c r="E25" s="389">
        <f ca="1">TblConstr[[#This Row],[Hill]]</f>
        <v>0</v>
      </c>
      <c r="F25" s="393">
        <f ca="1">TblConstr[[#This Row],[Swamp]]</f>
        <v>0</v>
      </c>
      <c r="G25" s="188">
        <f ca="1">TblConstr[[#This Row],[Cavern]]</f>
        <v>0</v>
      </c>
      <c r="H25" s="189">
        <f ca="1">TblConstr[[#This Row],[Water]]</f>
        <v>0</v>
      </c>
      <c r="I25" s="226"/>
      <c r="J25" s="178">
        <f t="shared" si="1"/>
        <v>22</v>
      </c>
      <c r="K25" s="250">
        <f ca="1">TblImps[[#This Row],[Real time]]</f>
        <v>45430.624999999949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9969</v>
      </c>
      <c r="W25" s="226"/>
      <c r="X25" s="97">
        <f ca="1">ROUNDUP( (1-MIN(ROUND(facs_rezone_factor*TblRezone[[#This Row],[Facs]],4),facs_rezone_max) + tech_6_4*TblTech[[#This Row],[6-4]] + tech_10_2*TblTech[[#This Row],[10-2]] - IF(TblMagic[[#This Row],[Active Mechanical Genius]]&gt;0,mech_genius_bonus,0) + race_rezone_cost) * TblRezone[[#This Row],[Plat/acre*]],0)</f>
        <v>134</v>
      </c>
      <c r="Y25" s="97">
        <f ca="1">TblRezone[[#This Row],[Total acres]]*TblRezone[[#This Row],[Plat/acre]]</f>
        <v>0</v>
      </c>
      <c r="Z25" s="226"/>
      <c r="AA25" s="97">
        <f ca="1">250+0.6*(TblRezone[[#This Row],[Land]]-250)</f>
        <v>266.8</v>
      </c>
      <c r="AB25" s="226"/>
      <c r="AC25" s="160">
        <f ca="1">TblConstr[[#This Row],[Facs DB]]</f>
        <v>0.10071942446043165</v>
      </c>
    </row>
    <row r="26" spans="1:29" x14ac:dyDescent="0.2">
      <c r="A26" s="225">
        <f ca="1">TblConstr[[#This Row],[Land]]</f>
        <v>279</v>
      </c>
      <c r="B26" s="227">
        <f ca="1">TblConstr[[#This Row],[Plain]]</f>
        <v>0</v>
      </c>
      <c r="C26" s="185">
        <f ca="1">TblConstr[[#This Row],[Forest]]</f>
        <v>0</v>
      </c>
      <c r="D26" s="385">
        <f ca="1">TblConstr[[#This Row],[Mountain]]</f>
        <v>0</v>
      </c>
      <c r="E26" s="389">
        <f ca="1">TblConstr[[#This Row],[Hill]]</f>
        <v>0</v>
      </c>
      <c r="F26" s="393">
        <f ca="1">TblConstr[[#This Row],[Swamp]]</f>
        <v>0</v>
      </c>
      <c r="G26" s="188">
        <f ca="1">TblConstr[[#This Row],[Cavern]]</f>
        <v>0</v>
      </c>
      <c r="H26" s="189">
        <f ca="1">TblConstr[[#This Row],[Water]]</f>
        <v>0</v>
      </c>
      <c r="I26" s="226"/>
      <c r="J26" s="178">
        <f t="shared" si="1"/>
        <v>23</v>
      </c>
      <c r="K26" s="250">
        <f ca="1">TblImps[[#This Row],[Real time]]</f>
        <v>45430.666666666613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20132</v>
      </c>
      <c r="W26" s="226"/>
      <c r="X26" s="97">
        <f ca="1">ROUNDUP( (1-MIN(ROUND(facs_rezone_factor*TblRezone[[#This Row],[Facs]],4),facs_rezone_max) + tech_6_4*TblTech[[#This Row],[6-4]] + tech_10_2*TblTech[[#This Row],[10-2]] - IF(TblMagic[[#This Row],[Active Mechanical Genius]]&gt;0,mech_genius_bonus,0) + race_rezone_cost) * TblRezone[[#This Row],[Plat/acre*]],0)</f>
        <v>134</v>
      </c>
      <c r="Y26" s="97">
        <f ca="1">TblRezone[[#This Row],[Total acres]]*TblRezone[[#This Row],[Plat/acre]]</f>
        <v>0</v>
      </c>
      <c r="Z26" s="226"/>
      <c r="AA26" s="97">
        <f ca="1">250+0.6*(TblRezone[[#This Row],[Land]]-250)</f>
        <v>267.39999999999998</v>
      </c>
      <c r="AB26" s="226"/>
      <c r="AC26" s="160">
        <f ca="1">TblConstr[[#This Row],[Facs DB]]</f>
        <v>0.1003584229390681</v>
      </c>
    </row>
    <row r="27" spans="1:29" x14ac:dyDescent="0.2">
      <c r="A27" s="225">
        <f ca="1">TblConstr[[#This Row],[Land]]</f>
        <v>299</v>
      </c>
      <c r="B27" s="227">
        <f ca="1">TblConstr[[#This Row],[Plain]]</f>
        <v>0</v>
      </c>
      <c r="C27" s="185">
        <f ca="1">TblConstr[[#This Row],[Forest]]</f>
        <v>0</v>
      </c>
      <c r="D27" s="385">
        <f ca="1">TblConstr[[#This Row],[Mountain]]</f>
        <v>0</v>
      </c>
      <c r="E27" s="389">
        <f ca="1">TblConstr[[#This Row],[Hill]]</f>
        <v>0</v>
      </c>
      <c r="F27" s="393">
        <f ca="1">TblConstr[[#This Row],[Swamp]]</f>
        <v>0</v>
      </c>
      <c r="G27" s="188">
        <f ca="1">TblConstr[[#This Row],[Cavern]]</f>
        <v>0</v>
      </c>
      <c r="H27" s="189">
        <f ca="1">TblConstr[[#This Row],[Water]]</f>
        <v>0</v>
      </c>
      <c r="I27" s="226"/>
      <c r="J27" s="178">
        <f t="shared" si="1"/>
        <v>24</v>
      </c>
      <c r="K27" s="250">
        <f ca="1">TblImps[[#This Row],[Real time]]</f>
        <v>45430.708333333278</v>
      </c>
      <c r="L27" s="182">
        <v>12</v>
      </c>
      <c r="M27" s="182"/>
      <c r="N27" s="182"/>
      <c r="O27" s="182">
        <v>8</v>
      </c>
      <c r="P27" s="182"/>
      <c r="Q27" s="182">
        <v>-20</v>
      </c>
      <c r="R27" s="182"/>
      <c r="S27" s="97">
        <f>SUMIF(TblRezone[[#This Row],[Plains Rezone]:[Water Rezone]],"&gt;0")</f>
        <v>20</v>
      </c>
      <c r="T27" s="62" t="str">
        <f>IF(SUM(TblRezone[[#This Row],[Plains Rezone]:[Water Rezone]])=0,"Ok","Nope")</f>
        <v>Ok</v>
      </c>
      <c r="U27" s="226"/>
      <c r="V27" s="97">
        <f ca="1">TblProd[[#This Row],[Platinum]]</f>
        <v>26679</v>
      </c>
      <c r="W27" s="226"/>
      <c r="X27" s="97">
        <f ca="1">ROUNDUP( (1-MIN(ROUND(facs_rezone_factor*TblRezone[[#This Row],[Facs]],4),facs_rezone_max) + tech_6_4*TblTech[[#This Row],[6-4]] + tech_10_2*TblTech[[#This Row],[10-2]] - IF(TblMagic[[#This Row],[Active Mechanical Genius]]&gt;0,mech_genius_bonus,0) + race_rezone_cost) * TblRezone[[#This Row],[Plat/acre*]],0)</f>
        <v>149</v>
      </c>
      <c r="Y27" s="97">
        <f ca="1">TblRezone[[#This Row],[Total acres]]*TblRezone[[#This Row],[Plat/acre]]</f>
        <v>2980</v>
      </c>
      <c r="Z27" s="226"/>
      <c r="AA27" s="97">
        <f ca="1">250+0.6*(TblRezone[[#This Row],[Land]]-250)</f>
        <v>279.39999999999998</v>
      </c>
      <c r="AB27" s="226"/>
      <c r="AC27" s="160">
        <f ca="1">TblConstr[[#This Row],[Facs DB]]</f>
        <v>9.3645484949832769E-2</v>
      </c>
    </row>
    <row r="28" spans="1:29" x14ac:dyDescent="0.2">
      <c r="A28" s="225">
        <f ca="1">TblConstr[[#This Row],[Land]]</f>
        <v>299</v>
      </c>
      <c r="B28" s="227">
        <f ca="1">TblConstr[[#This Row],[Plain]]</f>
        <v>0</v>
      </c>
      <c r="C28" s="185">
        <f ca="1">TblConstr[[#This Row],[Forest]]</f>
        <v>0</v>
      </c>
      <c r="D28" s="385">
        <f ca="1">TblConstr[[#This Row],[Mountain]]</f>
        <v>0</v>
      </c>
      <c r="E28" s="389">
        <f ca="1">TblConstr[[#This Row],[Hill]]</f>
        <v>0</v>
      </c>
      <c r="F28" s="393">
        <f ca="1">TblConstr[[#This Row],[Swamp]]</f>
        <v>0</v>
      </c>
      <c r="G28" s="188">
        <f ca="1">TblConstr[[#This Row],[Cavern]]</f>
        <v>0</v>
      </c>
      <c r="H28" s="189">
        <f ca="1">TblConstr[[#This Row],[Water]]</f>
        <v>0</v>
      </c>
      <c r="I28" s="226"/>
      <c r="J28" s="178">
        <f t="shared" si="1"/>
        <v>25</v>
      </c>
      <c r="K28" s="250">
        <f ca="1">TblImps[[#This Row],[Real time]]</f>
        <v>45430.749999999942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42902</v>
      </c>
      <c r="W28" s="226"/>
      <c r="X28" s="97">
        <f ca="1">ROUNDUP( (1-MIN(ROUND(facs_rezone_factor*TblRezone[[#This Row],[Facs]],4),facs_rezone_max) + tech_6_4*TblTech[[#This Row],[6-4]] + tech_10_2*TblTech[[#This Row],[10-2]] - IF(TblMagic[[#This Row],[Active Mechanical Genius]]&gt;0,mech_genius_bonus,0) + race_rezone_cost) * TblRezone[[#This Row],[Plat/acre*]],0)</f>
        <v>140</v>
      </c>
      <c r="Y28" s="97">
        <f ca="1">TblRezone[[#This Row],[Total acres]]*TblRezone[[#This Row],[Plat/acre]]</f>
        <v>0</v>
      </c>
      <c r="Z28" s="226"/>
      <c r="AA28" s="97">
        <f ca="1">250+0.6*(TblRezone[[#This Row],[Land]]-250)</f>
        <v>279.39999999999998</v>
      </c>
      <c r="AB28" s="226"/>
      <c r="AC28" s="160">
        <f ca="1">TblConstr[[#This Row],[Facs DB]]</f>
        <v>0.10033444816053512</v>
      </c>
    </row>
    <row r="29" spans="1:29" x14ac:dyDescent="0.2">
      <c r="A29" s="225">
        <f ca="1">TblConstr[[#This Row],[Land]]</f>
        <v>299</v>
      </c>
      <c r="B29" s="227">
        <f ca="1">TblConstr[[#This Row],[Plain]]</f>
        <v>0</v>
      </c>
      <c r="C29" s="185">
        <f ca="1">TblConstr[[#This Row],[Forest]]</f>
        <v>0</v>
      </c>
      <c r="D29" s="385">
        <f ca="1">TblConstr[[#This Row],[Mountain]]</f>
        <v>0</v>
      </c>
      <c r="E29" s="389">
        <f ca="1">TblConstr[[#This Row],[Hill]]</f>
        <v>0</v>
      </c>
      <c r="F29" s="393">
        <f ca="1">TblConstr[[#This Row],[Swamp]]</f>
        <v>0</v>
      </c>
      <c r="G29" s="188">
        <f ca="1">TblConstr[[#This Row],[Cavern]]</f>
        <v>0</v>
      </c>
      <c r="H29" s="189">
        <f ca="1">TblConstr[[#This Row],[Water]]</f>
        <v>0</v>
      </c>
      <c r="I29" s="226"/>
      <c r="J29" s="178">
        <f t="shared" si="1"/>
        <v>26</v>
      </c>
      <c r="K29" s="250">
        <f ca="1">TblImps[[#This Row],[Real time]]</f>
        <v>45430.791666666606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59751</v>
      </c>
      <c r="W29" s="226"/>
      <c r="X29" s="97">
        <f ca="1">ROUNDUP( (1-MIN(ROUND(facs_rezone_factor*TblRezone[[#This Row],[Facs]],4),facs_rezone_max) + tech_6_4*TblTech[[#This Row],[6-4]] + tech_10_2*TblTech[[#This Row],[10-2]] - IF(TblMagic[[#This Row],[Active Mechanical Genius]]&gt;0,mech_genius_bonus,0) + race_rezone_cost) * TblRezone[[#This Row],[Plat/acre*]],0)</f>
        <v>140</v>
      </c>
      <c r="Y29" s="97">
        <f ca="1">TblRezone[[#This Row],[Total acres]]*TblRezone[[#This Row],[Plat/acre]]</f>
        <v>0</v>
      </c>
      <c r="Z29" s="226"/>
      <c r="AA29" s="97">
        <f ca="1">250+0.6*(TblRezone[[#This Row],[Land]]-250)</f>
        <v>279.39999999999998</v>
      </c>
      <c r="AB29" s="226"/>
      <c r="AC29" s="160">
        <f ca="1">TblConstr[[#This Row],[Facs DB]]</f>
        <v>0.10033444816053512</v>
      </c>
    </row>
    <row r="30" spans="1:29" x14ac:dyDescent="0.2">
      <c r="A30" s="225">
        <f ca="1">TblConstr[[#This Row],[Land]]</f>
        <v>299</v>
      </c>
      <c r="B30" s="227">
        <f ca="1">TblConstr[[#This Row],[Plain]]</f>
        <v>0</v>
      </c>
      <c r="C30" s="185">
        <f ca="1">TblConstr[[#This Row],[Forest]]</f>
        <v>0</v>
      </c>
      <c r="D30" s="385">
        <f ca="1">TblConstr[[#This Row],[Mountain]]</f>
        <v>0</v>
      </c>
      <c r="E30" s="389">
        <f ca="1">TblConstr[[#This Row],[Hill]]</f>
        <v>0</v>
      </c>
      <c r="F30" s="393">
        <f ca="1">TblConstr[[#This Row],[Swamp]]</f>
        <v>0</v>
      </c>
      <c r="G30" s="188">
        <f ca="1">TblConstr[[#This Row],[Cavern]]</f>
        <v>0</v>
      </c>
      <c r="H30" s="189">
        <f ca="1">TblConstr[[#This Row],[Water]]</f>
        <v>0</v>
      </c>
      <c r="I30" s="226"/>
      <c r="J30" s="178">
        <f t="shared" si="1"/>
        <v>27</v>
      </c>
      <c r="K30" s="250">
        <f ca="1">TblImps[[#This Row],[Real time]]</f>
        <v>45430.83333333327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79053</v>
      </c>
      <c r="W30" s="226"/>
      <c r="X30" s="97">
        <f ca="1">ROUNDUP( (1-MIN(ROUND(facs_rezone_factor*TblRezone[[#This Row],[Facs]],4),facs_rezone_max) + tech_6_4*TblTech[[#This Row],[6-4]] + tech_10_2*TblTech[[#This Row],[10-2]] - IF(TblMagic[[#This Row],[Active Mechanical Genius]]&gt;0,mech_genius_bonus,0) + race_rezone_cost) * TblRezone[[#This Row],[Plat/acre*]],0)</f>
        <v>140</v>
      </c>
      <c r="Y30" s="97">
        <f ca="1">TblRezone[[#This Row],[Total acres]]*TblRezone[[#This Row],[Plat/acre]]</f>
        <v>0</v>
      </c>
      <c r="Z30" s="226"/>
      <c r="AA30" s="97">
        <f ca="1">250+0.6*(TblRezone[[#This Row],[Land]]-250)</f>
        <v>279.39999999999998</v>
      </c>
      <c r="AB30" s="226"/>
      <c r="AC30" s="160">
        <f ca="1">TblConstr[[#This Row],[Facs DB]]</f>
        <v>0.10033444816053512</v>
      </c>
    </row>
    <row r="31" spans="1:29" x14ac:dyDescent="0.2">
      <c r="A31" s="225">
        <f ca="1">TblConstr[[#This Row],[Land]]</f>
        <v>299</v>
      </c>
      <c r="B31" s="227">
        <f ca="1">TblConstr[[#This Row],[Plain]]</f>
        <v>0</v>
      </c>
      <c r="C31" s="185">
        <f ca="1">TblConstr[[#This Row],[Forest]]</f>
        <v>0</v>
      </c>
      <c r="D31" s="385">
        <f ca="1">TblConstr[[#This Row],[Mountain]]</f>
        <v>0</v>
      </c>
      <c r="E31" s="389">
        <f ca="1">TblConstr[[#This Row],[Hill]]</f>
        <v>0</v>
      </c>
      <c r="F31" s="393">
        <f ca="1">TblConstr[[#This Row],[Swamp]]</f>
        <v>0</v>
      </c>
      <c r="G31" s="188">
        <f ca="1">TblConstr[[#This Row],[Cavern]]</f>
        <v>0</v>
      </c>
      <c r="H31" s="189">
        <f ca="1">TblConstr[[#This Row],[Water]]</f>
        <v>0</v>
      </c>
      <c r="I31" s="226"/>
      <c r="J31" s="178">
        <f t="shared" si="1"/>
        <v>28</v>
      </c>
      <c r="K31" s="250">
        <f ca="1">TblImps[[#This Row],[Real time]]</f>
        <v>45430.874999999935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99065</v>
      </c>
      <c r="W31" s="226"/>
      <c r="X31" s="97">
        <f ca="1">ROUNDUP( (1-MIN(ROUND(facs_rezone_factor*TblRezone[[#This Row],[Facs]],4),facs_rezone_max) + tech_6_4*TblTech[[#This Row],[6-4]] + tech_10_2*TblTech[[#This Row],[10-2]] - IF(TblMagic[[#This Row],[Active Mechanical Genius]]&gt;0,mech_genius_bonus,0) + race_rezone_cost) * TblRezone[[#This Row],[Plat/acre*]],0)</f>
        <v>140</v>
      </c>
      <c r="Y31" s="97">
        <f ca="1">TblRezone[[#This Row],[Total acres]]*TblRezone[[#This Row],[Plat/acre]]</f>
        <v>0</v>
      </c>
      <c r="Z31" s="226"/>
      <c r="AA31" s="97">
        <f ca="1">250+0.6*(TblRezone[[#This Row],[Land]]-250)</f>
        <v>279.39999999999998</v>
      </c>
      <c r="AB31" s="226"/>
      <c r="AC31" s="160">
        <f ca="1">TblConstr[[#This Row],[Facs DB]]</f>
        <v>0.10033444816053512</v>
      </c>
    </row>
    <row r="32" spans="1:29" x14ac:dyDescent="0.2">
      <c r="A32" s="225">
        <f ca="1">TblConstr[[#This Row],[Land]]</f>
        <v>299</v>
      </c>
      <c r="B32" s="227">
        <f ca="1">TblConstr[[#This Row],[Plain]]</f>
        <v>0</v>
      </c>
      <c r="C32" s="185">
        <f ca="1">TblConstr[[#This Row],[Forest]]</f>
        <v>0</v>
      </c>
      <c r="D32" s="385">
        <f ca="1">TblConstr[[#This Row],[Mountain]]</f>
        <v>0</v>
      </c>
      <c r="E32" s="389">
        <f ca="1">TblConstr[[#This Row],[Hill]]</f>
        <v>0</v>
      </c>
      <c r="F32" s="393">
        <f ca="1">TblConstr[[#This Row],[Swamp]]</f>
        <v>0</v>
      </c>
      <c r="G32" s="188">
        <f ca="1">TblConstr[[#This Row],[Cavern]]</f>
        <v>0</v>
      </c>
      <c r="H32" s="189">
        <f ca="1">TblConstr[[#This Row],[Water]]</f>
        <v>0</v>
      </c>
      <c r="I32" s="226"/>
      <c r="J32" s="178">
        <f t="shared" si="1"/>
        <v>29</v>
      </c>
      <c r="K32" s="250">
        <f ca="1">TblImps[[#This Row],[Real time]]</f>
        <v>45430.916666666599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38976</v>
      </c>
      <c r="W32" s="226"/>
      <c r="X32" s="97">
        <f ca="1">ROUNDUP( (1-MIN(ROUND(facs_rezone_factor*TblRezone[[#This Row],[Facs]],4),facs_rezone_max) + tech_6_4*TblTech[[#This Row],[6-4]] + tech_10_2*TblTech[[#This Row],[10-2]] - IF(TblMagic[[#This Row],[Active Mechanical Genius]]&gt;0,mech_genius_bonus,0) + race_rezone_cost) * TblRezone[[#This Row],[Plat/acre*]],0)</f>
        <v>140</v>
      </c>
      <c r="Y32" s="97">
        <f ca="1">TblRezone[[#This Row],[Total acres]]*TblRezone[[#This Row],[Plat/acre]]</f>
        <v>0</v>
      </c>
      <c r="Z32" s="226"/>
      <c r="AA32" s="97">
        <f ca="1">250+0.6*(TblRezone[[#This Row],[Land]]-250)</f>
        <v>279.39999999999998</v>
      </c>
      <c r="AB32" s="226"/>
      <c r="AC32" s="160">
        <f ca="1">TblConstr[[#This Row],[Facs DB]]</f>
        <v>0.10033444816053512</v>
      </c>
    </row>
    <row r="33" spans="1:29" x14ac:dyDescent="0.2">
      <c r="A33" s="225">
        <f ca="1">TblConstr[[#This Row],[Land]]</f>
        <v>369</v>
      </c>
      <c r="B33" s="227">
        <f ca="1">TblConstr[[#This Row],[Plain]]</f>
        <v>0</v>
      </c>
      <c r="C33" s="185">
        <f ca="1">TblConstr[[#This Row],[Forest]]</f>
        <v>0</v>
      </c>
      <c r="D33" s="385">
        <f ca="1">TblConstr[[#This Row],[Mountain]]</f>
        <v>0</v>
      </c>
      <c r="E33" s="389">
        <f ca="1">TblConstr[[#This Row],[Hill]]</f>
        <v>0</v>
      </c>
      <c r="F33" s="393">
        <f ca="1">TblConstr[[#This Row],[Swamp]]</f>
        <v>0</v>
      </c>
      <c r="G33" s="188">
        <f ca="1">TblConstr[[#This Row],[Cavern]]</f>
        <v>0</v>
      </c>
      <c r="H33" s="189">
        <f ca="1">TblConstr[[#This Row],[Water]]</f>
        <v>0</v>
      </c>
      <c r="I33" s="226"/>
      <c r="J33" s="178">
        <f t="shared" si="1"/>
        <v>30</v>
      </c>
      <c r="K33" s="250">
        <f ca="1">TblImps[[#This Row],[Real time]]</f>
        <v>45430.958333333263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21478</v>
      </c>
      <c r="W33" s="226"/>
      <c r="X33" s="97">
        <f ca="1">ROUNDUP( (1-MIN(ROUND(facs_rezone_factor*TblRezone[[#This Row],[Facs]],4),facs_rezone_max) + tech_6_4*TblTech[[#This Row],[6-4]] + tech_10_2*TblTech[[#This Row],[10-2]] - IF(TblMagic[[#This Row],[Active Mechanical Genius]]&gt;0,mech_genius_bonus,0) + race_rezone_cost) * TblRezone[[#This Row],[Plat/acre*]],0)</f>
        <v>161</v>
      </c>
      <c r="Y33" s="97">
        <f ca="1">TblRezone[[#This Row],[Total acres]]*TblRezone[[#This Row],[Plat/acre]]</f>
        <v>0</v>
      </c>
      <c r="Z33" s="226"/>
      <c r="AA33" s="97">
        <f ca="1">250+0.6*(TblRezone[[#This Row],[Land]]-250)</f>
        <v>321.39999999999998</v>
      </c>
      <c r="AB33" s="226"/>
      <c r="AC33" s="160">
        <f ca="1">TblConstr[[#This Row],[Facs DB]]</f>
        <v>0.10298102981029811</v>
      </c>
    </row>
    <row r="34" spans="1:29" x14ac:dyDescent="0.2">
      <c r="A34" s="225">
        <f ca="1">TblConstr[[#This Row],[Land]]</f>
        <v>380</v>
      </c>
      <c r="B34" s="227">
        <f ca="1">TblConstr[[#This Row],[Plain]]</f>
        <v>0</v>
      </c>
      <c r="C34" s="185">
        <f ca="1">TblConstr[[#This Row],[Forest]]</f>
        <v>0</v>
      </c>
      <c r="D34" s="385">
        <f ca="1">TblConstr[[#This Row],[Mountain]]</f>
        <v>0</v>
      </c>
      <c r="E34" s="389">
        <f ca="1">TblConstr[[#This Row],[Hill]]</f>
        <v>0</v>
      </c>
      <c r="F34" s="393">
        <f ca="1">TblConstr[[#This Row],[Swamp]]</f>
        <v>0</v>
      </c>
      <c r="G34" s="188">
        <f ca="1">TblConstr[[#This Row],[Cavern]]</f>
        <v>0</v>
      </c>
      <c r="H34" s="189">
        <f ca="1">TblConstr[[#This Row],[Water]]</f>
        <v>0</v>
      </c>
      <c r="I34" s="226"/>
      <c r="J34" s="178">
        <f t="shared" si="1"/>
        <v>31</v>
      </c>
      <c r="K34" s="250">
        <f ca="1">TblImps[[#This Row],[Real time]]</f>
        <v>45430.999999999927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26412</v>
      </c>
      <c r="W34" s="226"/>
      <c r="X34" s="97">
        <f ca="1">ROUNDUP( (1-MIN(ROUND(facs_rezone_factor*TblRezone[[#This Row],[Facs]],4),facs_rezone_max) + tech_6_4*TblTech[[#This Row],[6-4]] + tech_10_2*TblTech[[#This Row],[10-2]] - IF(TblMagic[[#This Row],[Active Mechanical Genius]]&gt;0,mech_genius_bonus,0) + race_rezone_cost) * TblRezone[[#This Row],[Plat/acre*]],0)</f>
        <v>164</v>
      </c>
      <c r="Y34" s="97">
        <f ca="1">TblRezone[[#This Row],[Total acres]]*TblRezone[[#This Row],[Plat/acre]]</f>
        <v>0</v>
      </c>
      <c r="Z34" s="226"/>
      <c r="AA34" s="97">
        <f ca="1">250+0.6*(TblRezone[[#This Row],[Land]]-250)</f>
        <v>328</v>
      </c>
      <c r="AB34" s="226"/>
      <c r="AC34" s="160">
        <f ca="1">TblConstr[[#This Row],[Facs DB]]</f>
        <v>0.10263157894736842</v>
      </c>
    </row>
    <row r="35" spans="1:29" x14ac:dyDescent="0.2">
      <c r="A35" s="225">
        <f ca="1">TblConstr[[#This Row],[Land]]</f>
        <v>392</v>
      </c>
      <c r="B35" s="227">
        <f ca="1">TblConstr[[#This Row],[Plain]]</f>
        <v>0</v>
      </c>
      <c r="C35" s="185">
        <f ca="1">TblConstr[[#This Row],[Forest]]</f>
        <v>0</v>
      </c>
      <c r="D35" s="385">
        <f ca="1">TblConstr[[#This Row],[Mountain]]</f>
        <v>0</v>
      </c>
      <c r="E35" s="389">
        <f ca="1">TblConstr[[#This Row],[Hill]]</f>
        <v>0</v>
      </c>
      <c r="F35" s="393">
        <f ca="1">TblConstr[[#This Row],[Swamp]]</f>
        <v>0</v>
      </c>
      <c r="G35" s="188">
        <f ca="1">TblConstr[[#This Row],[Cavern]]</f>
        <v>0</v>
      </c>
      <c r="H35" s="189">
        <f ca="1">TblConstr[[#This Row],[Water]]</f>
        <v>0</v>
      </c>
      <c r="I35" s="226"/>
      <c r="J35" s="178">
        <f t="shared" si="1"/>
        <v>32</v>
      </c>
      <c r="K35" s="250">
        <f ca="1">TblImps[[#This Row],[Real time]]</f>
        <v>45431.041666666591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31118</v>
      </c>
      <c r="W35" s="226"/>
      <c r="X35" s="97">
        <f ca="1">ROUNDUP( (1-MIN(ROUND(facs_rezone_factor*TblRezone[[#This Row],[Facs]],4),facs_rezone_max) + tech_6_4*TblTech[[#This Row],[6-4]] + tech_10_2*TblTech[[#This Row],[10-2]] - IF(TblMagic[[#This Row],[Active Mechanical Genius]]&gt;0,mech_genius_bonus,0) + race_rezone_cost) * TblRezone[[#This Row],[Plat/acre*]],0)</f>
        <v>168</v>
      </c>
      <c r="Y35" s="97">
        <f ca="1">TblRezone[[#This Row],[Total acres]]*TblRezone[[#This Row],[Plat/acre]]</f>
        <v>0</v>
      </c>
      <c r="Z35" s="226"/>
      <c r="AA35" s="97">
        <f ca="1">250+0.6*(TblRezone[[#This Row],[Land]]-250)</f>
        <v>335.2</v>
      </c>
      <c r="AB35" s="226"/>
      <c r="AC35" s="160">
        <f ca="1">TblConstr[[#This Row],[Facs DB]]</f>
        <v>0.10204081632653061</v>
      </c>
    </row>
    <row r="36" spans="1:29" x14ac:dyDescent="0.2">
      <c r="A36" s="225">
        <f ca="1">TblConstr[[#This Row],[Land]]</f>
        <v>404</v>
      </c>
      <c r="B36" s="227">
        <f ca="1">TblConstr[[#This Row],[Plain]]</f>
        <v>0</v>
      </c>
      <c r="C36" s="185">
        <f ca="1">TblConstr[[#This Row],[Forest]]</f>
        <v>0</v>
      </c>
      <c r="D36" s="385">
        <f ca="1">TblConstr[[#This Row],[Mountain]]</f>
        <v>0</v>
      </c>
      <c r="E36" s="389">
        <f ca="1">TblConstr[[#This Row],[Hill]]</f>
        <v>0</v>
      </c>
      <c r="F36" s="393">
        <f ca="1">TblConstr[[#This Row],[Swamp]]</f>
        <v>0</v>
      </c>
      <c r="G36" s="188">
        <f ca="1">TblConstr[[#This Row],[Cavern]]</f>
        <v>0</v>
      </c>
      <c r="H36" s="189">
        <f ca="1">TblConstr[[#This Row],[Water]]</f>
        <v>0</v>
      </c>
      <c r="I36" s="226"/>
      <c r="J36" s="178">
        <f t="shared" si="1"/>
        <v>33</v>
      </c>
      <c r="K36" s="250">
        <f ca="1">TblImps[[#This Row],[Real time]]</f>
        <v>45431.083333333256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36027</v>
      </c>
      <c r="W36" s="226"/>
      <c r="X36" s="97">
        <f ca="1">ROUNDUP( (1-MIN(ROUND(facs_rezone_factor*TblRezone[[#This Row],[Facs]],4),facs_rezone_max) + tech_6_4*TblTech[[#This Row],[6-4]] + tech_10_2*TblTech[[#This Row],[10-2]] - IF(TblMagic[[#This Row],[Active Mechanical Genius]]&gt;0,mech_genius_bonus,0) + race_rezone_cost) * TblRezone[[#This Row],[Plat/acre*]],0)</f>
        <v>172</v>
      </c>
      <c r="Y36" s="97">
        <f ca="1">TblRezone[[#This Row],[Total acres]]*TblRezone[[#This Row],[Plat/acre]]</f>
        <v>0</v>
      </c>
      <c r="Z36" s="226"/>
      <c r="AA36" s="97">
        <f ca="1">250+0.6*(TblRezone[[#This Row],[Land]]-250)</f>
        <v>342.4</v>
      </c>
      <c r="AB36" s="226"/>
      <c r="AC36" s="160">
        <f ca="1">TblConstr[[#This Row],[Facs DB]]</f>
        <v>0.10148514851485149</v>
      </c>
    </row>
    <row r="37" spans="1:29" x14ac:dyDescent="0.2">
      <c r="A37" s="225">
        <f ca="1">TblConstr[[#This Row],[Land]]</f>
        <v>407</v>
      </c>
      <c r="B37" s="227">
        <f ca="1">TblConstr[[#This Row],[Plain]]</f>
        <v>0</v>
      </c>
      <c r="C37" s="185">
        <f ca="1">TblConstr[[#This Row],[Forest]]</f>
        <v>0</v>
      </c>
      <c r="D37" s="385">
        <f ca="1">TblConstr[[#This Row],[Mountain]]</f>
        <v>0</v>
      </c>
      <c r="E37" s="389">
        <f ca="1">TblConstr[[#This Row],[Hill]]</f>
        <v>0</v>
      </c>
      <c r="F37" s="393">
        <f ca="1">TblConstr[[#This Row],[Swamp]]</f>
        <v>0</v>
      </c>
      <c r="G37" s="188">
        <f ca="1">TblConstr[[#This Row],[Cavern]]</f>
        <v>0</v>
      </c>
      <c r="H37" s="189">
        <f ca="1">TblConstr[[#This Row],[Water]]</f>
        <v>0</v>
      </c>
      <c r="I37" s="226"/>
      <c r="J37" s="178">
        <f t="shared" si="1"/>
        <v>34</v>
      </c>
      <c r="K37" s="250">
        <f ca="1">TblImps[[#This Row],[Real time]]</f>
        <v>45431.12499999992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43944</v>
      </c>
      <c r="W37" s="226"/>
      <c r="X37" s="97">
        <f ca="1">ROUNDUP( (1-MIN(ROUND(facs_rezone_factor*TblRezone[[#This Row],[Facs]],4),facs_rezone_max) + tech_6_4*TblTech[[#This Row],[6-4]] + tech_10_2*TblTech[[#This Row],[10-2]] - IF(TblMagic[[#This Row],[Active Mechanical Genius]]&gt;0,mech_genius_bonus,0) + race_rezone_cost) * TblRezone[[#This Row],[Plat/acre*]],0)</f>
        <v>173</v>
      </c>
      <c r="Y37" s="97">
        <f ca="1">TblRezone[[#This Row],[Total acres]]*TblRezone[[#This Row],[Plat/acre]]</f>
        <v>0</v>
      </c>
      <c r="Z37" s="226"/>
      <c r="AA37" s="97">
        <f ca="1">250+0.6*(TblRezone[[#This Row],[Land]]-250)</f>
        <v>344.2</v>
      </c>
      <c r="AB37" s="226"/>
      <c r="AC37" s="160">
        <f ca="1">TblConstr[[#This Row],[Facs DB]]</f>
        <v>0.10319410319410319</v>
      </c>
    </row>
    <row r="38" spans="1:29" x14ac:dyDescent="0.2">
      <c r="A38" s="225">
        <f ca="1">TblConstr[[#This Row],[Land]]</f>
        <v>409</v>
      </c>
      <c r="B38" s="227">
        <f ca="1">TblConstr[[#This Row],[Plain]]</f>
        <v>0</v>
      </c>
      <c r="C38" s="185">
        <f ca="1">TblConstr[[#This Row],[Forest]]</f>
        <v>0</v>
      </c>
      <c r="D38" s="385">
        <f ca="1">TblConstr[[#This Row],[Mountain]]</f>
        <v>0</v>
      </c>
      <c r="E38" s="389">
        <f ca="1">TblConstr[[#This Row],[Hill]]</f>
        <v>0</v>
      </c>
      <c r="F38" s="393">
        <f ca="1">TblConstr[[#This Row],[Swamp]]</f>
        <v>0</v>
      </c>
      <c r="G38" s="188">
        <f ca="1">TblConstr[[#This Row],[Cavern]]</f>
        <v>0</v>
      </c>
      <c r="H38" s="189">
        <f ca="1">TblConstr[[#This Row],[Water]]</f>
        <v>0</v>
      </c>
      <c r="I38" s="226"/>
      <c r="J38" s="178">
        <f t="shared" si="1"/>
        <v>35</v>
      </c>
      <c r="K38" s="250">
        <f ca="1">TblImps[[#This Row],[Real time]]</f>
        <v>45431.166666666584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51273</v>
      </c>
      <c r="W38" s="226"/>
      <c r="X38" s="97">
        <f ca="1">ROUNDUP( (1-MIN(ROUND(facs_rezone_factor*TblRezone[[#This Row],[Facs]],4),facs_rezone_max) + tech_6_4*TblTech[[#This Row],[6-4]] + tech_10_2*TblTech[[#This Row],[10-2]] - IF(TblMagic[[#This Row],[Active Mechanical Genius]]&gt;0,mech_genius_bonus,0) + race_rezone_cost) * TblRezone[[#This Row],[Plat/acre*]],0)</f>
        <v>173</v>
      </c>
      <c r="Y38" s="97">
        <f ca="1">TblRezone[[#This Row],[Total acres]]*TblRezone[[#This Row],[Plat/acre]]</f>
        <v>0</v>
      </c>
      <c r="Z38" s="226"/>
      <c r="AA38" s="97">
        <f ca="1">250+0.6*(TblRezone[[#This Row],[Land]]-250)</f>
        <v>345.4</v>
      </c>
      <c r="AB38" s="226"/>
      <c r="AC38" s="160">
        <f ca="1">TblConstr[[#This Row],[Facs DB]]</f>
        <v>0.10513447432762836</v>
      </c>
    </row>
    <row r="39" spans="1:29" x14ac:dyDescent="0.2">
      <c r="A39" s="225">
        <f ca="1">TblConstr[[#This Row],[Land]]</f>
        <v>419</v>
      </c>
      <c r="B39" s="227">
        <f ca="1">TblConstr[[#This Row],[Plain]]</f>
        <v>0</v>
      </c>
      <c r="C39" s="185">
        <f ca="1">TblConstr[[#This Row],[Forest]]</f>
        <v>0</v>
      </c>
      <c r="D39" s="385">
        <f ca="1">TblConstr[[#This Row],[Mountain]]</f>
        <v>0</v>
      </c>
      <c r="E39" s="389">
        <f ca="1">TblConstr[[#This Row],[Hill]]</f>
        <v>0</v>
      </c>
      <c r="F39" s="393">
        <f ca="1">TblConstr[[#This Row],[Swamp]]</f>
        <v>0</v>
      </c>
      <c r="G39" s="188">
        <f ca="1">TblConstr[[#This Row],[Cavern]]</f>
        <v>0</v>
      </c>
      <c r="H39" s="189">
        <f ca="1">TblConstr[[#This Row],[Water]]</f>
        <v>0</v>
      </c>
      <c r="I39" s="226"/>
      <c r="J39" s="178">
        <f t="shared" si="1"/>
        <v>36</v>
      </c>
      <c r="K39" s="250">
        <f ca="1">TblImps[[#This Row],[Real time]]</f>
        <v>45431.208333333248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55040</v>
      </c>
      <c r="W39" s="226"/>
      <c r="X39" s="97">
        <f ca="1">ROUNDUP( (1-MIN(ROUND(facs_rezone_factor*TblRezone[[#This Row],[Facs]],4),facs_rezone_max) + tech_6_4*TblTech[[#This Row],[6-4]] + tech_10_2*TblTech[[#This Row],[10-2]] - IF(TblMagic[[#This Row],[Active Mechanical Genius]]&gt;0,mech_genius_bonus,0) + race_rezone_cost) * TblRezone[[#This Row],[Plat/acre*]],0)</f>
        <v>176</v>
      </c>
      <c r="Y39" s="97">
        <f ca="1">TblRezone[[#This Row],[Total acres]]*TblRezone[[#This Row],[Plat/acre]]</f>
        <v>0</v>
      </c>
      <c r="Z39" s="226"/>
      <c r="AA39" s="97">
        <f ca="1">250+0.6*(TblRezone[[#This Row],[Land]]-250)</f>
        <v>351.4</v>
      </c>
      <c r="AB39" s="226"/>
      <c r="AC39" s="160">
        <f ca="1">TblConstr[[#This Row],[Facs DB]]</f>
        <v>0.12171837708830549</v>
      </c>
    </row>
    <row r="40" spans="1:29" x14ac:dyDescent="0.2">
      <c r="A40" s="225">
        <f ca="1">TblConstr[[#This Row],[Land]]</f>
        <v>419</v>
      </c>
      <c r="B40" s="227">
        <f ca="1">TblConstr[[#This Row],[Plain]]</f>
        <v>0</v>
      </c>
      <c r="C40" s="185">
        <f ca="1">TblConstr[[#This Row],[Forest]]</f>
        <v>0</v>
      </c>
      <c r="D40" s="385">
        <f ca="1">TblConstr[[#This Row],[Mountain]]</f>
        <v>0</v>
      </c>
      <c r="E40" s="389">
        <f ca="1">TblConstr[[#This Row],[Hill]]</f>
        <v>0</v>
      </c>
      <c r="F40" s="393">
        <f ca="1">TblConstr[[#This Row],[Swamp]]</f>
        <v>0</v>
      </c>
      <c r="G40" s="188">
        <f ca="1">TblConstr[[#This Row],[Cavern]]</f>
        <v>0</v>
      </c>
      <c r="H40" s="189">
        <f ca="1">TblConstr[[#This Row],[Water]]</f>
        <v>0</v>
      </c>
      <c r="I40" s="226"/>
      <c r="J40" s="178">
        <f t="shared" si="1"/>
        <v>37</v>
      </c>
      <c r="K40" s="250">
        <f ca="1">TblImps[[#This Row],[Real time]]</f>
        <v>45431.249999999913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63059</v>
      </c>
      <c r="W40" s="226"/>
      <c r="X40" s="97">
        <f ca="1">ROUNDUP( (1-MIN(ROUND(facs_rezone_factor*TblRezone[[#This Row],[Facs]],4),facs_rezone_max) + tech_6_4*TblTech[[#This Row],[6-4]] + tech_10_2*TblTech[[#This Row],[10-2]] - IF(TblMagic[[#This Row],[Active Mechanical Genius]]&gt;0,mech_genius_bonus,0) + race_rezone_cost) * TblRezone[[#This Row],[Plat/acre*]],0)</f>
        <v>176</v>
      </c>
      <c r="Y40" s="97">
        <f ca="1">TblRezone[[#This Row],[Total acres]]*TblRezone[[#This Row],[Plat/acre]]</f>
        <v>0</v>
      </c>
      <c r="Z40" s="226"/>
      <c r="AA40" s="97">
        <f ca="1">250+0.6*(TblRezone[[#This Row],[Land]]-250)</f>
        <v>351.4</v>
      </c>
      <c r="AB40" s="226"/>
      <c r="AC40" s="160">
        <f ca="1">TblConstr[[#This Row],[Facs DB]]</f>
        <v>0.12171837708830549</v>
      </c>
    </row>
    <row r="41" spans="1:29" x14ac:dyDescent="0.2">
      <c r="A41" s="225">
        <f ca="1">TblConstr[[#This Row],[Land]]</f>
        <v>419</v>
      </c>
      <c r="B41" s="227">
        <f ca="1">TblConstr[[#This Row],[Plain]]</f>
        <v>0</v>
      </c>
      <c r="C41" s="185">
        <f ca="1">TblConstr[[#This Row],[Forest]]</f>
        <v>0</v>
      </c>
      <c r="D41" s="385">
        <f ca="1">TblConstr[[#This Row],[Mountain]]</f>
        <v>0</v>
      </c>
      <c r="E41" s="389">
        <f ca="1">TblConstr[[#This Row],[Hill]]</f>
        <v>0</v>
      </c>
      <c r="F41" s="393">
        <f ca="1">TblConstr[[#This Row],[Swamp]]</f>
        <v>0</v>
      </c>
      <c r="G41" s="188">
        <f ca="1">TblConstr[[#This Row],[Cavern]]</f>
        <v>0</v>
      </c>
      <c r="H41" s="189">
        <f ca="1">TblConstr[[#This Row],[Water]]</f>
        <v>0</v>
      </c>
      <c r="I41" s="226"/>
      <c r="J41" s="178">
        <f t="shared" si="1"/>
        <v>38</v>
      </c>
      <c r="K41" s="250">
        <f ca="1">TblImps[[#This Row],[Real time]]</f>
        <v>45431.291666666577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71078</v>
      </c>
      <c r="W41" s="226"/>
      <c r="X41" s="97">
        <f ca="1">ROUNDUP( (1-MIN(ROUND(facs_rezone_factor*TblRezone[[#This Row],[Facs]],4),facs_rezone_max) + tech_6_4*TblTech[[#This Row],[6-4]] + tech_10_2*TblTech[[#This Row],[10-2]] - IF(TblMagic[[#This Row],[Active Mechanical Genius]]&gt;0,mech_genius_bonus,0) + race_rezone_cost) * TblRezone[[#This Row],[Plat/acre*]],0)</f>
        <v>176</v>
      </c>
      <c r="Y41" s="97">
        <f ca="1">TblRezone[[#This Row],[Total acres]]*TblRezone[[#This Row],[Plat/acre]]</f>
        <v>0</v>
      </c>
      <c r="Z41" s="226"/>
      <c r="AA41" s="97">
        <f ca="1">250+0.6*(TblRezone[[#This Row],[Land]]-250)</f>
        <v>351.4</v>
      </c>
      <c r="AB41" s="226"/>
      <c r="AC41" s="160">
        <f ca="1">TblConstr[[#This Row],[Facs DB]]</f>
        <v>0.12171837708830549</v>
      </c>
    </row>
    <row r="42" spans="1:29" x14ac:dyDescent="0.2">
      <c r="A42" s="225">
        <f ca="1">TblConstr[[#This Row],[Land]]</f>
        <v>419</v>
      </c>
      <c r="B42" s="227">
        <f ca="1">TblConstr[[#This Row],[Plain]]</f>
        <v>0</v>
      </c>
      <c r="C42" s="185">
        <f ca="1">TblConstr[[#This Row],[Forest]]</f>
        <v>0</v>
      </c>
      <c r="D42" s="385">
        <f ca="1">TblConstr[[#This Row],[Mountain]]</f>
        <v>0</v>
      </c>
      <c r="E42" s="389">
        <f ca="1">TblConstr[[#This Row],[Hill]]</f>
        <v>0</v>
      </c>
      <c r="F42" s="393">
        <f ca="1">TblConstr[[#This Row],[Swamp]]</f>
        <v>0</v>
      </c>
      <c r="G42" s="188">
        <f ca="1">TblConstr[[#This Row],[Cavern]]</f>
        <v>0</v>
      </c>
      <c r="H42" s="189">
        <f ca="1">TblConstr[[#This Row],[Water]]</f>
        <v>0</v>
      </c>
      <c r="I42" s="226"/>
      <c r="J42" s="178">
        <f t="shared" si="1"/>
        <v>39</v>
      </c>
      <c r="K42" s="250">
        <f ca="1">TblImps[[#This Row],[Real time]]</f>
        <v>45431.333333333241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77568</v>
      </c>
      <c r="W42" s="226"/>
      <c r="X42" s="97">
        <f ca="1">ROUNDUP( (1-MIN(ROUND(facs_rezone_factor*TblRezone[[#This Row],[Facs]],4),facs_rezone_max) + tech_6_4*TblTech[[#This Row],[6-4]] + tech_10_2*TblTech[[#This Row],[10-2]] - IF(TblMagic[[#This Row],[Active Mechanical Genius]]&gt;0,mech_genius_bonus,0) + race_rezone_cost) * TblRezone[[#This Row],[Plat/acre*]],0)</f>
        <v>176</v>
      </c>
      <c r="Y42" s="97">
        <f ca="1">TblRezone[[#This Row],[Total acres]]*TblRezone[[#This Row],[Plat/acre]]</f>
        <v>0</v>
      </c>
      <c r="Z42" s="226"/>
      <c r="AA42" s="97">
        <f ca="1">250+0.6*(TblRezone[[#This Row],[Land]]-250)</f>
        <v>351.4</v>
      </c>
      <c r="AB42" s="226"/>
      <c r="AC42" s="160">
        <f ca="1">TblConstr[[#This Row],[Facs DB]]</f>
        <v>0.12171837708830549</v>
      </c>
    </row>
    <row r="43" spans="1:29" x14ac:dyDescent="0.2">
      <c r="A43" s="225">
        <f ca="1">TblConstr[[#This Row],[Land]]</f>
        <v>419</v>
      </c>
      <c r="B43" s="227">
        <f ca="1">TblConstr[[#This Row],[Plain]]</f>
        <v>0</v>
      </c>
      <c r="C43" s="185">
        <f ca="1">TblConstr[[#This Row],[Forest]]</f>
        <v>0</v>
      </c>
      <c r="D43" s="385">
        <f ca="1">TblConstr[[#This Row],[Mountain]]</f>
        <v>0</v>
      </c>
      <c r="E43" s="389">
        <f ca="1">TblConstr[[#This Row],[Hill]]</f>
        <v>0</v>
      </c>
      <c r="F43" s="393">
        <f ca="1">TblConstr[[#This Row],[Swamp]]</f>
        <v>0</v>
      </c>
      <c r="G43" s="188">
        <f ca="1">TblConstr[[#This Row],[Cavern]]</f>
        <v>0</v>
      </c>
      <c r="H43" s="189">
        <f ca="1">TblConstr[[#This Row],[Water]]</f>
        <v>0</v>
      </c>
      <c r="I43" s="226"/>
      <c r="J43" s="178">
        <f t="shared" si="1"/>
        <v>40</v>
      </c>
      <c r="K43" s="250">
        <f ca="1">TblImps[[#This Row],[Real time]]</f>
        <v>45431.374999999905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85587</v>
      </c>
      <c r="W43" s="226"/>
      <c r="X43" s="97">
        <f ca="1">ROUNDUP( (1-MIN(ROUND(facs_rezone_factor*TblRezone[[#This Row],[Facs]],4),facs_rezone_max) + tech_6_4*TblTech[[#This Row],[6-4]] + tech_10_2*TblTech[[#This Row],[10-2]] - IF(TblMagic[[#This Row],[Active Mechanical Genius]]&gt;0,mech_genius_bonus,0) + race_rezone_cost) * TblRezone[[#This Row],[Plat/acre*]],0)</f>
        <v>176</v>
      </c>
      <c r="Y43" s="97">
        <f ca="1">TblRezone[[#This Row],[Total acres]]*TblRezone[[#This Row],[Plat/acre]]</f>
        <v>0</v>
      </c>
      <c r="Z43" s="226"/>
      <c r="AA43" s="97">
        <f ca="1">250+0.6*(TblRezone[[#This Row],[Land]]-250)</f>
        <v>351.4</v>
      </c>
      <c r="AB43" s="226"/>
      <c r="AC43" s="160">
        <f ca="1">TblConstr[[#This Row],[Facs DB]]</f>
        <v>0.12171837708830549</v>
      </c>
    </row>
    <row r="44" spans="1:29" x14ac:dyDescent="0.2">
      <c r="A44" s="225">
        <f ca="1">TblConstr[[#This Row],[Land]]</f>
        <v>501</v>
      </c>
      <c r="B44" s="227">
        <f ca="1">TblConstr[[#This Row],[Plain]]</f>
        <v>0</v>
      </c>
      <c r="C44" s="185">
        <f ca="1">TblConstr[[#This Row],[Forest]]</f>
        <v>0</v>
      </c>
      <c r="D44" s="385">
        <f ca="1">TblConstr[[#This Row],[Mountain]]</f>
        <v>0</v>
      </c>
      <c r="E44" s="389">
        <f ca="1">TblConstr[[#This Row],[Hill]]</f>
        <v>0</v>
      </c>
      <c r="F44" s="393">
        <f ca="1">TblConstr[[#This Row],[Swamp]]</f>
        <v>0</v>
      </c>
      <c r="G44" s="188">
        <f ca="1">TblConstr[[#This Row],[Cavern]]</f>
        <v>0</v>
      </c>
      <c r="H44" s="189">
        <f ca="1">TblConstr[[#This Row],[Water]]</f>
        <v>0</v>
      </c>
      <c r="I44" s="226"/>
      <c r="J44" s="178">
        <f t="shared" si="1"/>
        <v>41</v>
      </c>
      <c r="K44" s="250">
        <f ca="1">TblImps[[#This Row],[Real time]]</f>
        <v>45431.41666666657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54134</v>
      </c>
      <c r="W44" s="226"/>
      <c r="X44" s="97">
        <f ca="1">ROUNDUP( (1-MIN(ROUND(facs_rezone_factor*TblRezone[[#This Row],[Facs]],4),facs_rezone_max) + tech_6_4*TblTech[[#This Row],[6-4]] + tech_10_2*TblTech[[#This Row],[10-2]] - IF(TblMagic[[#This Row],[Active Mechanical Genius]]&gt;0,mech_genius_bonus,0) + race_rezone_cost) * TblRezone[[#This Row],[Plat/acre*]],0)</f>
        <v>201</v>
      </c>
      <c r="Y44" s="97">
        <f ca="1">TblRezone[[#This Row],[Total acres]]*TblRezone[[#This Row],[Plat/acre]]</f>
        <v>0</v>
      </c>
      <c r="Z44" s="226"/>
      <c r="AA44" s="97">
        <f ca="1">250+0.6*(TblRezone[[#This Row],[Land]]-250)</f>
        <v>400.6</v>
      </c>
      <c r="AB44" s="226"/>
      <c r="AC44" s="160">
        <f ca="1">TblConstr[[#This Row],[Facs DB]]</f>
        <v>0.10179640718562874</v>
      </c>
    </row>
    <row r="45" spans="1:29" x14ac:dyDescent="0.2">
      <c r="A45" s="225">
        <f ca="1">TblConstr[[#This Row],[Land]]</f>
        <v>510</v>
      </c>
      <c r="B45" s="227">
        <f ca="1">TblConstr[[#This Row],[Plain]]</f>
        <v>0</v>
      </c>
      <c r="C45" s="185">
        <f ca="1">TblConstr[[#This Row],[Forest]]</f>
        <v>0</v>
      </c>
      <c r="D45" s="385">
        <f ca="1">TblConstr[[#This Row],[Mountain]]</f>
        <v>0</v>
      </c>
      <c r="E45" s="389">
        <f ca="1">TblConstr[[#This Row],[Hill]]</f>
        <v>0</v>
      </c>
      <c r="F45" s="393">
        <f ca="1">TblConstr[[#This Row],[Swamp]]</f>
        <v>0</v>
      </c>
      <c r="G45" s="188">
        <f ca="1">TblConstr[[#This Row],[Cavern]]</f>
        <v>0</v>
      </c>
      <c r="H45" s="189">
        <f ca="1">TblConstr[[#This Row],[Water]]</f>
        <v>0</v>
      </c>
      <c r="I45" s="226"/>
      <c r="J45" s="178">
        <f t="shared" si="1"/>
        <v>42</v>
      </c>
      <c r="K45" s="250">
        <f ca="1">TblImps[[#This Row],[Real time]]</f>
        <v>45431.458333333234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60267</v>
      </c>
      <c r="W45" s="226"/>
      <c r="X45" s="97">
        <f ca="1">ROUNDUP( (1-MIN(ROUND(facs_rezone_factor*TblRezone[[#This Row],[Facs]],4),facs_rezone_max) + tech_6_4*TblTech[[#This Row],[6-4]] + tech_10_2*TblTech[[#This Row],[10-2]] - IF(TblMagic[[#This Row],[Active Mechanical Genius]]&gt;0,mech_genius_bonus,0) + race_rezone_cost) * TblRezone[[#This Row],[Plat/acre*]],0)</f>
        <v>203</v>
      </c>
      <c r="Y45" s="97">
        <f ca="1">TblRezone[[#This Row],[Total acres]]*TblRezone[[#This Row],[Plat/acre]]</f>
        <v>0</v>
      </c>
      <c r="Z45" s="226"/>
      <c r="AA45" s="97">
        <f ca="1">250+0.6*(TblRezone[[#This Row],[Land]]-250)</f>
        <v>406</v>
      </c>
      <c r="AB45" s="226"/>
      <c r="AC45" s="160">
        <f ca="1">TblConstr[[#This Row],[Facs DB]]</f>
        <v>0.10196078431372549</v>
      </c>
    </row>
    <row r="46" spans="1:29" x14ac:dyDescent="0.2">
      <c r="A46" s="225">
        <f ca="1">TblConstr[[#This Row],[Land]]</f>
        <v>520</v>
      </c>
      <c r="B46" s="227">
        <f ca="1">TblConstr[[#This Row],[Plain]]</f>
        <v>0</v>
      </c>
      <c r="C46" s="185">
        <f ca="1">TblConstr[[#This Row],[Forest]]</f>
        <v>0</v>
      </c>
      <c r="D46" s="385">
        <f ca="1">TblConstr[[#This Row],[Mountain]]</f>
        <v>0</v>
      </c>
      <c r="E46" s="389">
        <f ca="1">TblConstr[[#This Row],[Hill]]</f>
        <v>0</v>
      </c>
      <c r="F46" s="393">
        <f ca="1">TblConstr[[#This Row],[Swamp]]</f>
        <v>0</v>
      </c>
      <c r="G46" s="188">
        <f ca="1">TblConstr[[#This Row],[Cavern]]</f>
        <v>0</v>
      </c>
      <c r="H46" s="189">
        <f ca="1">TblConstr[[#This Row],[Water]]</f>
        <v>0</v>
      </c>
      <c r="I46" s="226"/>
      <c r="J46" s="178">
        <f t="shared" si="1"/>
        <v>43</v>
      </c>
      <c r="K46" s="250">
        <f ca="1">TblImps[[#This Row],[Real time]]</f>
        <v>45431.499999999898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75080</v>
      </c>
      <c r="W46" s="226"/>
      <c r="X46" s="97">
        <f ca="1">ROUNDUP( (1-MIN(ROUND(facs_rezone_factor*TblRezone[[#This Row],[Facs]],4),facs_rezone_max) + tech_6_4*TblTech[[#This Row],[6-4]] + tech_10_2*TblTech[[#This Row],[10-2]] - IF(TblMagic[[#This Row],[Active Mechanical Genius]]&gt;0,mech_genius_bonus,0) + race_rezone_cost) * TblRezone[[#This Row],[Plat/acre*]],0)</f>
        <v>206</v>
      </c>
      <c r="Y46" s="97">
        <f ca="1">TblRezone[[#This Row],[Total acres]]*TblRezone[[#This Row],[Plat/acre]]</f>
        <v>0</v>
      </c>
      <c r="Z46" s="226"/>
      <c r="AA46" s="97">
        <f ca="1">250+0.6*(TblRezone[[#This Row],[Land]]-250)</f>
        <v>412</v>
      </c>
      <c r="AB46" s="226"/>
      <c r="AC46" s="160">
        <f ca="1">TblConstr[[#This Row],[Facs DB]]</f>
        <v>0.10192307692307692</v>
      </c>
    </row>
    <row r="47" spans="1:29" x14ac:dyDescent="0.2">
      <c r="A47" s="225">
        <f ca="1">TblConstr[[#This Row],[Land]]</f>
        <v>530</v>
      </c>
      <c r="B47" s="227">
        <f ca="1">TblConstr[[#This Row],[Plain]]</f>
        <v>0</v>
      </c>
      <c r="C47" s="185">
        <f ca="1">TblConstr[[#This Row],[Forest]]</f>
        <v>0</v>
      </c>
      <c r="D47" s="385">
        <f ca="1">TblConstr[[#This Row],[Mountain]]</f>
        <v>0</v>
      </c>
      <c r="E47" s="389">
        <f ca="1">TblConstr[[#This Row],[Hill]]</f>
        <v>0</v>
      </c>
      <c r="F47" s="393">
        <f ca="1">TblConstr[[#This Row],[Swamp]]</f>
        <v>0</v>
      </c>
      <c r="G47" s="188">
        <f ca="1">TblConstr[[#This Row],[Cavern]]</f>
        <v>0</v>
      </c>
      <c r="H47" s="189">
        <f ca="1">TblConstr[[#This Row],[Water]]</f>
        <v>0</v>
      </c>
      <c r="I47" s="226"/>
      <c r="J47" s="178">
        <f t="shared" si="1"/>
        <v>44</v>
      </c>
      <c r="K47" s="250">
        <f ca="1">TblImps[[#This Row],[Real time]]</f>
        <v>45431.541666666562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107787</v>
      </c>
      <c r="W47" s="226"/>
      <c r="X47" s="97">
        <f ca="1">ROUNDUP( (1-MIN(ROUND(facs_rezone_factor*TblRezone[[#This Row],[Facs]],4),facs_rezone_max) + tech_6_4*TblTech[[#This Row],[6-4]] + tech_10_2*TblTech[[#This Row],[10-2]] - IF(TblMagic[[#This Row],[Active Mechanical Genius]]&gt;0,mech_genius_bonus,0) + race_rezone_cost) * TblRezone[[#This Row],[Plat/acre*]],0)</f>
        <v>209</v>
      </c>
      <c r="Y47" s="97">
        <f ca="1">TblRezone[[#This Row],[Total acres]]*TblRezone[[#This Row],[Plat/acre]]</f>
        <v>0</v>
      </c>
      <c r="Z47" s="226"/>
      <c r="AA47" s="97">
        <f ca="1">250+0.6*(TblRezone[[#This Row],[Land]]-250)</f>
        <v>418</v>
      </c>
      <c r="AB47" s="226"/>
      <c r="AC47" s="160">
        <f ca="1">TblConstr[[#This Row],[Facs DB]]</f>
        <v>0.10188679245283019</v>
      </c>
    </row>
    <row r="48" spans="1:29" x14ac:dyDescent="0.2">
      <c r="A48" s="225">
        <f ca="1">TblConstr[[#This Row],[Land]]</f>
        <v>540</v>
      </c>
      <c r="B48" s="227">
        <f ca="1">TblConstr[[#This Row],[Plain]]</f>
        <v>0</v>
      </c>
      <c r="C48" s="185">
        <f ca="1">TblConstr[[#This Row],[Forest]]</f>
        <v>0</v>
      </c>
      <c r="D48" s="385">
        <f ca="1">TblConstr[[#This Row],[Mountain]]</f>
        <v>0</v>
      </c>
      <c r="E48" s="389">
        <f ca="1">TblConstr[[#This Row],[Hill]]</f>
        <v>0</v>
      </c>
      <c r="F48" s="393">
        <f ca="1">TblConstr[[#This Row],[Swamp]]</f>
        <v>0</v>
      </c>
      <c r="G48" s="188">
        <f ca="1">TblConstr[[#This Row],[Cavern]]</f>
        <v>0</v>
      </c>
      <c r="H48" s="189">
        <f ca="1">TblConstr[[#This Row],[Water]]</f>
        <v>0</v>
      </c>
      <c r="I48" s="226"/>
      <c r="J48" s="178">
        <f t="shared" si="1"/>
        <v>45</v>
      </c>
      <c r="K48" s="250">
        <f ca="1">TblImps[[#This Row],[Real time]]</f>
        <v>45431.583333333227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141605</v>
      </c>
      <c r="W48" s="226"/>
      <c r="X48" s="97">
        <f ca="1">ROUNDUP( (1-MIN(ROUND(facs_rezone_factor*TblRezone[[#This Row],[Facs]],4),facs_rezone_max) + tech_6_4*TblTech[[#This Row],[6-4]] + tech_10_2*TblTech[[#This Row],[10-2]] - IF(TblMagic[[#This Row],[Active Mechanical Genius]]&gt;0,mech_genius_bonus,0) + race_rezone_cost) * TblRezone[[#This Row],[Plat/acre*]],0)</f>
        <v>212</v>
      </c>
      <c r="Y48" s="97">
        <f ca="1">TblRezone[[#This Row],[Total acres]]*TblRezone[[#This Row],[Plat/acre]]</f>
        <v>0</v>
      </c>
      <c r="Z48" s="226"/>
      <c r="AA48" s="97">
        <f ca="1">250+0.6*(TblRezone[[#This Row],[Land]]-250)</f>
        <v>424</v>
      </c>
      <c r="AB48" s="226"/>
      <c r="AC48" s="160">
        <f ca="1">TblConstr[[#This Row],[Facs DB]]</f>
        <v>0.10185185185185185</v>
      </c>
    </row>
    <row r="49" spans="1:29" x14ac:dyDescent="0.2">
      <c r="A49" s="225">
        <f ca="1">TblConstr[[#This Row],[Land]]</f>
        <v>551</v>
      </c>
      <c r="B49" s="227">
        <f ca="1">TblConstr[[#This Row],[Plain]]</f>
        <v>0</v>
      </c>
      <c r="C49" s="185">
        <f ca="1">TblConstr[[#This Row],[Forest]]</f>
        <v>0</v>
      </c>
      <c r="D49" s="385">
        <f ca="1">TblConstr[[#This Row],[Mountain]]</f>
        <v>0</v>
      </c>
      <c r="E49" s="389">
        <f ca="1">TblConstr[[#This Row],[Hill]]</f>
        <v>0</v>
      </c>
      <c r="F49" s="393">
        <f ca="1">TblConstr[[#This Row],[Swamp]]</f>
        <v>0</v>
      </c>
      <c r="G49" s="188">
        <f ca="1">TblConstr[[#This Row],[Cavern]]</f>
        <v>0</v>
      </c>
      <c r="H49" s="189">
        <f ca="1">TblConstr[[#This Row],[Water]]</f>
        <v>0</v>
      </c>
      <c r="I49" s="226"/>
      <c r="J49" s="178">
        <f t="shared" si="1"/>
        <v>46</v>
      </c>
      <c r="K49" s="250">
        <f ca="1">TblImps[[#This Row],[Real time]]</f>
        <v>45431.624999999891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175641</v>
      </c>
      <c r="W49" s="226"/>
      <c r="X49" s="97">
        <f ca="1">ROUNDUP( (1-MIN(ROUND(facs_rezone_factor*TblRezone[[#This Row],[Facs]],4),facs_rezone_max) + tech_6_4*TblTech[[#This Row],[6-4]] + tech_10_2*TblTech[[#This Row],[10-2]] - IF(TblMagic[[#This Row],[Active Mechanical Genius]]&gt;0,mech_genius_bonus,0) + race_rezone_cost) * TblRezone[[#This Row],[Plat/acre*]],0)</f>
        <v>216</v>
      </c>
      <c r="Y49" s="97">
        <f ca="1">TblRezone[[#This Row],[Total acres]]*TblRezone[[#This Row],[Plat/acre]]</f>
        <v>0</v>
      </c>
      <c r="Z49" s="226"/>
      <c r="AA49" s="97">
        <f ca="1">250+0.6*(TblRezone[[#This Row],[Land]]-250)</f>
        <v>430.6</v>
      </c>
      <c r="AB49" s="226"/>
      <c r="AC49" s="160">
        <f ca="1">TblConstr[[#This Row],[Facs DB]]</f>
        <v>0.10163339382940109</v>
      </c>
    </row>
    <row r="50" spans="1:29" x14ac:dyDescent="0.2">
      <c r="A50" s="225">
        <f ca="1">TblConstr[[#This Row],[Land]]</f>
        <v>563</v>
      </c>
      <c r="B50" s="227">
        <f ca="1">TblConstr[[#This Row],[Plain]]</f>
        <v>0</v>
      </c>
      <c r="C50" s="185">
        <f ca="1">TblConstr[[#This Row],[Forest]]</f>
        <v>0</v>
      </c>
      <c r="D50" s="385">
        <f ca="1">TblConstr[[#This Row],[Mountain]]</f>
        <v>0</v>
      </c>
      <c r="E50" s="389">
        <f ca="1">TblConstr[[#This Row],[Hill]]</f>
        <v>0</v>
      </c>
      <c r="F50" s="393">
        <f ca="1">TblConstr[[#This Row],[Swamp]]</f>
        <v>0</v>
      </c>
      <c r="G50" s="188">
        <f ca="1">TblConstr[[#This Row],[Cavern]]</f>
        <v>0</v>
      </c>
      <c r="H50" s="189">
        <f ca="1">TblConstr[[#This Row],[Water]]</f>
        <v>0</v>
      </c>
      <c r="I50" s="226"/>
      <c r="J50" s="178">
        <f t="shared" si="1"/>
        <v>47</v>
      </c>
      <c r="K50" s="250">
        <f ca="1">TblImps[[#This Row],[Real time]]</f>
        <v>45431.666666666555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209248</v>
      </c>
      <c r="W50" s="226"/>
      <c r="X50" s="97">
        <f ca="1">ROUNDUP( (1-MIN(ROUND(facs_rezone_factor*TblRezone[[#This Row],[Facs]],4),facs_rezone_max) + tech_6_4*TblTech[[#This Row],[6-4]] + tech_10_2*TblTech[[#This Row],[10-2]] - IF(TblMagic[[#This Row],[Active Mechanical Genius]]&gt;0,mech_genius_bonus,0) + race_rezone_cost) * TblRezone[[#This Row],[Plat/acre*]],0)</f>
        <v>219</v>
      </c>
      <c r="Y50" s="97">
        <f ca="1">TblRezone[[#This Row],[Total acres]]*TblRezone[[#This Row],[Plat/acre]]</f>
        <v>0</v>
      </c>
      <c r="Z50" s="226"/>
      <c r="AA50" s="97">
        <f ca="1">250+0.6*(TblRezone[[#This Row],[Land]]-250)</f>
        <v>437.79999999999995</v>
      </c>
      <c r="AB50" s="226"/>
      <c r="AC50" s="160">
        <f ca="1">TblConstr[[#This Row],[Facs DB]]</f>
        <v>0.10124333925399645</v>
      </c>
    </row>
    <row r="51" spans="1:29" x14ac:dyDescent="0.2">
      <c r="A51" s="225">
        <f ca="1">TblConstr[[#This Row],[Land]]</f>
        <v>596</v>
      </c>
      <c r="B51" s="227">
        <f ca="1">TblConstr[[#This Row],[Plain]]</f>
        <v>0</v>
      </c>
      <c r="C51" s="185">
        <f ca="1">TblConstr[[#This Row],[Forest]]</f>
        <v>0</v>
      </c>
      <c r="D51" s="385">
        <f ca="1">TblConstr[[#This Row],[Mountain]]</f>
        <v>0</v>
      </c>
      <c r="E51" s="389">
        <f ca="1">TblConstr[[#This Row],[Hill]]</f>
        <v>0</v>
      </c>
      <c r="F51" s="393">
        <f ca="1">TblConstr[[#This Row],[Swamp]]</f>
        <v>0</v>
      </c>
      <c r="G51" s="188">
        <f ca="1">TblConstr[[#This Row],[Cavern]]</f>
        <v>0</v>
      </c>
      <c r="H51" s="189">
        <f ca="1">TblConstr[[#This Row],[Water]]</f>
        <v>0</v>
      </c>
      <c r="I51" s="226"/>
      <c r="J51" s="178">
        <f t="shared" si="1"/>
        <v>48</v>
      </c>
      <c r="K51" s="250">
        <f ca="1">TblImps[[#This Row],[Real time]]</f>
        <v>45431.708333333219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267289</v>
      </c>
      <c r="W51" s="226"/>
      <c r="X51" s="97">
        <f ca="1">ROUNDUP( (1-MIN(ROUND(facs_rezone_factor*TblRezone[[#This Row],[Facs]],4),facs_rezone_max) + tech_6_4*TblTech[[#This Row],[6-4]] + tech_10_2*TblTech[[#This Row],[10-2]] - IF(TblMagic[[#This Row],[Active Mechanical Genius]]&gt;0,mech_genius_bonus,0) + race_rezone_cost) * TblRezone[[#This Row],[Plat/acre*]],0)</f>
        <v>229</v>
      </c>
      <c r="Y51" s="97">
        <f ca="1">TblRezone[[#This Row],[Total acres]]*TblRezone[[#This Row],[Plat/acre]]</f>
        <v>0</v>
      </c>
      <c r="Z51" s="226"/>
      <c r="AA51" s="97">
        <f ca="1">250+0.6*(TblRezone[[#This Row],[Land]]-250)</f>
        <v>457.6</v>
      </c>
      <c r="AB51" s="226"/>
      <c r="AC51" s="160">
        <f ca="1">TblConstr[[#This Row],[Facs DB]]</f>
        <v>0.11241610738255034</v>
      </c>
    </row>
    <row r="52" spans="1:29" x14ac:dyDescent="0.2">
      <c r="A52" s="225">
        <f ca="1">TblConstr[[#This Row],[Land]]</f>
        <v>629</v>
      </c>
      <c r="B52" s="227">
        <f ca="1">TblConstr[[#This Row],[Plain]]</f>
        <v>0</v>
      </c>
      <c r="C52" s="185">
        <f ca="1">TblConstr[[#This Row],[Forest]]</f>
        <v>0</v>
      </c>
      <c r="D52" s="385">
        <f ca="1">TblConstr[[#This Row],[Mountain]]</f>
        <v>0</v>
      </c>
      <c r="E52" s="389">
        <f ca="1">TblConstr[[#This Row],[Hill]]</f>
        <v>0</v>
      </c>
      <c r="F52" s="393">
        <f ca="1">TblConstr[[#This Row],[Swamp]]</f>
        <v>0</v>
      </c>
      <c r="G52" s="188">
        <f ca="1">TblConstr[[#This Row],[Cavern]]</f>
        <v>0</v>
      </c>
      <c r="H52" s="189">
        <f ca="1">TblConstr[[#This Row],[Water]]</f>
        <v>0</v>
      </c>
      <c r="I52" s="226"/>
      <c r="J52" s="178">
        <f t="shared" si="1"/>
        <v>49</v>
      </c>
      <c r="K52" s="250">
        <f ca="1">TblImps[[#This Row],[Real time]]</f>
        <v>45431.749999999884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290264</v>
      </c>
      <c r="W52" s="226"/>
      <c r="X52" s="97">
        <f ca="1">ROUNDUP( (1-MIN(ROUND(facs_rezone_factor*TblRezone[[#This Row],[Facs]],4),facs_rezone_max) + tech_6_4*TblTech[[#This Row],[6-4]] + tech_10_2*TblTech[[#This Row],[10-2]] - IF(TblMagic[[#This Row],[Active Mechanical Genius]]&gt;0,mech_genius_bonus,0) + race_rezone_cost) * TblRezone[[#This Row],[Plat/acre*]],0)</f>
        <v>239</v>
      </c>
      <c r="Y52" s="97">
        <f ca="1">TblRezone[[#This Row],[Total acres]]*TblRezone[[#This Row],[Plat/acre]]</f>
        <v>0</v>
      </c>
      <c r="Z52" s="226"/>
      <c r="AA52" s="97">
        <f ca="1">250+0.6*(TblRezone[[#This Row],[Land]]-250)</f>
        <v>477.4</v>
      </c>
      <c r="AB52" s="226"/>
      <c r="AC52" s="160">
        <f ca="1">TblConstr[[#This Row],[Facs DB]]</f>
        <v>0.10651828298887123</v>
      </c>
    </row>
    <row r="53" spans="1:29" x14ac:dyDescent="0.2">
      <c r="A53" s="225">
        <f ca="1">TblConstr[[#This Row],[Land]]</f>
        <v>642</v>
      </c>
      <c r="B53" s="227">
        <f ca="1">TblConstr[[#This Row],[Plain]]</f>
        <v>0</v>
      </c>
      <c r="C53" s="185">
        <f ca="1">TblConstr[[#This Row],[Forest]]</f>
        <v>0</v>
      </c>
      <c r="D53" s="385">
        <f ca="1">TblConstr[[#This Row],[Mountain]]</f>
        <v>0</v>
      </c>
      <c r="E53" s="389">
        <f ca="1">TblConstr[[#This Row],[Hill]]</f>
        <v>0</v>
      </c>
      <c r="F53" s="393">
        <f ca="1">TblConstr[[#This Row],[Swamp]]</f>
        <v>0</v>
      </c>
      <c r="G53" s="188">
        <f ca="1">TblConstr[[#This Row],[Cavern]]</f>
        <v>0</v>
      </c>
      <c r="H53" s="189">
        <f ca="1">TblConstr[[#This Row],[Water]]</f>
        <v>0</v>
      </c>
      <c r="I53" s="226"/>
      <c r="J53" s="178">
        <f t="shared" si="1"/>
        <v>50</v>
      </c>
      <c r="K53" s="250">
        <f ca="1">TblImps[[#This Row],[Real time]]</f>
        <v>45431.791666666548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323598</v>
      </c>
      <c r="W53" s="226"/>
      <c r="X53" s="97">
        <f ca="1">ROUNDUP( (1-MIN(ROUND(facs_rezone_factor*TblRezone[[#This Row],[Facs]],4),facs_rezone_max) + tech_6_4*TblTech[[#This Row],[6-4]] + tech_10_2*TblTech[[#This Row],[10-2]] - IF(TblMagic[[#This Row],[Active Mechanical Genius]]&gt;0,mech_genius_bonus,0) + race_rezone_cost) * TblRezone[[#This Row],[Plat/acre*]],0)</f>
        <v>243</v>
      </c>
      <c r="Y53" s="97">
        <f ca="1">TblRezone[[#This Row],[Total acres]]*TblRezone[[#This Row],[Plat/acre]]</f>
        <v>0</v>
      </c>
      <c r="Z53" s="226"/>
      <c r="AA53" s="97">
        <f ca="1">250+0.6*(TblRezone[[#This Row],[Land]]-250)</f>
        <v>485.2</v>
      </c>
      <c r="AB53" s="226"/>
      <c r="AC53" s="160">
        <f ca="1">TblConstr[[#This Row],[Facs DB]]</f>
        <v>0.1043613707165109</v>
      </c>
    </row>
    <row r="54" spans="1:29" x14ac:dyDescent="0.2">
      <c r="A54" s="225">
        <f ca="1">TblConstr[[#This Row],[Land]]</f>
        <v>656</v>
      </c>
      <c r="B54" s="227">
        <f ca="1">TblConstr[[#This Row],[Plain]]</f>
        <v>0</v>
      </c>
      <c r="C54" s="185">
        <f ca="1">TblConstr[[#This Row],[Forest]]</f>
        <v>0</v>
      </c>
      <c r="D54" s="385">
        <f ca="1">TblConstr[[#This Row],[Mountain]]</f>
        <v>0</v>
      </c>
      <c r="E54" s="389">
        <f ca="1">TblConstr[[#This Row],[Hill]]</f>
        <v>0</v>
      </c>
      <c r="F54" s="393">
        <f ca="1">TblConstr[[#This Row],[Swamp]]</f>
        <v>0</v>
      </c>
      <c r="G54" s="188">
        <f ca="1">TblConstr[[#This Row],[Cavern]]</f>
        <v>0</v>
      </c>
      <c r="H54" s="189">
        <f ca="1">TblConstr[[#This Row],[Water]]</f>
        <v>0</v>
      </c>
      <c r="I54" s="226"/>
      <c r="J54" s="178">
        <f t="shared" si="1"/>
        <v>51</v>
      </c>
      <c r="K54" s="250">
        <f ca="1">TblImps[[#This Row],[Real time]]</f>
        <v>45431.833333333212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356298</v>
      </c>
      <c r="W54" s="226"/>
      <c r="X54" s="97">
        <f ca="1">ROUNDUP( (1-MIN(ROUND(facs_rezone_factor*TblRezone[[#This Row],[Facs]],4),facs_rezone_max) + tech_6_4*TblTech[[#This Row],[6-4]] + tech_10_2*TblTech[[#This Row],[10-2]] - IF(TblMagic[[#This Row],[Active Mechanical Genius]]&gt;0,mech_genius_bonus,0) + race_rezone_cost) * TblRezone[[#This Row],[Plat/acre*]],0)</f>
        <v>247</v>
      </c>
      <c r="Y54" s="97">
        <f ca="1">TblRezone[[#This Row],[Total acres]]*TblRezone[[#This Row],[Plat/acre]]</f>
        <v>0</v>
      </c>
      <c r="Z54" s="226"/>
      <c r="AA54" s="97">
        <f ca="1">250+0.6*(TblRezone[[#This Row],[Land]]-250)</f>
        <v>493.6</v>
      </c>
      <c r="AB54" s="226"/>
      <c r="AC54" s="160">
        <f ca="1">TblConstr[[#This Row],[Facs DB]]</f>
        <v>0.10213414634146341</v>
      </c>
    </row>
    <row r="55" spans="1:29" x14ac:dyDescent="0.2">
      <c r="A55" s="225">
        <f ca="1">TblConstr[[#This Row],[Land]]</f>
        <v>669</v>
      </c>
      <c r="B55" s="227">
        <f ca="1">TblConstr[[#This Row],[Plain]]</f>
        <v>0</v>
      </c>
      <c r="C55" s="185">
        <f ca="1">TblConstr[[#This Row],[Forest]]</f>
        <v>0</v>
      </c>
      <c r="D55" s="385">
        <f ca="1">TblConstr[[#This Row],[Mountain]]</f>
        <v>0</v>
      </c>
      <c r="E55" s="389">
        <f ca="1">TblConstr[[#This Row],[Hill]]</f>
        <v>0</v>
      </c>
      <c r="F55" s="393">
        <f ca="1">TblConstr[[#This Row],[Swamp]]</f>
        <v>0</v>
      </c>
      <c r="G55" s="188">
        <f ca="1">TblConstr[[#This Row],[Cavern]]</f>
        <v>0</v>
      </c>
      <c r="H55" s="189">
        <f ca="1">TblConstr[[#This Row],[Water]]</f>
        <v>0</v>
      </c>
      <c r="I55" s="226"/>
      <c r="J55" s="178">
        <f t="shared" si="1"/>
        <v>52</v>
      </c>
      <c r="K55" s="250">
        <f ca="1">TblImps[[#This Row],[Real time]]</f>
        <v>45431.874999999876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389463</v>
      </c>
      <c r="W55" s="226"/>
      <c r="X55" s="97">
        <f ca="1">ROUNDUP( (1-MIN(ROUND(facs_rezone_factor*TblRezone[[#This Row],[Facs]],4),facs_rezone_max) + tech_6_4*TblTech[[#This Row],[6-4]] + tech_10_2*TblTech[[#This Row],[10-2]] - IF(TblMagic[[#This Row],[Active Mechanical Genius]]&gt;0,mech_genius_bonus,0) + race_rezone_cost) * TblRezone[[#This Row],[Plat/acre*]],0)</f>
        <v>251</v>
      </c>
      <c r="Y55" s="97">
        <f ca="1">TblRezone[[#This Row],[Total acres]]*TblRezone[[#This Row],[Plat/acre]]</f>
        <v>0</v>
      </c>
      <c r="Z55" s="226"/>
      <c r="AA55" s="97">
        <f ca="1">250+0.6*(TblRezone[[#This Row],[Land]]-250)</f>
        <v>501.4</v>
      </c>
      <c r="AB55" s="226"/>
      <c r="AC55" s="160">
        <f ca="1">TblConstr[[#This Row],[Facs DB]]</f>
        <v>0.10014947683109118</v>
      </c>
    </row>
    <row r="56" spans="1:29" x14ac:dyDescent="0.2">
      <c r="A56" s="225">
        <f ca="1">TblConstr[[#This Row],[Land]]</f>
        <v>680</v>
      </c>
      <c r="B56" s="227">
        <f ca="1">TblConstr[[#This Row],[Plain]]</f>
        <v>0</v>
      </c>
      <c r="C56" s="185">
        <f ca="1">TblConstr[[#This Row],[Forest]]</f>
        <v>0</v>
      </c>
      <c r="D56" s="385">
        <f ca="1">TblConstr[[#This Row],[Mountain]]</f>
        <v>0</v>
      </c>
      <c r="E56" s="389">
        <f ca="1">TblConstr[[#This Row],[Hill]]</f>
        <v>0</v>
      </c>
      <c r="F56" s="393">
        <f ca="1">TblConstr[[#This Row],[Swamp]]</f>
        <v>0</v>
      </c>
      <c r="G56" s="188">
        <f ca="1">TblConstr[[#This Row],[Cavern]]</f>
        <v>0</v>
      </c>
      <c r="H56" s="189">
        <f ca="1">TblConstr[[#This Row],[Water]]</f>
        <v>0</v>
      </c>
      <c r="I56" s="226"/>
      <c r="J56" s="178">
        <f t="shared" si="1"/>
        <v>53</v>
      </c>
      <c r="K56" s="250">
        <f ca="1">TblImps[[#This Row],[Real time]]</f>
        <v>45431.916666666541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429145</v>
      </c>
      <c r="W56" s="226"/>
      <c r="X56" s="97">
        <f ca="1">ROUNDUP( (1-MIN(ROUND(facs_rezone_factor*TblRezone[[#This Row],[Facs]],4),facs_rezone_max) + tech_6_4*TblTech[[#This Row],[6-4]] + tech_10_2*TblTech[[#This Row],[10-2]] - IF(TblMagic[[#This Row],[Active Mechanical Genius]]&gt;0,mech_genius_bonus,0) + race_rezone_cost) * TblRezone[[#This Row],[Plat/acre*]],0)</f>
        <v>258</v>
      </c>
      <c r="Y56" s="97">
        <f ca="1">TblRezone[[#This Row],[Total acres]]*TblRezone[[#This Row],[Plat/acre]]</f>
        <v>0</v>
      </c>
      <c r="Z56" s="226"/>
      <c r="AA56" s="97">
        <f ca="1">250+0.6*(TblRezone[[#This Row],[Land]]-250)</f>
        <v>508</v>
      </c>
      <c r="AB56" s="226"/>
      <c r="AC56" s="160">
        <f ca="1">TblConstr[[#This Row],[Facs DB]]</f>
        <v>9.8529411764705879E-2</v>
      </c>
    </row>
    <row r="57" spans="1:29" x14ac:dyDescent="0.2">
      <c r="A57" s="225">
        <f ca="1">TblConstr[[#This Row],[Land]]</f>
        <v>692</v>
      </c>
      <c r="B57" s="227">
        <f ca="1">TblConstr[[#This Row],[Plain]]</f>
        <v>0</v>
      </c>
      <c r="C57" s="185">
        <f ca="1">TblConstr[[#This Row],[Forest]]</f>
        <v>0</v>
      </c>
      <c r="D57" s="385">
        <f ca="1">TblConstr[[#This Row],[Mountain]]</f>
        <v>0</v>
      </c>
      <c r="E57" s="389">
        <f ca="1">TblConstr[[#This Row],[Hill]]</f>
        <v>0</v>
      </c>
      <c r="F57" s="393">
        <f ca="1">TblConstr[[#This Row],[Swamp]]</f>
        <v>0</v>
      </c>
      <c r="G57" s="188">
        <f ca="1">TblConstr[[#This Row],[Cavern]]</f>
        <v>0</v>
      </c>
      <c r="H57" s="189">
        <f ca="1">TblConstr[[#This Row],[Water]]</f>
        <v>0</v>
      </c>
      <c r="I57" s="226"/>
      <c r="J57" s="178">
        <f t="shared" si="1"/>
        <v>54</v>
      </c>
      <c r="K57" s="250">
        <f ca="1">TblImps[[#This Row],[Real time]]</f>
        <v>45431.958333333205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468410</v>
      </c>
      <c r="W57" s="226"/>
      <c r="X57" s="97">
        <f ca="1">ROUNDUP( (1-MIN(ROUND(facs_rezone_factor*TblRezone[[#This Row],[Facs]],4),facs_rezone_max) + tech_6_4*TblTech[[#This Row],[6-4]] + tech_10_2*TblTech[[#This Row],[10-2]] - IF(TblMagic[[#This Row],[Active Mechanical Genius]]&gt;0,mech_genius_bonus,0) + race_rezone_cost) * TblRezone[[#This Row],[Plat/acre*]],0)</f>
        <v>266</v>
      </c>
      <c r="Y57" s="97">
        <f ca="1">TblRezone[[#This Row],[Total acres]]*TblRezone[[#This Row],[Plat/acre]]</f>
        <v>0</v>
      </c>
      <c r="Z57" s="226"/>
      <c r="AA57" s="97">
        <f ca="1">250+0.6*(TblRezone[[#This Row],[Land]]-250)</f>
        <v>515.20000000000005</v>
      </c>
      <c r="AB57" s="226"/>
      <c r="AC57" s="160">
        <f ca="1">TblConstr[[#This Row],[Facs DB]]</f>
        <v>9.6820809248554907E-2</v>
      </c>
    </row>
    <row r="58" spans="1:29" x14ac:dyDescent="0.2">
      <c r="A58" s="225">
        <f ca="1">TblConstr[[#This Row],[Land]]</f>
        <v>700</v>
      </c>
      <c r="B58" s="227">
        <f ca="1">TblConstr[[#This Row],[Plain]]</f>
        <v>0</v>
      </c>
      <c r="C58" s="185">
        <f ca="1">TblConstr[[#This Row],[Forest]]</f>
        <v>0</v>
      </c>
      <c r="D58" s="385">
        <f ca="1">TblConstr[[#This Row],[Mountain]]</f>
        <v>0</v>
      </c>
      <c r="E58" s="389">
        <f ca="1">TblConstr[[#This Row],[Hill]]</f>
        <v>0</v>
      </c>
      <c r="F58" s="393">
        <f ca="1">TblConstr[[#This Row],[Swamp]]</f>
        <v>0</v>
      </c>
      <c r="G58" s="188">
        <f ca="1">TblConstr[[#This Row],[Cavern]]</f>
        <v>0</v>
      </c>
      <c r="H58" s="189">
        <f ca="1">TblConstr[[#This Row],[Water]]</f>
        <v>0</v>
      </c>
      <c r="I58" s="226"/>
      <c r="J58" s="178">
        <f t="shared" si="1"/>
        <v>55</v>
      </c>
      <c r="K58" s="250">
        <f ca="1">TblImps[[#This Row],[Real time]]</f>
        <v>45431.999999999869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510224</v>
      </c>
      <c r="W58" s="226"/>
      <c r="X58" s="97">
        <f ca="1">ROUNDUP( (1-MIN(ROUND(facs_rezone_factor*TblRezone[[#This Row],[Facs]],4),facs_rezone_max) + tech_6_4*TblTech[[#This Row],[6-4]] + tech_10_2*TblTech[[#This Row],[10-2]] - IF(TblMagic[[#This Row],[Active Mechanical Genius]]&gt;0,mech_genius_bonus,0) + race_rezone_cost) * TblRezone[[#This Row],[Plat/acre*]],0)</f>
        <v>272</v>
      </c>
      <c r="Y58" s="97">
        <f ca="1">TblRezone[[#This Row],[Total acres]]*TblRezone[[#This Row],[Plat/acre]]</f>
        <v>0</v>
      </c>
      <c r="Z58" s="226"/>
      <c r="AA58" s="97">
        <f ca="1">250+0.6*(TblRezone[[#This Row],[Land]]-250)</f>
        <v>520</v>
      </c>
      <c r="AB58" s="226"/>
      <c r="AC58" s="160">
        <f ca="1">TblConstr[[#This Row],[Facs DB]]</f>
        <v>9.571428571428571E-2</v>
      </c>
    </row>
    <row r="59" spans="1:29" x14ac:dyDescent="0.2">
      <c r="A59" s="225">
        <f ca="1">TblConstr[[#This Row],[Land]]</f>
        <v>700</v>
      </c>
      <c r="B59" s="227">
        <f ca="1">TblConstr[[#This Row],[Plain]]</f>
        <v>0</v>
      </c>
      <c r="C59" s="185">
        <f ca="1">TblConstr[[#This Row],[Forest]]</f>
        <v>0</v>
      </c>
      <c r="D59" s="385">
        <f ca="1">TblConstr[[#This Row],[Mountain]]</f>
        <v>0</v>
      </c>
      <c r="E59" s="389">
        <f ca="1">TblConstr[[#This Row],[Hill]]</f>
        <v>0</v>
      </c>
      <c r="F59" s="393">
        <f ca="1">TblConstr[[#This Row],[Swamp]]</f>
        <v>0</v>
      </c>
      <c r="G59" s="188">
        <f ca="1">TblConstr[[#This Row],[Cavern]]</f>
        <v>0</v>
      </c>
      <c r="H59" s="189">
        <f ca="1">TblConstr[[#This Row],[Water]]</f>
        <v>0</v>
      </c>
      <c r="I59" s="226"/>
      <c r="J59" s="178">
        <f t="shared" si="1"/>
        <v>56</v>
      </c>
      <c r="K59" s="250">
        <f ca="1">TblImps[[#This Row],[Real time]]</f>
        <v>45432.041666666533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556484</v>
      </c>
      <c r="W59" s="226"/>
      <c r="X59" s="97">
        <f ca="1">ROUNDUP( (1-MIN(ROUND(facs_rezone_factor*TblRezone[[#This Row],[Facs]],4),facs_rezone_max) + tech_6_4*TblTech[[#This Row],[6-4]] + tech_10_2*TblTech[[#This Row],[10-2]] - IF(TblMagic[[#This Row],[Active Mechanical Genius]]&gt;0,mech_genius_bonus,0) + race_rezone_cost) * TblRezone[[#This Row],[Plat/acre*]],0)</f>
        <v>272</v>
      </c>
      <c r="Y59" s="97">
        <f ca="1">TblRezone[[#This Row],[Total acres]]*TblRezone[[#This Row],[Plat/acre]]</f>
        <v>0</v>
      </c>
      <c r="Z59" s="226"/>
      <c r="AA59" s="97">
        <f ca="1">250+0.6*(TblRezone[[#This Row],[Land]]-250)</f>
        <v>520</v>
      </c>
      <c r="AB59" s="226"/>
      <c r="AC59" s="160">
        <f ca="1">TblConstr[[#This Row],[Facs DB]]</f>
        <v>9.571428571428571E-2</v>
      </c>
    </row>
    <row r="60" spans="1:29" x14ac:dyDescent="0.2">
      <c r="A60" s="225">
        <f ca="1">TblConstr[[#This Row],[Land]]</f>
        <v>700</v>
      </c>
      <c r="B60" s="227">
        <f ca="1">TblConstr[[#This Row],[Plain]]</f>
        <v>0</v>
      </c>
      <c r="C60" s="185">
        <f ca="1">TblConstr[[#This Row],[Forest]]</f>
        <v>0</v>
      </c>
      <c r="D60" s="385">
        <f ca="1">TblConstr[[#This Row],[Mountain]]</f>
        <v>0</v>
      </c>
      <c r="E60" s="389">
        <f ca="1">TblConstr[[#This Row],[Hill]]</f>
        <v>0</v>
      </c>
      <c r="F60" s="393">
        <f ca="1">TblConstr[[#This Row],[Swamp]]</f>
        <v>0</v>
      </c>
      <c r="G60" s="188">
        <f ca="1">TblConstr[[#This Row],[Cavern]]</f>
        <v>0</v>
      </c>
      <c r="H60" s="189">
        <f ca="1">TblConstr[[#This Row],[Water]]</f>
        <v>0</v>
      </c>
      <c r="I60" s="226"/>
      <c r="J60" s="178">
        <f t="shared" si="1"/>
        <v>57</v>
      </c>
      <c r="K60" s="250">
        <f ca="1">TblImps[[#This Row],[Real time]]</f>
        <v>45432.083333333198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602753</v>
      </c>
      <c r="W60" s="226"/>
      <c r="X60" s="97">
        <f ca="1">ROUNDUP( (1-MIN(ROUND(facs_rezone_factor*TblRezone[[#This Row],[Facs]],4),facs_rezone_max) + tech_6_4*TblTech[[#This Row],[6-4]] + tech_10_2*TblTech[[#This Row],[10-2]] - IF(TblMagic[[#This Row],[Active Mechanical Genius]]&gt;0,mech_genius_bonus,0) + race_rezone_cost) * TblRezone[[#This Row],[Plat/acre*]],0)</f>
        <v>275</v>
      </c>
      <c r="Y60" s="97">
        <f ca="1">TblRezone[[#This Row],[Total acres]]*TblRezone[[#This Row],[Plat/acre]]</f>
        <v>0</v>
      </c>
      <c r="Z60" s="226"/>
      <c r="AA60" s="97">
        <f ca="1">250+0.6*(TblRezone[[#This Row],[Land]]-250)</f>
        <v>520</v>
      </c>
      <c r="AB60" s="226"/>
      <c r="AC60" s="160">
        <f ca="1">TblConstr[[#This Row],[Facs DB]]</f>
        <v>9.4285714285714292E-2</v>
      </c>
    </row>
    <row r="61" spans="1:29" x14ac:dyDescent="0.2">
      <c r="A61" s="225">
        <f ca="1">TblConstr[[#This Row],[Land]]</f>
        <v>700</v>
      </c>
      <c r="B61" s="227">
        <f ca="1">TblConstr[[#This Row],[Plain]]</f>
        <v>0</v>
      </c>
      <c r="C61" s="185">
        <f ca="1">TblConstr[[#This Row],[Forest]]</f>
        <v>0</v>
      </c>
      <c r="D61" s="385">
        <f ca="1">TblConstr[[#This Row],[Mountain]]</f>
        <v>0</v>
      </c>
      <c r="E61" s="389">
        <f ca="1">TblConstr[[#This Row],[Hill]]</f>
        <v>0</v>
      </c>
      <c r="F61" s="393">
        <f ca="1">TblConstr[[#This Row],[Swamp]]</f>
        <v>0</v>
      </c>
      <c r="G61" s="188">
        <f ca="1">TblConstr[[#This Row],[Cavern]]</f>
        <v>0</v>
      </c>
      <c r="H61" s="189">
        <f ca="1">TblConstr[[#This Row],[Water]]</f>
        <v>0</v>
      </c>
      <c r="I61" s="226"/>
      <c r="J61" s="178">
        <f t="shared" si="1"/>
        <v>58</v>
      </c>
      <c r="K61" s="250">
        <f ca="1">TblImps[[#This Row],[Real time]]</f>
        <v>45432.124999999862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648776</v>
      </c>
      <c r="W61" s="226"/>
      <c r="X61" s="97">
        <f ca="1">ROUNDUP( (1-MIN(ROUND(facs_rezone_factor*TblRezone[[#This Row],[Facs]],4),facs_rezone_max) + tech_6_4*TblTech[[#This Row],[6-4]] + tech_10_2*TblTech[[#This Row],[10-2]] - IF(TblMagic[[#This Row],[Active Mechanical Genius]]&gt;0,mech_genius_bonus,0) + race_rezone_cost) * TblRezone[[#This Row],[Plat/acre*]],0)</f>
        <v>279</v>
      </c>
      <c r="Y61" s="97">
        <f ca="1">TblRezone[[#This Row],[Total acres]]*TblRezone[[#This Row],[Plat/acre]]</f>
        <v>0</v>
      </c>
      <c r="Z61" s="226"/>
      <c r="AA61" s="97">
        <f ca="1">250+0.6*(TblRezone[[#This Row],[Land]]-250)</f>
        <v>520</v>
      </c>
      <c r="AB61" s="226"/>
      <c r="AC61" s="160">
        <f ca="1">TblConstr[[#This Row],[Facs DB]]</f>
        <v>9.285714285714286E-2</v>
      </c>
    </row>
    <row r="62" spans="1:29" x14ac:dyDescent="0.2">
      <c r="A62" s="225">
        <f ca="1">TblConstr[[#This Row],[Land]]</f>
        <v>700</v>
      </c>
      <c r="B62" s="227">
        <f ca="1">TblConstr[[#This Row],[Plain]]</f>
        <v>0</v>
      </c>
      <c r="C62" s="185">
        <f ca="1">TblConstr[[#This Row],[Forest]]</f>
        <v>0</v>
      </c>
      <c r="D62" s="385">
        <f ca="1">TblConstr[[#This Row],[Mountain]]</f>
        <v>0</v>
      </c>
      <c r="E62" s="389">
        <f ca="1">TblConstr[[#This Row],[Hill]]</f>
        <v>0</v>
      </c>
      <c r="F62" s="393">
        <f ca="1">TblConstr[[#This Row],[Swamp]]</f>
        <v>0</v>
      </c>
      <c r="G62" s="188">
        <f ca="1">TblConstr[[#This Row],[Cavern]]</f>
        <v>0</v>
      </c>
      <c r="H62" s="189">
        <f ca="1">TblConstr[[#This Row],[Water]]</f>
        <v>0</v>
      </c>
      <c r="I62" s="226"/>
      <c r="J62" s="178">
        <f t="shared" si="1"/>
        <v>59</v>
      </c>
      <c r="K62" s="250">
        <f ca="1">TblImps[[#This Row],[Real time]]</f>
        <v>45432.166666666526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694619</v>
      </c>
      <c r="W62" s="226"/>
      <c r="X62" s="97">
        <f ca="1">ROUNDUP( (1-MIN(ROUND(facs_rezone_factor*TblRezone[[#This Row],[Facs]],4),facs_rezone_max) + tech_6_4*TblTech[[#This Row],[6-4]] + tech_10_2*TblTech[[#This Row],[10-2]] - IF(TblMagic[[#This Row],[Active Mechanical Genius]]&gt;0,mech_genius_bonus,0) + race_rezone_cost) * TblRezone[[#This Row],[Plat/acre*]],0)</f>
        <v>283</v>
      </c>
      <c r="Y62" s="97">
        <f ca="1">TblRezone[[#This Row],[Total acres]]*TblRezone[[#This Row],[Plat/acre]]</f>
        <v>0</v>
      </c>
      <c r="Z62" s="226"/>
      <c r="AA62" s="97">
        <f ca="1">250+0.6*(TblRezone[[#This Row],[Land]]-250)</f>
        <v>520</v>
      </c>
      <c r="AB62" s="226"/>
      <c r="AC62" s="160">
        <f ca="1">TblConstr[[#This Row],[Facs DB]]</f>
        <v>9.1428571428571428E-2</v>
      </c>
    </row>
    <row r="63" spans="1:29" x14ac:dyDescent="0.2">
      <c r="A63" s="225">
        <f ca="1">TblConstr[[#This Row],[Land]]</f>
        <v>700</v>
      </c>
      <c r="B63" s="227">
        <f ca="1">TblConstr[[#This Row],[Plain]]</f>
        <v>0</v>
      </c>
      <c r="C63" s="185">
        <f ca="1">TblConstr[[#This Row],[Forest]]</f>
        <v>0</v>
      </c>
      <c r="D63" s="385">
        <f ca="1">TblConstr[[#This Row],[Mountain]]</f>
        <v>0</v>
      </c>
      <c r="E63" s="389">
        <f ca="1">TblConstr[[#This Row],[Hill]]</f>
        <v>0</v>
      </c>
      <c r="F63" s="393">
        <f ca="1">TblConstr[[#This Row],[Swamp]]</f>
        <v>0</v>
      </c>
      <c r="G63" s="188">
        <f ca="1">TblConstr[[#This Row],[Cavern]]</f>
        <v>0</v>
      </c>
      <c r="H63" s="189">
        <f ca="1">TblConstr[[#This Row],[Water]]</f>
        <v>0</v>
      </c>
      <c r="I63" s="226"/>
      <c r="J63" s="178">
        <f t="shared" si="1"/>
        <v>60</v>
      </c>
      <c r="K63" s="250">
        <f ca="1">TblImps[[#This Row],[Real time]]</f>
        <v>45432.20833333319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740222</v>
      </c>
      <c r="W63" s="226"/>
      <c r="X63" s="97">
        <f ca="1">ROUNDUP( (1-MIN(ROUND(facs_rezone_factor*TblRezone[[#This Row],[Facs]],4),facs_rezone_max) + tech_6_4*TblTech[[#This Row],[6-4]] + tech_10_2*TblTech[[#This Row],[10-2]] - IF(TblMagic[[#This Row],[Active Mechanical Genius]]&gt;0,mech_genius_bonus,0) + race_rezone_cost) * TblRezone[[#This Row],[Plat/acre*]],0)</f>
        <v>286</v>
      </c>
      <c r="Y63" s="97">
        <f ca="1">TblRezone[[#This Row],[Total acres]]*TblRezone[[#This Row],[Plat/acre]]</f>
        <v>0</v>
      </c>
      <c r="Z63" s="226"/>
      <c r="AA63" s="97">
        <f ca="1">250+0.6*(TblRezone[[#This Row],[Land]]-250)</f>
        <v>520</v>
      </c>
      <c r="AB63" s="226"/>
      <c r="AC63" s="160">
        <f ca="1">TblConstr[[#This Row],[Facs DB]]</f>
        <v>0.09</v>
      </c>
    </row>
    <row r="64" spans="1:29" x14ac:dyDescent="0.2">
      <c r="A64" s="225">
        <f ca="1">TblConstr[[#This Row],[Land]]</f>
        <v>700</v>
      </c>
      <c r="B64" s="227">
        <f ca="1">TblConstr[[#This Row],[Plain]]</f>
        <v>0</v>
      </c>
      <c r="C64" s="185">
        <f ca="1">TblConstr[[#This Row],[Forest]]</f>
        <v>0</v>
      </c>
      <c r="D64" s="385">
        <f ca="1">TblConstr[[#This Row],[Mountain]]</f>
        <v>0</v>
      </c>
      <c r="E64" s="389">
        <f ca="1">TblConstr[[#This Row],[Hill]]</f>
        <v>0</v>
      </c>
      <c r="F64" s="393">
        <f ca="1">TblConstr[[#This Row],[Swamp]]</f>
        <v>0</v>
      </c>
      <c r="G64" s="188">
        <f ca="1">TblConstr[[#This Row],[Cavern]]</f>
        <v>0</v>
      </c>
      <c r="H64" s="189">
        <f ca="1">TblConstr[[#This Row],[Water]]</f>
        <v>0</v>
      </c>
      <c r="I64" s="226"/>
      <c r="J64" s="178">
        <f t="shared" si="1"/>
        <v>61</v>
      </c>
      <c r="K64" s="250">
        <f ca="1">TblImps[[#This Row],[Real time]]</f>
        <v>45432.249999999854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12986</v>
      </c>
      <c r="W64" s="226"/>
      <c r="X64" s="97">
        <f ca="1">ROUNDUP( (1-MIN(ROUND(facs_rezone_factor*TblRezone[[#This Row],[Facs]],4),facs_rezone_max) + tech_6_4*TblTech[[#This Row],[6-4]] + tech_10_2*TblTech[[#This Row],[10-2]] - IF(TblMagic[[#This Row],[Active Mechanical Genius]]&gt;0,mech_genius_bonus,0) + race_rezone_cost) * TblRezone[[#This Row],[Plat/acre*]],0)</f>
        <v>290</v>
      </c>
      <c r="Y64" s="97">
        <f ca="1">TblRezone[[#This Row],[Total acres]]*TblRezone[[#This Row],[Plat/acre]]</f>
        <v>0</v>
      </c>
      <c r="Z64" s="226"/>
      <c r="AA64" s="97">
        <f ca="1">250+0.6*(TblRezone[[#This Row],[Land]]-250)</f>
        <v>520</v>
      </c>
      <c r="AB64" s="226"/>
      <c r="AC64" s="160">
        <f ca="1">TblConstr[[#This Row],[Facs DB]]</f>
        <v>8.8571428571428565E-2</v>
      </c>
    </row>
    <row r="65" spans="1:29" x14ac:dyDescent="0.2">
      <c r="A65" s="225">
        <f ca="1">TblConstr[[#This Row],[Land]]</f>
        <v>700</v>
      </c>
      <c r="B65" s="227">
        <f ca="1">TblConstr[[#This Row],[Plain]]</f>
        <v>0</v>
      </c>
      <c r="C65" s="185">
        <f ca="1">TblConstr[[#This Row],[Forest]]</f>
        <v>0</v>
      </c>
      <c r="D65" s="385">
        <f ca="1">TblConstr[[#This Row],[Mountain]]</f>
        <v>0</v>
      </c>
      <c r="E65" s="389">
        <f ca="1">TblConstr[[#This Row],[Hill]]</f>
        <v>0</v>
      </c>
      <c r="F65" s="393">
        <f ca="1">TblConstr[[#This Row],[Swamp]]</f>
        <v>0</v>
      </c>
      <c r="G65" s="188">
        <f ca="1">TblConstr[[#This Row],[Cavern]]</f>
        <v>0</v>
      </c>
      <c r="H65" s="189">
        <f ca="1">TblConstr[[#This Row],[Water]]</f>
        <v>0</v>
      </c>
      <c r="I65" s="226"/>
      <c r="J65" s="178">
        <f t="shared" si="1"/>
        <v>62</v>
      </c>
      <c r="K65" s="250">
        <f ca="1">TblImps[[#This Row],[Real time]]</f>
        <v>45432.291666666519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55184</v>
      </c>
      <c r="W65" s="226"/>
      <c r="X65" s="97">
        <f ca="1">ROUNDUP( (1-MIN(ROUND(facs_rezone_factor*TblRezone[[#This Row],[Facs]],4),facs_rezone_max) + tech_6_4*TblTech[[#This Row],[6-4]] + tech_10_2*TblTech[[#This Row],[10-2]] - IF(TblMagic[[#This Row],[Active Mechanical Genius]]&gt;0,mech_genius_bonus,0) + race_rezone_cost) * TblRezone[[#This Row],[Plat/acre*]],0)</f>
        <v>476</v>
      </c>
      <c r="Y65" s="97">
        <f ca="1">TblRezone[[#This Row],[Total acres]]*TblRezone[[#This Row],[Plat/acre]]</f>
        <v>0</v>
      </c>
      <c r="Z65" s="226"/>
      <c r="AA65" s="97">
        <f ca="1">250+0.6*(TblRezone[[#This Row],[Land]]-250)</f>
        <v>520</v>
      </c>
      <c r="AB65" s="226"/>
      <c r="AC65" s="160">
        <f ca="1">TblConstr[[#This Row],[Facs DB]]</f>
        <v>1.7142857142857144E-2</v>
      </c>
    </row>
    <row r="66" spans="1:29" x14ac:dyDescent="0.2">
      <c r="A66" s="225">
        <f ca="1">TblConstr[[#This Row],[Land]]</f>
        <v>700</v>
      </c>
      <c r="B66" s="227">
        <f ca="1">TblConstr[[#This Row],[Plain]]</f>
        <v>0</v>
      </c>
      <c r="C66" s="185">
        <f ca="1">TblConstr[[#This Row],[Forest]]</f>
        <v>0</v>
      </c>
      <c r="D66" s="385">
        <f ca="1">TblConstr[[#This Row],[Mountain]]</f>
        <v>0</v>
      </c>
      <c r="E66" s="389">
        <f ca="1">TblConstr[[#This Row],[Hill]]</f>
        <v>0</v>
      </c>
      <c r="F66" s="393">
        <f ca="1">TblConstr[[#This Row],[Swamp]]</f>
        <v>0</v>
      </c>
      <c r="G66" s="188">
        <f ca="1">TblConstr[[#This Row],[Cavern]]</f>
        <v>0</v>
      </c>
      <c r="H66" s="189">
        <f ca="1">TblConstr[[#This Row],[Water]]</f>
        <v>0</v>
      </c>
      <c r="I66" s="226"/>
      <c r="J66" s="178">
        <f t="shared" si="1"/>
        <v>63</v>
      </c>
      <c r="K66" s="250">
        <f ca="1">TblImps[[#This Row],[Real time]]</f>
        <v>45432.333333333183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96824</v>
      </c>
      <c r="W66" s="226"/>
      <c r="X66" s="97">
        <f ca="1">ROUNDUP( (1-MIN(ROUND(facs_rezone_factor*TblRezone[[#This Row],[Facs]],4),facs_rezone_max) + tech_6_4*TblTech[[#This Row],[6-4]] + tech_10_2*TblTech[[#This Row],[10-2]] - IF(TblMagic[[#This Row],[Active Mechanical Genius]]&gt;0,mech_genius_bonus,0) + race_rezone_cost) * TblRezone[[#This Row],[Plat/acre*]],0)</f>
        <v>494</v>
      </c>
      <c r="Y66" s="97">
        <f ca="1">TblRezone[[#This Row],[Total acres]]*TblRezone[[#This Row],[Plat/acre]]</f>
        <v>0</v>
      </c>
      <c r="Z66" s="226"/>
      <c r="AA66" s="97">
        <f ca="1">250+0.6*(TblRezone[[#This Row],[Land]]-250)</f>
        <v>520</v>
      </c>
      <c r="AB66" s="226"/>
      <c r="AC66" s="160">
        <f ca="1">TblConstr[[#This Row],[Facs DB]]</f>
        <v>0.01</v>
      </c>
    </row>
    <row r="67" spans="1:29" x14ac:dyDescent="0.2">
      <c r="A67" s="225">
        <f ca="1">TblConstr[[#This Row],[Land]]</f>
        <v>700</v>
      </c>
      <c r="B67" s="227">
        <f ca="1">TblConstr[[#This Row],[Plain]]</f>
        <v>0</v>
      </c>
      <c r="C67" s="185">
        <f ca="1">TblConstr[[#This Row],[Forest]]</f>
        <v>0</v>
      </c>
      <c r="D67" s="385">
        <f ca="1">TblConstr[[#This Row],[Mountain]]</f>
        <v>0</v>
      </c>
      <c r="E67" s="389">
        <f ca="1">TblConstr[[#This Row],[Hill]]</f>
        <v>0</v>
      </c>
      <c r="F67" s="393">
        <f ca="1">TblConstr[[#This Row],[Swamp]]</f>
        <v>0</v>
      </c>
      <c r="G67" s="188">
        <f ca="1">TblConstr[[#This Row],[Cavern]]</f>
        <v>0</v>
      </c>
      <c r="H67" s="189">
        <f ca="1">TblConstr[[#This Row],[Water]]</f>
        <v>0</v>
      </c>
      <c r="I67" s="226"/>
      <c r="J67" s="178">
        <f t="shared" si="1"/>
        <v>64</v>
      </c>
      <c r="K67" s="250">
        <f ca="1">TblImps[[#This Row],[Real time]]</f>
        <v>45432.374999999847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7459</v>
      </c>
      <c r="W67" s="226"/>
      <c r="X67" s="97">
        <f ca="1">ROUNDUP( (1-MIN(ROUND(facs_rezone_factor*TblRezone[[#This Row],[Facs]],4),facs_rezone_max) + tech_6_4*TblTech[[#This Row],[6-4]] + tech_10_2*TblTech[[#This Row],[10-2]] - IF(TblMagic[[#This Row],[Active Mechanical Genius]]&gt;0,mech_genius_bonus,0) + race_rezone_cost) * TblRezone[[#This Row],[Plat/acre*]],0)</f>
        <v>513</v>
      </c>
      <c r="Y67" s="97">
        <f ca="1">TblRezone[[#This Row],[Total acres]]*TblRezone[[#This Row],[Plat/acre]]</f>
        <v>0</v>
      </c>
      <c r="Z67" s="226"/>
      <c r="AA67" s="97">
        <f ca="1">250+0.6*(TblRezone[[#This Row],[Land]]-250)</f>
        <v>520</v>
      </c>
      <c r="AB67" s="226"/>
      <c r="AC67" s="160">
        <f ca="1">TblConstr[[#This Row],[Facs DB]]</f>
        <v>2.8571428571428571E-3</v>
      </c>
    </row>
    <row r="68" spans="1:29" x14ac:dyDescent="0.2">
      <c r="A68" s="225">
        <f ca="1">TblConstr[[#This Row],[Land]]</f>
        <v>700</v>
      </c>
      <c r="B68" s="227">
        <f ca="1">TblConstr[[#This Row],[Plain]]</f>
        <v>0</v>
      </c>
      <c r="C68" s="185">
        <f ca="1">TblConstr[[#This Row],[Forest]]</f>
        <v>0</v>
      </c>
      <c r="D68" s="385">
        <f ca="1">TblConstr[[#This Row],[Mountain]]</f>
        <v>0</v>
      </c>
      <c r="E68" s="389">
        <f ca="1">TblConstr[[#This Row],[Hill]]</f>
        <v>0</v>
      </c>
      <c r="F68" s="393">
        <f ca="1">TblConstr[[#This Row],[Swamp]]</f>
        <v>0</v>
      </c>
      <c r="G68" s="188">
        <f ca="1">TblConstr[[#This Row],[Cavern]]</f>
        <v>0</v>
      </c>
      <c r="H68" s="189">
        <f ca="1">TblConstr[[#This Row],[Water]]</f>
        <v>0</v>
      </c>
      <c r="I68" s="226"/>
      <c r="J68" s="178">
        <f t="shared" si="1"/>
        <v>65</v>
      </c>
      <c r="K68" s="250">
        <f ca="1">TblImps[[#This Row],[Real time]]</f>
        <v>45432.416666666511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36150</v>
      </c>
      <c r="W68" s="226"/>
      <c r="X68" s="97">
        <f ca="1">ROUNDUP( (1-MIN(ROUND(facs_rezone_factor*TblRezone[[#This Row],[Facs]],4),facs_rezone_max) + tech_6_4*TblTech[[#This Row],[6-4]] + tech_10_2*TblTech[[#This Row],[10-2]] - IF(TblMagic[[#This Row],[Active Mechanical Genius]]&gt;0,mech_genius_bonus,0) + race_rezone_cost) * TblRezone[[#This Row],[Plat/acre*]],0)</f>
        <v>520</v>
      </c>
      <c r="Y68" s="97">
        <f ca="1">TblRezone[[#This Row],[Total acres]]*TblRezone[[#This Row],[Plat/acre]]</f>
        <v>0</v>
      </c>
      <c r="Z68" s="226"/>
      <c r="AA68" s="97">
        <f ca="1">250+0.6*(TblRezone[[#This Row],[Land]]-250)</f>
        <v>520</v>
      </c>
      <c r="AB68" s="226"/>
      <c r="AC68" s="160">
        <f ca="1">TblConstr[[#This Row],[Facs DB]]</f>
        <v>0</v>
      </c>
    </row>
    <row r="69" spans="1:29" x14ac:dyDescent="0.2">
      <c r="A69" s="225">
        <f ca="1">TblConstr[[#This Row],[Land]]</f>
        <v>700</v>
      </c>
      <c r="B69" s="227">
        <f ca="1">TblConstr[[#This Row],[Plain]]</f>
        <v>0</v>
      </c>
      <c r="C69" s="185">
        <f ca="1">TblConstr[[#This Row],[Forest]]</f>
        <v>0</v>
      </c>
      <c r="D69" s="385">
        <f ca="1">TblConstr[[#This Row],[Mountain]]</f>
        <v>0</v>
      </c>
      <c r="E69" s="389">
        <f ca="1">TblConstr[[#This Row],[Hill]]</f>
        <v>0</v>
      </c>
      <c r="F69" s="393">
        <f ca="1">TblConstr[[#This Row],[Swamp]]</f>
        <v>0</v>
      </c>
      <c r="G69" s="188">
        <f ca="1">TblConstr[[#This Row],[Cavern]]</f>
        <v>0</v>
      </c>
      <c r="H69" s="189">
        <f ca="1">TblConstr[[#This Row],[Water]]</f>
        <v>0</v>
      </c>
      <c r="I69" s="226"/>
      <c r="J69" s="178">
        <f t="shared" si="1"/>
        <v>66</v>
      </c>
      <c r="K69" s="250">
        <f ca="1">TblImps[[#This Row],[Real time]]</f>
        <v>45432.458333333176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64993</v>
      </c>
      <c r="W69" s="226"/>
      <c r="X69" s="97">
        <f ca="1">ROUNDUP( (1-MIN(ROUND(facs_rezone_factor*TblRezone[[#This Row],[Facs]],4),facs_rezone_max) + tech_6_4*TblTech[[#This Row],[6-4]] + tech_10_2*TblTech[[#This Row],[10-2]] - IF(TblMagic[[#This Row],[Active Mechanical Genius]]&gt;0,mech_genius_bonus,0) + race_rezone_cost) * TblRezone[[#This Row],[Plat/acre*]],0)</f>
        <v>520</v>
      </c>
      <c r="Y69" s="97">
        <f ca="1">TblRezone[[#This Row],[Total acres]]*TblRezone[[#This Row],[Plat/acre]]</f>
        <v>0</v>
      </c>
      <c r="Z69" s="226"/>
      <c r="AA69" s="97">
        <f ca="1">250+0.6*(TblRezone[[#This Row],[Land]]-250)</f>
        <v>520</v>
      </c>
      <c r="AB69" s="226"/>
      <c r="AC69" s="160">
        <f ca="1">TblConstr[[#This Row],[Facs DB]]</f>
        <v>0</v>
      </c>
    </row>
    <row r="70" spans="1:29" x14ac:dyDescent="0.2">
      <c r="A70" s="225">
        <f ca="1">TblConstr[[#This Row],[Land]]</f>
        <v>700</v>
      </c>
      <c r="B70" s="227">
        <f ca="1">TblConstr[[#This Row],[Plain]]</f>
        <v>0</v>
      </c>
      <c r="C70" s="185">
        <f ca="1">TblConstr[[#This Row],[Forest]]</f>
        <v>0</v>
      </c>
      <c r="D70" s="385">
        <f ca="1">TblConstr[[#This Row],[Mountain]]</f>
        <v>0</v>
      </c>
      <c r="E70" s="389">
        <f ca="1">TblConstr[[#This Row],[Hill]]</f>
        <v>0</v>
      </c>
      <c r="F70" s="393">
        <f ca="1">TblConstr[[#This Row],[Swamp]]</f>
        <v>0</v>
      </c>
      <c r="G70" s="188">
        <f ca="1">TblConstr[[#This Row],[Cavern]]</f>
        <v>0</v>
      </c>
      <c r="H70" s="189">
        <f ca="1">TblConstr[[#This Row],[Water]]</f>
        <v>0</v>
      </c>
      <c r="I70" s="226"/>
      <c r="J70" s="178">
        <f t="shared" si="1"/>
        <v>67</v>
      </c>
      <c r="K70" s="250">
        <f ca="1">TblImps[[#This Row],[Real time]]</f>
        <v>45432.49999999984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68189</v>
      </c>
      <c r="W70" s="226"/>
      <c r="X70" s="97">
        <f ca="1">ROUNDUP( (1-MIN(ROUND(facs_rezone_factor*TblRezone[[#This Row],[Facs]],4),facs_rezone_max) + tech_6_4*TblTech[[#This Row],[6-4]] + tech_10_2*TblTech[[#This Row],[10-2]] - IF(TblMagic[[#This Row],[Active Mechanical Genius]]&gt;0,mech_genius_bonus,0) + race_rezone_cost) * TblRezone[[#This Row],[Plat/acre*]],0)</f>
        <v>520</v>
      </c>
      <c r="Y70" s="97">
        <f ca="1">TblRezone[[#This Row],[Total acres]]*TblRezone[[#This Row],[Plat/acre]]</f>
        <v>0</v>
      </c>
      <c r="Z70" s="226"/>
      <c r="AA70" s="97">
        <f ca="1">250+0.6*(TblRezone[[#This Row],[Land]]-250)</f>
        <v>520</v>
      </c>
      <c r="AB70" s="226"/>
      <c r="AC70" s="160">
        <f ca="1">TblConstr[[#This Row],[Facs DB]]</f>
        <v>0</v>
      </c>
    </row>
    <row r="71" spans="1:29" x14ac:dyDescent="0.2">
      <c r="A71" s="225">
        <f ca="1">TblConstr[[#This Row],[Land]]</f>
        <v>700</v>
      </c>
      <c r="B71" s="227">
        <f ca="1">TblConstr[[#This Row],[Plain]]</f>
        <v>0</v>
      </c>
      <c r="C71" s="185">
        <f ca="1">TblConstr[[#This Row],[Forest]]</f>
        <v>0</v>
      </c>
      <c r="D71" s="385">
        <f ca="1">TblConstr[[#This Row],[Mountain]]</f>
        <v>0</v>
      </c>
      <c r="E71" s="389">
        <f ca="1">TblConstr[[#This Row],[Hill]]</f>
        <v>0</v>
      </c>
      <c r="F71" s="393">
        <f ca="1">TblConstr[[#This Row],[Swamp]]</f>
        <v>0</v>
      </c>
      <c r="G71" s="188">
        <f ca="1">TblConstr[[#This Row],[Cavern]]</f>
        <v>0</v>
      </c>
      <c r="H71" s="189">
        <f ca="1">TblConstr[[#This Row],[Water]]</f>
        <v>0</v>
      </c>
      <c r="I71" s="226"/>
      <c r="J71" s="178">
        <f t="shared" si="1"/>
        <v>68</v>
      </c>
      <c r="K71" s="250">
        <f ca="1">TblImps[[#This Row],[Real time]]</f>
        <v>45432.541666666504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74962</v>
      </c>
      <c r="W71" s="226"/>
      <c r="X71" s="97">
        <f ca="1">ROUNDUP( (1-MIN(ROUND(facs_rezone_factor*TblRezone[[#This Row],[Facs]],4),facs_rezone_max) + tech_6_4*TblTech[[#This Row],[6-4]] + tech_10_2*TblTech[[#This Row],[10-2]] - IF(TblMagic[[#This Row],[Active Mechanical Genius]]&gt;0,mech_genius_bonus,0) + race_rezone_cost) * TblRezone[[#This Row],[Plat/acre*]],0)</f>
        <v>520</v>
      </c>
      <c r="Y71" s="97">
        <f ca="1">TblRezone[[#This Row],[Total acres]]*TblRezone[[#This Row],[Plat/acre]]</f>
        <v>0</v>
      </c>
      <c r="Z71" s="226"/>
      <c r="AA71" s="97">
        <f ca="1">250+0.6*(TblRezone[[#This Row],[Land]]-250)</f>
        <v>520</v>
      </c>
      <c r="AB71" s="226"/>
      <c r="AC71" s="160">
        <f ca="1">TblConstr[[#This Row],[Facs DB]]</f>
        <v>0</v>
      </c>
    </row>
    <row r="72" spans="1:29" x14ac:dyDescent="0.2">
      <c r="A72" s="225">
        <f ca="1">TblConstr[[#This Row],[Land]]</f>
        <v>700</v>
      </c>
      <c r="B72" s="227">
        <f ca="1">TblConstr[[#This Row],[Plain]]</f>
        <v>0</v>
      </c>
      <c r="C72" s="185">
        <f ca="1">TblConstr[[#This Row],[Forest]]</f>
        <v>0</v>
      </c>
      <c r="D72" s="385">
        <f ca="1">TblConstr[[#This Row],[Mountain]]</f>
        <v>0</v>
      </c>
      <c r="E72" s="389">
        <f ca="1">TblConstr[[#This Row],[Hill]]</f>
        <v>0</v>
      </c>
      <c r="F72" s="393">
        <f ca="1">TblConstr[[#This Row],[Swamp]]</f>
        <v>0</v>
      </c>
      <c r="G72" s="188">
        <f ca="1">TblConstr[[#This Row],[Cavern]]</f>
        <v>0</v>
      </c>
      <c r="H72" s="189">
        <f ca="1">TblConstr[[#This Row],[Water]]</f>
        <v>0</v>
      </c>
      <c r="I72" s="226"/>
      <c r="J72" s="178">
        <f t="shared" si="1"/>
        <v>69</v>
      </c>
      <c r="K72" s="250">
        <f ca="1">TblImps[[#This Row],[Real time]]</f>
        <v>45432.583333333168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60402</v>
      </c>
      <c r="W72" s="226"/>
      <c r="X72" s="97">
        <f ca="1">ROUNDUP( (1-MIN(ROUND(facs_rezone_factor*TblRezone[[#This Row],[Facs]],4),facs_rezone_max) + tech_6_4*TblTech[[#This Row],[6-4]] + tech_10_2*TblTech[[#This Row],[10-2]] - IF(TblMagic[[#This Row],[Active Mechanical Genius]]&gt;0,mech_genius_bonus,0) + race_rezone_cost) * TblRezone[[#This Row],[Plat/acre*]],0)</f>
        <v>520</v>
      </c>
      <c r="Y72" s="97">
        <f ca="1">TblRezone[[#This Row],[Total acres]]*TblRezone[[#This Row],[Plat/acre]]</f>
        <v>0</v>
      </c>
      <c r="Z72" s="226"/>
      <c r="AA72" s="97">
        <f ca="1">250+0.6*(TblRezone[[#This Row],[Land]]-250)</f>
        <v>520</v>
      </c>
      <c r="AB72" s="226"/>
      <c r="AC72" s="160">
        <f ca="1">TblConstr[[#This Row],[Facs DB]]</f>
        <v>0</v>
      </c>
    </row>
    <row r="73" spans="1:29" x14ac:dyDescent="0.2">
      <c r="A73" s="225">
        <f ca="1">TblConstr[[#This Row],[Land]]</f>
        <v>700</v>
      </c>
      <c r="B73" s="227">
        <f ca="1">TblConstr[[#This Row],[Plain]]</f>
        <v>0</v>
      </c>
      <c r="C73" s="185">
        <f ca="1">TblConstr[[#This Row],[Forest]]</f>
        <v>0</v>
      </c>
      <c r="D73" s="385">
        <f ca="1">TblConstr[[#This Row],[Mountain]]</f>
        <v>0</v>
      </c>
      <c r="E73" s="389">
        <f ca="1">TblConstr[[#This Row],[Hill]]</f>
        <v>0</v>
      </c>
      <c r="F73" s="393">
        <f ca="1">TblConstr[[#This Row],[Swamp]]</f>
        <v>0</v>
      </c>
      <c r="G73" s="188">
        <f ca="1">TblConstr[[#This Row],[Cavern]]</f>
        <v>0</v>
      </c>
      <c r="H73" s="189">
        <f ca="1">TblConstr[[#This Row],[Water]]</f>
        <v>0</v>
      </c>
      <c r="I73" s="226"/>
      <c r="J73" s="178">
        <f t="shared" si="1"/>
        <v>70</v>
      </c>
      <c r="K73" s="250">
        <f ca="1">TblImps[[#This Row],[Real time]]</f>
        <v>45432.624999999833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46144</v>
      </c>
      <c r="W73" s="226"/>
      <c r="X73" s="97">
        <f ca="1">ROUNDUP( (1-MIN(ROUND(facs_rezone_factor*TblRezone[[#This Row],[Facs]],4),facs_rezone_max) + tech_6_4*TblTech[[#This Row],[6-4]] + tech_10_2*TblTech[[#This Row],[10-2]] - IF(TblMagic[[#This Row],[Active Mechanical Genius]]&gt;0,mech_genius_bonus,0) + race_rezone_cost) * TblRezone[[#This Row],[Plat/acre*]],0)</f>
        <v>520</v>
      </c>
      <c r="Y73" s="97">
        <f ca="1">TblRezone[[#This Row],[Total acres]]*TblRezone[[#This Row],[Plat/acre]]</f>
        <v>0</v>
      </c>
      <c r="Z73" s="226"/>
      <c r="AA73" s="97">
        <f ca="1">250+0.6*(TblRezone[[#This Row],[Land]]-250)</f>
        <v>520</v>
      </c>
      <c r="AB73" s="226"/>
      <c r="AC73" s="160">
        <f ca="1">TblConstr[[#This Row],[Facs DB]]</f>
        <v>0</v>
      </c>
    </row>
    <row r="74" spans="1:29" x14ac:dyDescent="0.2">
      <c r="A74" s="225">
        <f ca="1">TblConstr[[#This Row],[Land]]</f>
        <v>700</v>
      </c>
      <c r="B74" s="227">
        <f ca="1">TblConstr[[#This Row],[Plain]]</f>
        <v>0</v>
      </c>
      <c r="C74" s="185">
        <f ca="1">TblConstr[[#This Row],[Forest]]</f>
        <v>0</v>
      </c>
      <c r="D74" s="385">
        <f ca="1">TblConstr[[#This Row],[Mountain]]</f>
        <v>0</v>
      </c>
      <c r="E74" s="389">
        <f ca="1">TblConstr[[#This Row],[Hill]]</f>
        <v>0</v>
      </c>
      <c r="F74" s="393">
        <f ca="1">TblConstr[[#This Row],[Swamp]]</f>
        <v>0</v>
      </c>
      <c r="G74" s="188">
        <f ca="1">TblConstr[[#This Row],[Cavern]]</f>
        <v>0</v>
      </c>
      <c r="H74" s="189">
        <f ca="1">TblConstr[[#This Row],[Water]]</f>
        <v>0</v>
      </c>
      <c r="I74" s="226"/>
      <c r="J74" s="178">
        <f t="shared" si="1"/>
        <v>71</v>
      </c>
      <c r="K74" s="250">
        <f ca="1">TblImps[[#This Row],[Real time]]</f>
        <v>45432.666666666497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32191</v>
      </c>
      <c r="W74" s="226"/>
      <c r="X74" s="97">
        <f ca="1">ROUNDUP( (1-MIN(ROUND(facs_rezone_factor*TblRezone[[#This Row],[Facs]],4),facs_rezone_max) + tech_6_4*TblTech[[#This Row],[6-4]] + tech_10_2*TblTech[[#This Row],[10-2]] - IF(TblMagic[[#This Row],[Active Mechanical Genius]]&gt;0,mech_genius_bonus,0) + race_rezone_cost) * TblRezone[[#This Row],[Plat/acre*]],0)</f>
        <v>520</v>
      </c>
      <c r="Y74" s="97">
        <f ca="1">TblRezone[[#This Row],[Total acres]]*TblRezone[[#This Row],[Plat/acre]]</f>
        <v>0</v>
      </c>
      <c r="Z74" s="226"/>
      <c r="AA74" s="97">
        <f ca="1">250+0.6*(TblRezone[[#This Row],[Land]]-250)</f>
        <v>520</v>
      </c>
      <c r="AB74" s="226"/>
      <c r="AC74" s="160">
        <f ca="1">TblConstr[[#This Row],[Facs DB]]</f>
        <v>0</v>
      </c>
    </row>
    <row r="75" spans="1:29" x14ac:dyDescent="0.2">
      <c r="A75" s="225">
        <f ca="1">TblConstr[[#This Row],[Land]]</f>
        <v>700</v>
      </c>
      <c r="B75" s="227">
        <f ca="1">TblConstr[[#This Row],[Plain]]</f>
        <v>0</v>
      </c>
      <c r="C75" s="185">
        <f ca="1">TblConstr[[#This Row],[Forest]]</f>
        <v>0</v>
      </c>
      <c r="D75" s="385">
        <f ca="1">TblConstr[[#This Row],[Mountain]]</f>
        <v>0</v>
      </c>
      <c r="E75" s="389">
        <f ca="1">TblConstr[[#This Row],[Hill]]</f>
        <v>0</v>
      </c>
      <c r="F75" s="393">
        <f ca="1">TblConstr[[#This Row],[Swamp]]</f>
        <v>0</v>
      </c>
      <c r="G75" s="188">
        <f ca="1">TblConstr[[#This Row],[Cavern]]</f>
        <v>0</v>
      </c>
      <c r="H75" s="189">
        <f ca="1">TblConstr[[#This Row],[Water]]</f>
        <v>0</v>
      </c>
      <c r="I75" s="226"/>
      <c r="J75" s="178">
        <f t="shared" si="1"/>
        <v>72</v>
      </c>
      <c r="K75" s="250">
        <f ca="1">TblImps[[#This Row],[Real time]]</f>
        <v>45432.708333333161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18546</v>
      </c>
      <c r="W75" s="226"/>
      <c r="X75" s="97">
        <f ca="1">ROUNDUP( (1-MIN(ROUND(facs_rezone_factor*TblRezone[[#This Row],[Facs]],4),facs_rezone_max) + tech_6_4*TblTech[[#This Row],[6-4]] + tech_10_2*TblTech[[#This Row],[10-2]] - IF(TblMagic[[#This Row],[Active Mechanical Genius]]&gt;0,mech_genius_bonus,0) + race_rezone_cost) * TblRezone[[#This Row],[Plat/acre*]],0)</f>
        <v>520</v>
      </c>
      <c r="Y75" s="97">
        <f ca="1">TblRezone[[#This Row],[Total acres]]*TblRezone[[#This Row],[Plat/acre]]</f>
        <v>0</v>
      </c>
      <c r="Z75" s="226"/>
      <c r="AA75" s="97">
        <f ca="1">250+0.6*(TblRezone[[#This Row],[Land]]-250)</f>
        <v>520</v>
      </c>
      <c r="AB75" s="226"/>
      <c r="AC75" s="160">
        <f ca="1">TblConstr[[#This Row],[Facs DB]]</f>
        <v>0</v>
      </c>
    </row>
    <row r="76" spans="1:29" x14ac:dyDescent="0.2">
      <c r="A76" s="242">
        <f ca="1">TblConstr[[#This Row],[Land]]</f>
        <v>700</v>
      </c>
      <c r="B76" s="244">
        <f ca="1">TblConstr[[#This Row],[Plain]]</f>
        <v>0</v>
      </c>
      <c r="C76" s="202">
        <f ca="1">TblConstr[[#This Row],[Forest]]</f>
        <v>0</v>
      </c>
      <c r="D76" s="386">
        <f ca="1">TblConstr[[#This Row],[Mountain]]</f>
        <v>0</v>
      </c>
      <c r="E76" s="390">
        <f ca="1">TblConstr[[#This Row],[Hill]]</f>
        <v>0</v>
      </c>
      <c r="F76" s="394">
        <f ca="1">TblConstr[[#This Row],[Swamp]]</f>
        <v>0</v>
      </c>
      <c r="G76" s="205">
        <f ca="1">TblConstr[[#This Row],[Cavern]]</f>
        <v>0</v>
      </c>
      <c r="H76" s="206">
        <f ca="1">TblConstr[[#This Row],[Water]]</f>
        <v>0</v>
      </c>
      <c r="I76" s="243"/>
      <c r="J76" s="196">
        <f t="shared" si="1"/>
        <v>73</v>
      </c>
      <c r="K76" s="251">
        <f ca="1">TblImps[[#This Row],[Real time]]</f>
        <v>45432.749999999825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5612</v>
      </c>
      <c r="W76" s="243"/>
      <c r="X76" s="210">
        <f ca="1">ROUNDUP( (1-MIN(ROUND(facs_rezone_factor*TblRezone[[#This Row],[Facs]],4),facs_rezone_max) + tech_6_4*TblTech[[#This Row],[6-4]] + tech_10_2*TblTech[[#This Row],[10-2]] - IF(TblMagic[[#This Row],[Active Mechanical Genius]]&gt;0,mech_genius_bonus,0) + race_rezone_cost) * TblRezone[[#This Row],[Plat/acre*]],0)</f>
        <v>520</v>
      </c>
      <c r="Y76" s="210">
        <f ca="1">TblRezone[[#This Row],[Total acres]]*TblRezone[[#This Row],[Plat/acre]]</f>
        <v>0</v>
      </c>
      <c r="Z76" s="243"/>
      <c r="AA76" s="210">
        <f ca="1">250+0.6*(TblRezone[[#This Row],[Land]]-250)</f>
        <v>520</v>
      </c>
      <c r="AB76" s="243"/>
      <c r="AC76" s="252">
        <f ca="1">TblConstr[[#This Row],[Facs DB]]</f>
        <v>0</v>
      </c>
    </row>
    <row r="77" spans="1:29" x14ac:dyDescent="0.2">
      <c r="A77" s="225">
        <f ca="1">TblConstr[[#This Row],[Land]]</f>
        <v>700</v>
      </c>
      <c r="B77" s="227">
        <f ca="1">TblConstr[[#This Row],[Plain]]</f>
        <v>0</v>
      </c>
      <c r="C77" s="185">
        <f ca="1">TblConstr[[#This Row],[Forest]]</f>
        <v>0</v>
      </c>
      <c r="D77" s="385">
        <f ca="1">TblConstr[[#This Row],[Mountain]]</f>
        <v>0</v>
      </c>
      <c r="E77" s="389">
        <f ca="1">TblConstr[[#This Row],[Hill]]</f>
        <v>0</v>
      </c>
      <c r="F77" s="393">
        <f ca="1">TblConstr[[#This Row],[Swamp]]</f>
        <v>0</v>
      </c>
      <c r="G77" s="188">
        <f ca="1">TblConstr[[#This Row],[Cavern]]</f>
        <v>0</v>
      </c>
      <c r="H77" s="189">
        <f ca="1">TblConstr[[#This Row],[Water]]</f>
        <v>0</v>
      </c>
      <c r="I77" s="226"/>
      <c r="J77" s="178">
        <f t="shared" ref="J77:J87" si="2">J76+1</f>
        <v>74</v>
      </c>
      <c r="K77" s="250">
        <f ca="1">TblImps[[#This Row],[Real time]]</f>
        <v>45432.79166666649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13360</v>
      </c>
      <c r="W77" s="226"/>
      <c r="X77" s="97">
        <f ca="1">ROUNDUP( (1-MIN(ROUND(facs_rezone_factor*TblRezone[[#This Row],[Facs]],4),facs_rezone_max) + tech_6_4*TblTech[[#This Row],[6-4]] + tech_10_2*TblTech[[#This Row],[10-2]] - IF(TblMagic[[#This Row],[Active Mechanical Genius]]&gt;0,mech_genius_bonus,0) + race_rezone_cost) * TblRezone[[#This Row],[Plat/acre*]],0)</f>
        <v>520</v>
      </c>
      <c r="Y77" s="97">
        <f ca="1">TblRezone[[#This Row],[Total acres]]*TblRezone[[#This Row],[Plat/acre]]</f>
        <v>0</v>
      </c>
      <c r="Z77" s="226"/>
      <c r="AA77" s="97">
        <f ca="1">250+0.6*(TblRezone[[#This Row],[Land]]-250)</f>
        <v>520</v>
      </c>
      <c r="AB77" s="226"/>
      <c r="AC77" s="160">
        <f ca="1">TblConstr[[#This Row],[Facs DB]]</f>
        <v>0</v>
      </c>
    </row>
    <row r="78" spans="1:29" x14ac:dyDescent="0.2">
      <c r="A78" s="225">
        <f ca="1">TblConstr[[#This Row],[Land]]</f>
        <v>700</v>
      </c>
      <c r="B78" s="227">
        <f ca="1">TblConstr[[#This Row],[Plain]]</f>
        <v>0</v>
      </c>
      <c r="C78" s="185">
        <f ca="1">TblConstr[[#This Row],[Forest]]</f>
        <v>0</v>
      </c>
      <c r="D78" s="385">
        <f ca="1">TblConstr[[#This Row],[Mountain]]</f>
        <v>0</v>
      </c>
      <c r="E78" s="389">
        <f ca="1">TblConstr[[#This Row],[Hill]]</f>
        <v>0</v>
      </c>
      <c r="F78" s="393">
        <f ca="1">TblConstr[[#This Row],[Swamp]]</f>
        <v>0</v>
      </c>
      <c r="G78" s="188">
        <f ca="1">TblConstr[[#This Row],[Cavern]]</f>
        <v>0</v>
      </c>
      <c r="H78" s="189">
        <f ca="1">TblConstr[[#This Row],[Water]]</f>
        <v>0</v>
      </c>
      <c r="I78" s="226"/>
      <c r="J78" s="178">
        <f t="shared" si="2"/>
        <v>75</v>
      </c>
      <c r="K78" s="250">
        <f ca="1">TblImps[[#This Row],[Real time]]</f>
        <v>45432.833333333154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41111</v>
      </c>
      <c r="W78" s="226"/>
      <c r="X78" s="97">
        <f ca="1">ROUNDUP( (1-MIN(ROUND(facs_rezone_factor*TblRezone[[#This Row],[Facs]],4),facs_rezone_max) + tech_6_4*TblTech[[#This Row],[6-4]] + tech_10_2*TblTech[[#This Row],[10-2]] - IF(TblMagic[[#This Row],[Active Mechanical Genius]]&gt;0,mech_genius_bonus,0) + race_rezone_cost) * TblRezone[[#This Row],[Plat/acre*]],0)</f>
        <v>520</v>
      </c>
      <c r="Y78" s="97">
        <f ca="1">TblRezone[[#This Row],[Total acres]]*TblRezone[[#This Row],[Plat/acre]]</f>
        <v>0</v>
      </c>
      <c r="Z78" s="226"/>
      <c r="AA78" s="97">
        <f ca="1">250+0.6*(TblRezone[[#This Row],[Land]]-250)</f>
        <v>520</v>
      </c>
      <c r="AB78" s="226"/>
      <c r="AC78" s="160">
        <f ca="1">TblConstr[[#This Row],[Facs DB]]</f>
        <v>0</v>
      </c>
    </row>
    <row r="79" spans="1:29" x14ac:dyDescent="0.2">
      <c r="A79" s="225">
        <f ca="1">TblConstr[[#This Row],[Land]]</f>
        <v>700</v>
      </c>
      <c r="B79" s="227">
        <f ca="1">TblConstr[[#This Row],[Plain]]</f>
        <v>0</v>
      </c>
      <c r="C79" s="185">
        <f ca="1">TblConstr[[#This Row],[Forest]]</f>
        <v>0</v>
      </c>
      <c r="D79" s="385">
        <f ca="1">TblConstr[[#This Row],[Mountain]]</f>
        <v>0</v>
      </c>
      <c r="E79" s="389">
        <f ca="1">TblConstr[[#This Row],[Hill]]</f>
        <v>0</v>
      </c>
      <c r="F79" s="393">
        <f ca="1">TblConstr[[#This Row],[Swamp]]</f>
        <v>0</v>
      </c>
      <c r="G79" s="188">
        <f ca="1">TblConstr[[#This Row],[Cavern]]</f>
        <v>0</v>
      </c>
      <c r="H79" s="189">
        <f ca="1">TblConstr[[#This Row],[Water]]</f>
        <v>0</v>
      </c>
      <c r="I79" s="226"/>
      <c r="J79" s="178">
        <f t="shared" si="2"/>
        <v>76</v>
      </c>
      <c r="K79" s="250">
        <f ca="1">TblImps[[#This Row],[Real time]]</f>
        <v>45432.874999999818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68865</v>
      </c>
      <c r="W79" s="226"/>
      <c r="X79" s="97">
        <f ca="1">ROUNDUP( (1-MIN(ROUND(facs_rezone_factor*TblRezone[[#This Row],[Facs]],4),facs_rezone_max) + tech_6_4*TblTech[[#This Row],[6-4]] + tech_10_2*TblTech[[#This Row],[10-2]] - IF(TblMagic[[#This Row],[Active Mechanical Genius]]&gt;0,mech_genius_bonus,0) + race_rezone_cost) * TblRezone[[#This Row],[Plat/acre*]],0)</f>
        <v>520</v>
      </c>
      <c r="Y79" s="97">
        <f ca="1">TblRezone[[#This Row],[Total acres]]*TblRezone[[#This Row],[Plat/acre]]</f>
        <v>0</v>
      </c>
      <c r="Z79" s="226"/>
      <c r="AA79" s="97">
        <f ca="1">250+0.6*(TblRezone[[#This Row],[Land]]-250)</f>
        <v>520</v>
      </c>
      <c r="AB79" s="226"/>
      <c r="AC79" s="160">
        <f ca="1">TblConstr[[#This Row],[Facs DB]]</f>
        <v>0</v>
      </c>
    </row>
    <row r="80" spans="1:29" x14ac:dyDescent="0.2">
      <c r="A80" s="225">
        <f ca="1">TblConstr[[#This Row],[Land]]</f>
        <v>700</v>
      </c>
      <c r="B80" s="227">
        <f ca="1">TblConstr[[#This Row],[Plain]]</f>
        <v>0</v>
      </c>
      <c r="C80" s="185">
        <f ca="1">TblConstr[[#This Row],[Forest]]</f>
        <v>0</v>
      </c>
      <c r="D80" s="385">
        <f ca="1">TblConstr[[#This Row],[Mountain]]</f>
        <v>0</v>
      </c>
      <c r="E80" s="389">
        <f ca="1">TblConstr[[#This Row],[Hill]]</f>
        <v>0</v>
      </c>
      <c r="F80" s="393">
        <f ca="1">TblConstr[[#This Row],[Swamp]]</f>
        <v>0</v>
      </c>
      <c r="G80" s="188">
        <f ca="1">TblConstr[[#This Row],[Cavern]]</f>
        <v>0</v>
      </c>
      <c r="H80" s="189">
        <f ca="1">TblConstr[[#This Row],[Water]]</f>
        <v>0</v>
      </c>
      <c r="I80" s="226"/>
      <c r="J80" s="178">
        <f t="shared" si="2"/>
        <v>77</v>
      </c>
      <c r="K80" s="250">
        <f ca="1">TblImps[[#This Row],[Real time]]</f>
        <v>45432.916666666482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153735</v>
      </c>
      <c r="W80" s="226"/>
      <c r="X80" s="97">
        <f ca="1">ROUNDUP( (1-MIN(ROUND(facs_rezone_factor*TblRezone[[#This Row],[Facs]],4),facs_rezone_max) + tech_6_4*TblTech[[#This Row],[6-4]] + tech_10_2*TblTech[[#This Row],[10-2]] - IF(TblMagic[[#This Row],[Active Mechanical Genius]]&gt;0,mech_genius_bonus,0) + race_rezone_cost) * TblRezone[[#This Row],[Plat/acre*]],0)</f>
        <v>520</v>
      </c>
      <c r="Y80" s="97">
        <f ca="1">TblRezone[[#This Row],[Total acres]]*TblRezone[[#This Row],[Plat/acre]]</f>
        <v>0</v>
      </c>
      <c r="Z80" s="226"/>
      <c r="AA80" s="97">
        <f ca="1">250+0.6*(TblRezone[[#This Row],[Land]]-250)</f>
        <v>520</v>
      </c>
      <c r="AB80" s="226"/>
      <c r="AC80" s="160">
        <f ca="1">TblConstr[[#This Row],[Facs DB]]</f>
        <v>0</v>
      </c>
    </row>
    <row r="81" spans="1:29" x14ac:dyDescent="0.2">
      <c r="A81" s="225">
        <f ca="1">TblConstr[[#This Row],[Land]]</f>
        <v>700</v>
      </c>
      <c r="B81" s="227">
        <f ca="1">TblConstr[[#This Row],[Plain]]</f>
        <v>0</v>
      </c>
      <c r="C81" s="185">
        <f ca="1">TblConstr[[#This Row],[Forest]]</f>
        <v>0</v>
      </c>
      <c r="D81" s="385">
        <f ca="1">TblConstr[[#This Row],[Mountain]]</f>
        <v>0</v>
      </c>
      <c r="E81" s="389">
        <f ca="1">TblConstr[[#This Row],[Hill]]</f>
        <v>0</v>
      </c>
      <c r="F81" s="393">
        <f ca="1">TblConstr[[#This Row],[Swamp]]</f>
        <v>0</v>
      </c>
      <c r="G81" s="188">
        <f ca="1">TblConstr[[#This Row],[Cavern]]</f>
        <v>0</v>
      </c>
      <c r="H81" s="189">
        <f ca="1">TblConstr[[#This Row],[Water]]</f>
        <v>0</v>
      </c>
      <c r="I81" s="226"/>
      <c r="J81" s="178">
        <f t="shared" si="2"/>
        <v>78</v>
      </c>
      <c r="K81" s="250">
        <f ca="1">TblImps[[#This Row],[Real time]]</f>
        <v>45432.958333333147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199845</v>
      </c>
      <c r="W81" s="226"/>
      <c r="X81" s="97">
        <f ca="1">ROUNDUP( (1-MIN(ROUND(facs_rezone_factor*TblRezone[[#This Row],[Facs]],4),facs_rezone_max) + tech_6_4*TblTech[[#This Row],[6-4]] + tech_10_2*TblTech[[#This Row],[10-2]] - IF(TblMagic[[#This Row],[Active Mechanical Genius]]&gt;0,mech_genius_bonus,0) + race_rezone_cost) * TblRezone[[#This Row],[Plat/acre*]],0)</f>
        <v>520</v>
      </c>
      <c r="Y81" s="97">
        <f ca="1">TblRezone[[#This Row],[Total acres]]*TblRezone[[#This Row],[Plat/acre]]</f>
        <v>0</v>
      </c>
      <c r="Z81" s="226"/>
      <c r="AA81" s="97">
        <f ca="1">250+0.6*(TblRezone[[#This Row],[Land]]-250)</f>
        <v>520</v>
      </c>
      <c r="AB81" s="226"/>
      <c r="AC81" s="160">
        <f ca="1">TblConstr[[#This Row],[Facs DB]]</f>
        <v>0</v>
      </c>
    </row>
    <row r="82" spans="1:29" x14ac:dyDescent="0.2">
      <c r="A82" s="225">
        <f ca="1">TblConstr[[#This Row],[Land]]</f>
        <v>700</v>
      </c>
      <c r="B82" s="227">
        <f ca="1">TblConstr[[#This Row],[Plain]]</f>
        <v>0</v>
      </c>
      <c r="C82" s="185">
        <f ca="1">TblConstr[[#This Row],[Forest]]</f>
        <v>0</v>
      </c>
      <c r="D82" s="385">
        <f ca="1">TblConstr[[#This Row],[Mountain]]</f>
        <v>0</v>
      </c>
      <c r="E82" s="389">
        <f ca="1">TblConstr[[#This Row],[Hill]]</f>
        <v>0</v>
      </c>
      <c r="F82" s="393">
        <f ca="1">TblConstr[[#This Row],[Swamp]]</f>
        <v>0</v>
      </c>
      <c r="G82" s="188">
        <f ca="1">TblConstr[[#This Row],[Cavern]]</f>
        <v>0</v>
      </c>
      <c r="H82" s="189">
        <f ca="1">TblConstr[[#This Row],[Water]]</f>
        <v>0</v>
      </c>
      <c r="I82" s="226"/>
      <c r="J82" s="178">
        <f t="shared" si="2"/>
        <v>79</v>
      </c>
      <c r="K82" s="250">
        <f ca="1">TblImps[[#This Row],[Real time]]</f>
        <v>45432.999999999811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245670</v>
      </c>
      <c r="W82" s="226"/>
      <c r="X82" s="97">
        <f ca="1">ROUNDUP( (1-MIN(ROUND(facs_rezone_factor*TblRezone[[#This Row],[Facs]],4),facs_rezone_max) + tech_6_4*TblTech[[#This Row],[6-4]] + tech_10_2*TblTech[[#This Row],[10-2]] - IF(TblMagic[[#This Row],[Active Mechanical Genius]]&gt;0,mech_genius_bonus,0) + race_rezone_cost) * TblRezone[[#This Row],[Plat/acre*]],0)</f>
        <v>520</v>
      </c>
      <c r="Y82" s="97">
        <f ca="1">TblRezone[[#This Row],[Total acres]]*TblRezone[[#This Row],[Plat/acre]]</f>
        <v>0</v>
      </c>
      <c r="Z82" s="226"/>
      <c r="AA82" s="97">
        <f ca="1">250+0.6*(TblRezone[[#This Row],[Land]]-250)</f>
        <v>520</v>
      </c>
      <c r="AB82" s="226"/>
      <c r="AC82" s="160">
        <f ca="1">TblConstr[[#This Row],[Facs DB]]</f>
        <v>0</v>
      </c>
    </row>
    <row r="83" spans="1:29" x14ac:dyDescent="0.2">
      <c r="A83" s="225">
        <f ca="1">TblConstr[[#This Row],[Land]]</f>
        <v>700</v>
      </c>
      <c r="B83" s="227">
        <f ca="1">TblConstr[[#This Row],[Plain]]</f>
        <v>0</v>
      </c>
      <c r="C83" s="185">
        <f ca="1">TblConstr[[#This Row],[Forest]]</f>
        <v>0</v>
      </c>
      <c r="D83" s="385">
        <f ca="1">TblConstr[[#This Row],[Mountain]]</f>
        <v>0</v>
      </c>
      <c r="E83" s="389">
        <f ca="1">TblConstr[[#This Row],[Hill]]</f>
        <v>0</v>
      </c>
      <c r="F83" s="393">
        <f ca="1">TblConstr[[#This Row],[Swamp]]</f>
        <v>0</v>
      </c>
      <c r="G83" s="188">
        <f ca="1">TblConstr[[#This Row],[Cavern]]</f>
        <v>0</v>
      </c>
      <c r="H83" s="189">
        <f ca="1">TblConstr[[#This Row],[Water]]</f>
        <v>0</v>
      </c>
      <c r="I83" s="226"/>
      <c r="J83" s="178">
        <f t="shared" si="2"/>
        <v>80</v>
      </c>
      <c r="K83" s="250">
        <f ca="1">TblImps[[#This Row],[Real time]]</f>
        <v>45433.041666666475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291213</v>
      </c>
      <c r="W83" s="226"/>
      <c r="X83" s="97">
        <f ca="1">ROUNDUP( (1-MIN(ROUND(facs_rezone_factor*TblRezone[[#This Row],[Facs]],4),facs_rezone_max) + tech_6_4*TblTech[[#This Row],[6-4]] + tech_10_2*TblTech[[#This Row],[10-2]] - IF(TblMagic[[#This Row],[Active Mechanical Genius]]&gt;0,mech_genius_bonus,0) + race_rezone_cost) * TblRezone[[#This Row],[Plat/acre*]],0)</f>
        <v>520</v>
      </c>
      <c r="Y83" s="97">
        <f ca="1">TblRezone[[#This Row],[Total acres]]*TblRezone[[#This Row],[Plat/acre]]</f>
        <v>0</v>
      </c>
      <c r="Z83" s="226"/>
      <c r="AA83" s="97">
        <f ca="1">250+0.6*(TblRezone[[#This Row],[Land]]-250)</f>
        <v>520</v>
      </c>
      <c r="AB83" s="226"/>
      <c r="AC83" s="160">
        <f ca="1">TblConstr[[#This Row],[Facs DB]]</f>
        <v>0</v>
      </c>
    </row>
    <row r="84" spans="1:29" x14ac:dyDescent="0.2">
      <c r="A84" s="225">
        <f ca="1">TblConstr[[#This Row],[Land]]</f>
        <v>700</v>
      </c>
      <c r="B84" s="227">
        <f ca="1">TblConstr[[#This Row],[Plain]]</f>
        <v>0</v>
      </c>
      <c r="C84" s="185">
        <f ca="1">TblConstr[[#This Row],[Forest]]</f>
        <v>0</v>
      </c>
      <c r="D84" s="385">
        <f ca="1">TblConstr[[#This Row],[Mountain]]</f>
        <v>0</v>
      </c>
      <c r="E84" s="389">
        <f ca="1">TblConstr[[#This Row],[Hill]]</f>
        <v>0</v>
      </c>
      <c r="F84" s="393">
        <f ca="1">TblConstr[[#This Row],[Swamp]]</f>
        <v>0</v>
      </c>
      <c r="G84" s="188">
        <f ca="1">TblConstr[[#This Row],[Cavern]]</f>
        <v>0</v>
      </c>
      <c r="H84" s="189">
        <f ca="1">TblConstr[[#This Row],[Water]]</f>
        <v>0</v>
      </c>
      <c r="I84" s="226"/>
      <c r="J84" s="178">
        <f t="shared" si="2"/>
        <v>81</v>
      </c>
      <c r="K84" s="250">
        <f ca="1">TblImps[[#This Row],[Real time]]</f>
        <v>45433.083333333139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336477</v>
      </c>
      <c r="W84" s="226"/>
      <c r="X84" s="97">
        <f ca="1">ROUNDUP( (1-MIN(ROUND(facs_rezone_factor*TblRezone[[#This Row],[Facs]],4),facs_rezone_max) + tech_6_4*TblTech[[#This Row],[6-4]] + tech_10_2*TblTech[[#This Row],[10-2]] - IF(TblMagic[[#This Row],[Active Mechanical Genius]]&gt;0,mech_genius_bonus,0) + race_rezone_cost) * TblRezone[[#This Row],[Plat/acre*]],0)</f>
        <v>520</v>
      </c>
      <c r="Y84" s="97">
        <f ca="1">TblRezone[[#This Row],[Total acres]]*TblRezone[[#This Row],[Plat/acre]]</f>
        <v>0</v>
      </c>
      <c r="Z84" s="226"/>
      <c r="AA84" s="97">
        <f ca="1">250+0.6*(TblRezone[[#This Row],[Land]]-250)</f>
        <v>520</v>
      </c>
      <c r="AB84" s="226"/>
      <c r="AC84" s="160">
        <f ca="1">TblConstr[[#This Row],[Facs DB]]</f>
        <v>0</v>
      </c>
    </row>
    <row r="85" spans="1:29" x14ac:dyDescent="0.2">
      <c r="A85" s="225">
        <f ca="1">TblConstr[[#This Row],[Land]]</f>
        <v>700</v>
      </c>
      <c r="B85" s="227">
        <f ca="1">TblConstr[[#This Row],[Plain]]</f>
        <v>0</v>
      </c>
      <c r="C85" s="185">
        <f ca="1">TblConstr[[#This Row],[Forest]]</f>
        <v>0</v>
      </c>
      <c r="D85" s="385">
        <f ca="1">TblConstr[[#This Row],[Mountain]]</f>
        <v>0</v>
      </c>
      <c r="E85" s="389">
        <f ca="1">TblConstr[[#This Row],[Hill]]</f>
        <v>0</v>
      </c>
      <c r="F85" s="393">
        <f ca="1">TblConstr[[#This Row],[Swamp]]</f>
        <v>0</v>
      </c>
      <c r="G85" s="188">
        <f ca="1">TblConstr[[#This Row],[Cavern]]</f>
        <v>0</v>
      </c>
      <c r="H85" s="189">
        <f ca="1">TblConstr[[#This Row],[Water]]</f>
        <v>0</v>
      </c>
      <c r="I85" s="226"/>
      <c r="J85" s="178">
        <f t="shared" si="2"/>
        <v>82</v>
      </c>
      <c r="K85" s="250">
        <f ca="1">TblImps[[#This Row],[Real time]]</f>
        <v>45433.124999999804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381464</v>
      </c>
      <c r="W85" s="226"/>
      <c r="X85" s="97">
        <f ca="1">ROUNDUP( (1-MIN(ROUND(facs_rezone_factor*TblRezone[[#This Row],[Facs]],4),facs_rezone_max) + tech_6_4*TblTech[[#This Row],[6-4]] + tech_10_2*TblTech[[#This Row],[10-2]] - IF(TblMagic[[#This Row],[Active Mechanical Genius]]&gt;0,mech_genius_bonus,0) + race_rezone_cost) * TblRezone[[#This Row],[Plat/acre*]],0)</f>
        <v>520</v>
      </c>
      <c r="Y85" s="97">
        <f ca="1">TblRezone[[#This Row],[Total acres]]*TblRezone[[#This Row],[Plat/acre]]</f>
        <v>0</v>
      </c>
      <c r="Z85" s="226"/>
      <c r="AA85" s="97">
        <f ca="1">250+0.6*(TblRezone[[#This Row],[Land]]-250)</f>
        <v>520</v>
      </c>
      <c r="AB85" s="226"/>
      <c r="AC85" s="160">
        <f ca="1">TblConstr[[#This Row],[Facs DB]]</f>
        <v>0</v>
      </c>
    </row>
    <row r="86" spans="1:29" x14ac:dyDescent="0.2">
      <c r="A86" s="225">
        <f ca="1">TblConstr[[#This Row],[Land]]</f>
        <v>700</v>
      </c>
      <c r="B86" s="227">
        <f ca="1">TblConstr[[#This Row],[Plain]]</f>
        <v>0</v>
      </c>
      <c r="C86" s="185">
        <f ca="1">TblConstr[[#This Row],[Forest]]</f>
        <v>0</v>
      </c>
      <c r="D86" s="385">
        <f ca="1">TblConstr[[#This Row],[Mountain]]</f>
        <v>0</v>
      </c>
      <c r="E86" s="389">
        <f ca="1">TblConstr[[#This Row],[Hill]]</f>
        <v>0</v>
      </c>
      <c r="F86" s="393">
        <f ca="1">TblConstr[[#This Row],[Swamp]]</f>
        <v>0</v>
      </c>
      <c r="G86" s="188">
        <f ca="1">TblConstr[[#This Row],[Cavern]]</f>
        <v>0</v>
      </c>
      <c r="H86" s="189">
        <f ca="1">TblConstr[[#This Row],[Water]]</f>
        <v>0</v>
      </c>
      <c r="I86" s="226"/>
      <c r="J86" s="178">
        <f t="shared" si="2"/>
        <v>83</v>
      </c>
      <c r="K86" s="250">
        <f ca="1">TblImps[[#This Row],[Real time]]</f>
        <v>45433.166666666468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426178</v>
      </c>
      <c r="W86" s="226"/>
      <c r="X86" s="97">
        <f ca="1">ROUNDUP( (1-MIN(ROUND(facs_rezone_factor*TblRezone[[#This Row],[Facs]],4),facs_rezone_max) + tech_6_4*TblTech[[#This Row],[6-4]] + tech_10_2*TblTech[[#This Row],[10-2]] - IF(TblMagic[[#This Row],[Active Mechanical Genius]]&gt;0,mech_genius_bonus,0) + race_rezone_cost) * TblRezone[[#This Row],[Plat/acre*]],0)</f>
        <v>520</v>
      </c>
      <c r="Y86" s="97">
        <f ca="1">TblRezone[[#This Row],[Total acres]]*TblRezone[[#This Row],[Plat/acre]]</f>
        <v>0</v>
      </c>
      <c r="Z86" s="226"/>
      <c r="AA86" s="97">
        <f ca="1">250+0.6*(TblRezone[[#This Row],[Land]]-250)</f>
        <v>520</v>
      </c>
      <c r="AB86" s="226"/>
      <c r="AC86" s="160">
        <f ca="1">TblConstr[[#This Row],[Facs DB]]</f>
        <v>0</v>
      </c>
    </row>
    <row r="87" spans="1:29" x14ac:dyDescent="0.2">
      <c r="A87" s="225">
        <f ca="1">TblConstr[[#This Row],[Land]]</f>
        <v>700</v>
      </c>
      <c r="B87" s="227">
        <f ca="1">TblConstr[[#This Row],[Plain]]</f>
        <v>0</v>
      </c>
      <c r="C87" s="185">
        <f ca="1">TblConstr[[#This Row],[Forest]]</f>
        <v>0</v>
      </c>
      <c r="D87" s="385">
        <f ca="1">TblConstr[[#This Row],[Mountain]]</f>
        <v>0</v>
      </c>
      <c r="E87" s="389">
        <f ca="1">TblConstr[[#This Row],[Hill]]</f>
        <v>0</v>
      </c>
      <c r="F87" s="393">
        <f ca="1">TblConstr[[#This Row],[Swamp]]</f>
        <v>0</v>
      </c>
      <c r="G87" s="188">
        <f ca="1">TblConstr[[#This Row],[Cavern]]</f>
        <v>0</v>
      </c>
      <c r="H87" s="189">
        <f ca="1">TblConstr[[#This Row],[Water]]</f>
        <v>0</v>
      </c>
      <c r="I87" s="226"/>
      <c r="J87" s="178">
        <f t="shared" si="2"/>
        <v>84</v>
      </c>
      <c r="K87" s="250">
        <f ca="1">TblImps[[#This Row],[Real time]]</f>
        <v>45433.208333333132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470622</v>
      </c>
      <c r="W87" s="226"/>
      <c r="X87" s="97">
        <f ca="1">ROUNDUP( (1-MIN(ROUND(facs_rezone_factor*TblRezone[[#This Row],[Facs]],4),facs_rezone_max) + tech_6_4*TblTech[[#This Row],[6-4]] + tech_10_2*TblTech[[#This Row],[10-2]] - IF(TblMagic[[#This Row],[Active Mechanical Genius]]&gt;0,mech_genius_bonus,0) + race_rezone_cost) * TblRezone[[#This Row],[Plat/acre*]],0)</f>
        <v>520</v>
      </c>
      <c r="Y87" s="97">
        <f ca="1">TblRezone[[#This Row],[Total acres]]*TblRezone[[#This Row],[Plat/acre]]</f>
        <v>0</v>
      </c>
      <c r="Z87" s="226"/>
      <c r="AA87" s="97">
        <f ca="1">250+0.6*(TblRezone[[#This Row],[Land]]-250)</f>
        <v>520</v>
      </c>
      <c r="AB87" s="226"/>
      <c r="AC87" s="160">
        <f ca="1">TblConstr[[#This Row],[Facs DB]]</f>
        <v>0</v>
      </c>
    </row>
    <row r="88" spans="1:29" x14ac:dyDescent="0.2">
      <c r="A88" s="225">
        <f ca="1">TblConstr[[#This Row],[Land]]</f>
        <v>700</v>
      </c>
      <c r="B88" s="227">
        <f ca="1">TblConstr[[#This Row],[Plain]]</f>
        <v>0</v>
      </c>
      <c r="C88" s="185">
        <f ca="1">TblConstr[[#This Row],[Forest]]</f>
        <v>0</v>
      </c>
      <c r="D88" s="385">
        <f ca="1">TblConstr[[#This Row],[Mountain]]</f>
        <v>0</v>
      </c>
      <c r="E88" s="389">
        <f ca="1">TblConstr[[#This Row],[Hill]]</f>
        <v>0</v>
      </c>
      <c r="F88" s="393">
        <f ca="1">TblConstr[[#This Row],[Swamp]]</f>
        <v>0</v>
      </c>
      <c r="G88" s="188">
        <f ca="1">TblConstr[[#This Row],[Cavern]]</f>
        <v>0</v>
      </c>
      <c r="H88" s="189">
        <f ca="1">TblConstr[[#This Row],[Water]]</f>
        <v>0</v>
      </c>
      <c r="I88" s="226"/>
      <c r="J88" s="178">
        <f>J87+1</f>
        <v>85</v>
      </c>
      <c r="K88" s="250">
        <f ca="1">TblImps[[#This Row],[Real time]]</f>
        <v>45433.249999999796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514796</v>
      </c>
      <c r="W88" s="226"/>
      <c r="X88" s="97">
        <f ca="1">ROUNDUP( (1-MIN(ROUND(facs_rezone_factor*TblRezone[[#This Row],[Facs]],4),facs_rezone_max) + tech_6_4*TblTech[[#This Row],[6-4]] + tech_10_2*TblTech[[#This Row],[10-2]] - IF(TblMagic[[#This Row],[Active Mechanical Genius]]&gt;0,mech_genius_bonus,0) + race_rezone_cost) * TblRezone[[#This Row],[Plat/acre*]],0)</f>
        <v>520</v>
      </c>
      <c r="Y88" s="97">
        <f ca="1">TblRezone[[#This Row],[Total acres]]*TblRezone[[#This Row],[Plat/acre]]</f>
        <v>0</v>
      </c>
      <c r="Z88" s="226"/>
      <c r="AA88" s="97">
        <f ca="1">250+0.6*(TblRezone[[#This Row],[Land]]-250)</f>
        <v>520</v>
      </c>
      <c r="AB88" s="226"/>
      <c r="AC88" s="160">
        <f ca="1">TblConstr[[#This Row],[Facs DB]]</f>
        <v>0</v>
      </c>
    </row>
    <row r="89" spans="1:29" x14ac:dyDescent="0.2">
      <c r="A89" s="225">
        <f ca="1">TblConstr[[#This Row],[Land]]</f>
        <v>700</v>
      </c>
      <c r="B89" s="227">
        <f ca="1">TblConstr[[#This Row],[Plain]]</f>
        <v>0</v>
      </c>
      <c r="C89" s="185">
        <f ca="1">TblConstr[[#This Row],[Forest]]</f>
        <v>0</v>
      </c>
      <c r="D89" s="385">
        <f ca="1">TblConstr[[#This Row],[Mountain]]</f>
        <v>0</v>
      </c>
      <c r="E89" s="389">
        <f ca="1">TblConstr[[#This Row],[Hill]]</f>
        <v>0</v>
      </c>
      <c r="F89" s="393">
        <f ca="1">TblConstr[[#This Row],[Swamp]]</f>
        <v>0</v>
      </c>
      <c r="G89" s="188">
        <f ca="1">TblConstr[[#This Row],[Cavern]]</f>
        <v>0</v>
      </c>
      <c r="H89" s="189">
        <f ca="1">TblConstr[[#This Row],[Water]]</f>
        <v>0</v>
      </c>
      <c r="I89" s="226"/>
      <c r="J89" s="178">
        <f t="shared" ref="J89:J136" si="3">J88+1</f>
        <v>86</v>
      </c>
      <c r="K89" s="250">
        <f ca="1">TblImps[[#This Row],[Real time]]</f>
        <v>45433.291666666461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558702</v>
      </c>
      <c r="W89" s="226"/>
      <c r="X89" s="97">
        <f ca="1">ROUNDUP( (1-MIN(ROUND(facs_rezone_factor*TblRezone[[#This Row],[Facs]],4),facs_rezone_max) + tech_6_4*TblTech[[#This Row],[6-4]] + tech_10_2*TblTech[[#This Row],[10-2]] - IF(TblMagic[[#This Row],[Active Mechanical Genius]]&gt;0,mech_genius_bonus,0) + race_rezone_cost) * TblRezone[[#This Row],[Plat/acre*]],0)</f>
        <v>520</v>
      </c>
      <c r="Y89" s="97">
        <f ca="1">TblRezone[[#This Row],[Total acres]]*TblRezone[[#This Row],[Plat/acre]]</f>
        <v>0</v>
      </c>
      <c r="Z89" s="226"/>
      <c r="AA89" s="97">
        <f ca="1">250+0.6*(TblRezone[[#This Row],[Land]]-250)</f>
        <v>520</v>
      </c>
      <c r="AB89" s="226"/>
      <c r="AC89" s="160">
        <f ca="1">TblConstr[[#This Row],[Facs DB]]</f>
        <v>0</v>
      </c>
    </row>
    <row r="90" spans="1:29" x14ac:dyDescent="0.2">
      <c r="A90" s="225">
        <f ca="1">TblConstr[[#This Row],[Land]]</f>
        <v>700</v>
      </c>
      <c r="B90" s="227">
        <f ca="1">TblConstr[[#This Row],[Plain]]</f>
        <v>0</v>
      </c>
      <c r="C90" s="185">
        <f ca="1">TblConstr[[#This Row],[Forest]]</f>
        <v>0</v>
      </c>
      <c r="D90" s="385">
        <f ca="1">TblConstr[[#This Row],[Mountain]]</f>
        <v>0</v>
      </c>
      <c r="E90" s="389">
        <f ca="1">TblConstr[[#This Row],[Hill]]</f>
        <v>0</v>
      </c>
      <c r="F90" s="393">
        <f ca="1">TblConstr[[#This Row],[Swamp]]</f>
        <v>0</v>
      </c>
      <c r="G90" s="188">
        <f ca="1">TblConstr[[#This Row],[Cavern]]</f>
        <v>0</v>
      </c>
      <c r="H90" s="189">
        <f ca="1">TblConstr[[#This Row],[Water]]</f>
        <v>0</v>
      </c>
      <c r="I90" s="226"/>
      <c r="J90" s="178">
        <f t="shared" si="3"/>
        <v>87</v>
      </c>
      <c r="K90" s="250">
        <f ca="1">TblImps[[#This Row],[Real time]]</f>
        <v>45433.333333333125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602344</v>
      </c>
      <c r="W90" s="226"/>
      <c r="X90" s="97">
        <f ca="1">ROUNDUP( (1-MIN(ROUND(facs_rezone_factor*TblRezone[[#This Row],[Facs]],4),facs_rezone_max) + tech_6_4*TblTech[[#This Row],[6-4]] + tech_10_2*TblTech[[#This Row],[10-2]] - IF(TblMagic[[#This Row],[Active Mechanical Genius]]&gt;0,mech_genius_bonus,0) + race_rezone_cost) * TblRezone[[#This Row],[Plat/acre*]],0)</f>
        <v>520</v>
      </c>
      <c r="Y90" s="97">
        <f ca="1">TblRezone[[#This Row],[Total acres]]*TblRezone[[#This Row],[Plat/acre]]</f>
        <v>0</v>
      </c>
      <c r="Z90" s="226"/>
      <c r="AA90" s="97">
        <f ca="1">250+0.6*(TblRezone[[#This Row],[Land]]-250)</f>
        <v>520</v>
      </c>
      <c r="AB90" s="226"/>
      <c r="AC90" s="160">
        <f ca="1">TblConstr[[#This Row],[Facs DB]]</f>
        <v>0</v>
      </c>
    </row>
    <row r="91" spans="1:29" x14ac:dyDescent="0.2">
      <c r="A91" s="225">
        <f ca="1">TblConstr[[#This Row],[Land]]</f>
        <v>700</v>
      </c>
      <c r="B91" s="227">
        <f ca="1">TblConstr[[#This Row],[Plain]]</f>
        <v>0</v>
      </c>
      <c r="C91" s="185">
        <f ca="1">TblConstr[[#This Row],[Forest]]</f>
        <v>0</v>
      </c>
      <c r="D91" s="385">
        <f ca="1">TblConstr[[#This Row],[Mountain]]</f>
        <v>0</v>
      </c>
      <c r="E91" s="389">
        <f ca="1">TblConstr[[#This Row],[Hill]]</f>
        <v>0</v>
      </c>
      <c r="F91" s="393">
        <f ca="1">TblConstr[[#This Row],[Swamp]]</f>
        <v>0</v>
      </c>
      <c r="G91" s="188">
        <f ca="1">TblConstr[[#This Row],[Cavern]]</f>
        <v>0</v>
      </c>
      <c r="H91" s="189">
        <f ca="1">TblConstr[[#This Row],[Water]]</f>
        <v>0</v>
      </c>
      <c r="I91" s="226"/>
      <c r="J91" s="178">
        <f t="shared" si="3"/>
        <v>88</v>
      </c>
      <c r="K91" s="250">
        <f ca="1">TblImps[[#This Row],[Real time]]</f>
        <v>45433.374999999789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645725</v>
      </c>
      <c r="W91" s="226"/>
      <c r="X91" s="97">
        <f ca="1">ROUNDUP( (1-MIN(ROUND(facs_rezone_factor*TblRezone[[#This Row],[Facs]],4),facs_rezone_max) + tech_6_4*TblTech[[#This Row],[6-4]] + tech_10_2*TblTech[[#This Row],[10-2]] - IF(TblMagic[[#This Row],[Active Mechanical Genius]]&gt;0,mech_genius_bonus,0) + race_rezone_cost) * TblRezone[[#This Row],[Plat/acre*]],0)</f>
        <v>520</v>
      </c>
      <c r="Y91" s="97">
        <f ca="1">TblRezone[[#This Row],[Total acres]]*TblRezone[[#This Row],[Plat/acre]]</f>
        <v>0</v>
      </c>
      <c r="Z91" s="226"/>
      <c r="AA91" s="97">
        <f ca="1">250+0.6*(TblRezone[[#This Row],[Land]]-250)</f>
        <v>520</v>
      </c>
      <c r="AB91" s="226"/>
      <c r="AC91" s="160">
        <f ca="1">TblConstr[[#This Row],[Facs DB]]</f>
        <v>0</v>
      </c>
    </row>
    <row r="92" spans="1:29" x14ac:dyDescent="0.2">
      <c r="A92" s="225">
        <f ca="1">TblConstr[[#This Row],[Land]]</f>
        <v>700</v>
      </c>
      <c r="B92" s="227">
        <f ca="1">TblConstr[[#This Row],[Plain]]</f>
        <v>0</v>
      </c>
      <c r="C92" s="185">
        <f ca="1">TblConstr[[#This Row],[Forest]]</f>
        <v>0</v>
      </c>
      <c r="D92" s="385">
        <f ca="1">TblConstr[[#This Row],[Mountain]]</f>
        <v>0</v>
      </c>
      <c r="E92" s="389">
        <f ca="1">TblConstr[[#This Row],[Hill]]</f>
        <v>0</v>
      </c>
      <c r="F92" s="393">
        <f ca="1">TblConstr[[#This Row],[Swamp]]</f>
        <v>0</v>
      </c>
      <c r="G92" s="188">
        <f ca="1">TblConstr[[#This Row],[Cavern]]</f>
        <v>0</v>
      </c>
      <c r="H92" s="189">
        <f ca="1">TblConstr[[#This Row],[Water]]</f>
        <v>0</v>
      </c>
      <c r="I92" s="226"/>
      <c r="J92" s="178">
        <f t="shared" si="3"/>
        <v>89</v>
      </c>
      <c r="K92" s="250">
        <f ca="1">TblImps[[#This Row],[Real time]]</f>
        <v>45433.416666666453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688847</v>
      </c>
      <c r="W92" s="226"/>
      <c r="X92" s="97">
        <f ca="1">ROUNDUP( (1-MIN(ROUND(facs_rezone_factor*TblRezone[[#This Row],[Facs]],4),facs_rezone_max) + tech_6_4*TblTech[[#This Row],[6-4]] + tech_10_2*TblTech[[#This Row],[10-2]] - IF(TblMagic[[#This Row],[Active Mechanical Genius]]&gt;0,mech_genius_bonus,0) + race_rezone_cost) * TblRezone[[#This Row],[Plat/acre*]],0)</f>
        <v>520</v>
      </c>
      <c r="Y92" s="97">
        <f ca="1">TblRezone[[#This Row],[Total acres]]*TblRezone[[#This Row],[Plat/acre]]</f>
        <v>0</v>
      </c>
      <c r="Z92" s="226"/>
      <c r="AA92" s="97">
        <f ca="1">250+0.6*(TblRezone[[#This Row],[Land]]-250)</f>
        <v>520</v>
      </c>
      <c r="AB92" s="226"/>
      <c r="AC92" s="160">
        <f ca="1">TblConstr[[#This Row],[Facs DB]]</f>
        <v>0</v>
      </c>
    </row>
    <row r="93" spans="1:29" x14ac:dyDescent="0.2">
      <c r="A93" s="225">
        <f ca="1">TblConstr[[#This Row],[Land]]</f>
        <v>700</v>
      </c>
      <c r="B93" s="227">
        <f ca="1">TblConstr[[#This Row],[Plain]]</f>
        <v>0</v>
      </c>
      <c r="C93" s="185">
        <f ca="1">TblConstr[[#This Row],[Forest]]</f>
        <v>0</v>
      </c>
      <c r="D93" s="385">
        <f ca="1">TblConstr[[#This Row],[Mountain]]</f>
        <v>0</v>
      </c>
      <c r="E93" s="389">
        <f ca="1">TblConstr[[#This Row],[Hill]]</f>
        <v>0</v>
      </c>
      <c r="F93" s="393">
        <f ca="1">TblConstr[[#This Row],[Swamp]]</f>
        <v>0</v>
      </c>
      <c r="G93" s="188">
        <f ca="1">TblConstr[[#This Row],[Cavern]]</f>
        <v>0</v>
      </c>
      <c r="H93" s="189">
        <f ca="1">TblConstr[[#This Row],[Water]]</f>
        <v>0</v>
      </c>
      <c r="I93" s="226"/>
      <c r="J93" s="178">
        <f t="shared" si="3"/>
        <v>90</v>
      </c>
      <c r="K93" s="250">
        <f ca="1">TblImps[[#This Row],[Real time]]</f>
        <v>45433.458333333117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731714</v>
      </c>
      <c r="W93" s="226"/>
      <c r="X93" s="97">
        <f ca="1">ROUNDUP( (1-MIN(ROUND(facs_rezone_factor*TblRezone[[#This Row],[Facs]],4),facs_rezone_max) + tech_6_4*TblTech[[#This Row],[6-4]] + tech_10_2*TblTech[[#This Row],[10-2]] - IF(TblMagic[[#This Row],[Active Mechanical Genius]]&gt;0,mech_genius_bonus,0) + race_rezone_cost) * TblRezone[[#This Row],[Plat/acre*]],0)</f>
        <v>520</v>
      </c>
      <c r="Y93" s="97">
        <f ca="1">TblRezone[[#This Row],[Total acres]]*TblRezone[[#This Row],[Plat/acre]]</f>
        <v>0</v>
      </c>
      <c r="Z93" s="226"/>
      <c r="AA93" s="97">
        <f ca="1">250+0.6*(TblRezone[[#This Row],[Land]]-250)</f>
        <v>520</v>
      </c>
      <c r="AB93" s="226"/>
      <c r="AC93" s="160">
        <f ca="1">TblConstr[[#This Row],[Facs DB]]</f>
        <v>0</v>
      </c>
    </row>
    <row r="94" spans="1:29" x14ac:dyDescent="0.2">
      <c r="A94" s="225">
        <f ca="1">TblConstr[[#This Row],[Land]]</f>
        <v>700</v>
      </c>
      <c r="B94" s="227">
        <f ca="1">TblConstr[[#This Row],[Plain]]</f>
        <v>0</v>
      </c>
      <c r="C94" s="185">
        <f ca="1">TblConstr[[#This Row],[Forest]]</f>
        <v>0</v>
      </c>
      <c r="D94" s="385">
        <f ca="1">TblConstr[[#This Row],[Mountain]]</f>
        <v>0</v>
      </c>
      <c r="E94" s="389">
        <f ca="1">TblConstr[[#This Row],[Hill]]</f>
        <v>0</v>
      </c>
      <c r="F94" s="393">
        <f ca="1">TblConstr[[#This Row],[Swamp]]</f>
        <v>0</v>
      </c>
      <c r="G94" s="188">
        <f ca="1">TblConstr[[#This Row],[Cavern]]</f>
        <v>0</v>
      </c>
      <c r="H94" s="189">
        <f ca="1">TblConstr[[#This Row],[Water]]</f>
        <v>0</v>
      </c>
      <c r="I94" s="226"/>
      <c r="J94" s="178">
        <f t="shared" si="3"/>
        <v>91</v>
      </c>
      <c r="K94" s="250">
        <f ca="1">TblImps[[#This Row],[Real time]]</f>
        <v>45433.499999999782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774328</v>
      </c>
      <c r="W94" s="226"/>
      <c r="X94" s="97">
        <f ca="1">ROUNDUP( (1-MIN(ROUND(facs_rezone_factor*TblRezone[[#This Row],[Facs]],4),facs_rezone_max) + tech_6_4*TblTech[[#This Row],[6-4]] + tech_10_2*TblTech[[#This Row],[10-2]] - IF(TblMagic[[#This Row],[Active Mechanical Genius]]&gt;0,mech_genius_bonus,0) + race_rezone_cost) * TblRezone[[#This Row],[Plat/acre*]],0)</f>
        <v>520</v>
      </c>
      <c r="Y94" s="97">
        <f ca="1">TblRezone[[#This Row],[Total acres]]*TblRezone[[#This Row],[Plat/acre]]</f>
        <v>0</v>
      </c>
      <c r="Z94" s="226"/>
      <c r="AA94" s="97">
        <f ca="1">250+0.6*(TblRezone[[#This Row],[Land]]-250)</f>
        <v>520</v>
      </c>
      <c r="AB94" s="226"/>
      <c r="AC94" s="160">
        <f ca="1">TblConstr[[#This Row],[Facs DB]]</f>
        <v>0</v>
      </c>
    </row>
    <row r="95" spans="1:29" x14ac:dyDescent="0.2">
      <c r="A95" s="225">
        <f ca="1">TblConstr[[#This Row],[Land]]</f>
        <v>700</v>
      </c>
      <c r="B95" s="227">
        <f ca="1">TblConstr[[#This Row],[Plain]]</f>
        <v>0</v>
      </c>
      <c r="C95" s="185">
        <f ca="1">TblConstr[[#This Row],[Forest]]</f>
        <v>0</v>
      </c>
      <c r="D95" s="385">
        <f ca="1">TblConstr[[#This Row],[Mountain]]</f>
        <v>0</v>
      </c>
      <c r="E95" s="389">
        <f ca="1">TblConstr[[#This Row],[Hill]]</f>
        <v>0</v>
      </c>
      <c r="F95" s="393">
        <f ca="1">TblConstr[[#This Row],[Swamp]]</f>
        <v>0</v>
      </c>
      <c r="G95" s="188">
        <f ca="1">TblConstr[[#This Row],[Cavern]]</f>
        <v>0</v>
      </c>
      <c r="H95" s="189">
        <f ca="1">TblConstr[[#This Row],[Water]]</f>
        <v>0</v>
      </c>
      <c r="I95" s="226"/>
      <c r="J95" s="178">
        <f t="shared" si="3"/>
        <v>92</v>
      </c>
      <c r="K95" s="250">
        <f ca="1">TblImps[[#This Row],[Real time]]</f>
        <v>45433.541666666446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816693</v>
      </c>
      <c r="W95" s="226"/>
      <c r="X95" s="97">
        <f ca="1">ROUNDUP( (1-MIN(ROUND(facs_rezone_factor*TblRezone[[#This Row],[Facs]],4),facs_rezone_max) + tech_6_4*TblTech[[#This Row],[6-4]] + tech_10_2*TblTech[[#This Row],[10-2]] - IF(TblMagic[[#This Row],[Active Mechanical Genius]]&gt;0,mech_genius_bonus,0) + race_rezone_cost) * TblRezone[[#This Row],[Plat/acre*]],0)</f>
        <v>520</v>
      </c>
      <c r="Y95" s="97">
        <f ca="1">TblRezone[[#This Row],[Total acres]]*TblRezone[[#This Row],[Plat/acre]]</f>
        <v>0</v>
      </c>
      <c r="Z95" s="226"/>
      <c r="AA95" s="97">
        <f ca="1">250+0.6*(TblRezone[[#This Row],[Land]]-250)</f>
        <v>520</v>
      </c>
      <c r="AB95" s="226"/>
      <c r="AC95" s="160">
        <f ca="1">TblConstr[[#This Row],[Facs DB]]</f>
        <v>0</v>
      </c>
    </row>
    <row r="96" spans="1:29" x14ac:dyDescent="0.2">
      <c r="A96" s="225">
        <f ca="1">TblConstr[[#This Row],[Land]]</f>
        <v>700</v>
      </c>
      <c r="B96" s="227">
        <f ca="1">TblConstr[[#This Row],[Plain]]</f>
        <v>0</v>
      </c>
      <c r="C96" s="185">
        <f ca="1">TblConstr[[#This Row],[Forest]]</f>
        <v>0</v>
      </c>
      <c r="D96" s="385">
        <f ca="1">TblConstr[[#This Row],[Mountain]]</f>
        <v>0</v>
      </c>
      <c r="E96" s="389">
        <f ca="1">TblConstr[[#This Row],[Hill]]</f>
        <v>0</v>
      </c>
      <c r="F96" s="393">
        <f ca="1">TblConstr[[#This Row],[Swamp]]</f>
        <v>0</v>
      </c>
      <c r="G96" s="188">
        <f ca="1">TblConstr[[#This Row],[Cavern]]</f>
        <v>0</v>
      </c>
      <c r="H96" s="189">
        <f ca="1">TblConstr[[#This Row],[Water]]</f>
        <v>0</v>
      </c>
      <c r="I96" s="226"/>
      <c r="J96" s="178">
        <f t="shared" si="3"/>
        <v>93</v>
      </c>
      <c r="K96" s="250">
        <f ca="1">TblImps[[#This Row],[Real time]]</f>
        <v>45433.58333333311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858808</v>
      </c>
      <c r="W96" s="226"/>
      <c r="X96" s="97">
        <f ca="1">ROUNDUP( (1-MIN(ROUND(facs_rezone_factor*TblRezone[[#This Row],[Facs]],4),facs_rezone_max) + tech_6_4*TblTech[[#This Row],[6-4]] + tech_10_2*TblTech[[#This Row],[10-2]] - IF(TblMagic[[#This Row],[Active Mechanical Genius]]&gt;0,mech_genius_bonus,0) + race_rezone_cost) * TblRezone[[#This Row],[Plat/acre*]],0)</f>
        <v>520</v>
      </c>
      <c r="Y96" s="97">
        <f ca="1">TblRezone[[#This Row],[Total acres]]*TblRezone[[#This Row],[Plat/acre]]</f>
        <v>0</v>
      </c>
      <c r="Z96" s="226"/>
      <c r="AA96" s="97">
        <f ca="1">250+0.6*(TblRezone[[#This Row],[Land]]-250)</f>
        <v>520</v>
      </c>
      <c r="AB96" s="226"/>
      <c r="AC96" s="160">
        <f ca="1">TblConstr[[#This Row],[Facs DB]]</f>
        <v>0</v>
      </c>
    </row>
    <row r="97" spans="1:29" x14ac:dyDescent="0.2">
      <c r="A97" s="225">
        <f ca="1">TblConstr[[#This Row],[Land]]</f>
        <v>700</v>
      </c>
      <c r="B97" s="227">
        <f ca="1">TblConstr[[#This Row],[Plain]]</f>
        <v>0</v>
      </c>
      <c r="C97" s="185">
        <f ca="1">TblConstr[[#This Row],[Forest]]</f>
        <v>0</v>
      </c>
      <c r="D97" s="385">
        <f ca="1">TblConstr[[#This Row],[Mountain]]</f>
        <v>0</v>
      </c>
      <c r="E97" s="389">
        <f ca="1">TblConstr[[#This Row],[Hill]]</f>
        <v>0</v>
      </c>
      <c r="F97" s="393">
        <f ca="1">TblConstr[[#This Row],[Swamp]]</f>
        <v>0</v>
      </c>
      <c r="G97" s="188">
        <f ca="1">TblConstr[[#This Row],[Cavern]]</f>
        <v>0</v>
      </c>
      <c r="H97" s="189">
        <f ca="1">TblConstr[[#This Row],[Water]]</f>
        <v>0</v>
      </c>
      <c r="I97" s="226"/>
      <c r="J97" s="178">
        <f t="shared" si="3"/>
        <v>94</v>
      </c>
      <c r="K97" s="250">
        <f ca="1">TblImps[[#This Row],[Real time]]</f>
        <v>45433.624999999774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900677</v>
      </c>
      <c r="W97" s="226"/>
      <c r="X97" s="97">
        <f ca="1">ROUNDUP( (1-MIN(ROUND(facs_rezone_factor*TblRezone[[#This Row],[Facs]],4),facs_rezone_max) + tech_6_4*TblTech[[#This Row],[6-4]] + tech_10_2*TblTech[[#This Row],[10-2]] - IF(TblMagic[[#This Row],[Active Mechanical Genius]]&gt;0,mech_genius_bonus,0) + race_rezone_cost) * TblRezone[[#This Row],[Plat/acre*]],0)</f>
        <v>520</v>
      </c>
      <c r="Y97" s="97">
        <f ca="1">TblRezone[[#This Row],[Total acres]]*TblRezone[[#This Row],[Plat/acre]]</f>
        <v>0</v>
      </c>
      <c r="Z97" s="226"/>
      <c r="AA97" s="97">
        <f ca="1">250+0.6*(TblRezone[[#This Row],[Land]]-250)</f>
        <v>520</v>
      </c>
      <c r="AB97" s="226"/>
      <c r="AC97" s="160">
        <f ca="1">TblConstr[[#This Row],[Facs DB]]</f>
        <v>0</v>
      </c>
    </row>
    <row r="98" spans="1:29" x14ac:dyDescent="0.2">
      <c r="A98" s="225">
        <f ca="1">TblConstr[[#This Row],[Land]]</f>
        <v>700</v>
      </c>
      <c r="B98" s="227">
        <f ca="1">TblConstr[[#This Row],[Plain]]</f>
        <v>0</v>
      </c>
      <c r="C98" s="185">
        <f ca="1">TblConstr[[#This Row],[Forest]]</f>
        <v>0</v>
      </c>
      <c r="D98" s="385">
        <f ca="1">TblConstr[[#This Row],[Mountain]]</f>
        <v>0</v>
      </c>
      <c r="E98" s="389">
        <f ca="1">TblConstr[[#This Row],[Hill]]</f>
        <v>0</v>
      </c>
      <c r="F98" s="393">
        <f ca="1">TblConstr[[#This Row],[Swamp]]</f>
        <v>0</v>
      </c>
      <c r="G98" s="188">
        <f ca="1">TblConstr[[#This Row],[Cavern]]</f>
        <v>0</v>
      </c>
      <c r="H98" s="189">
        <f ca="1">TblConstr[[#This Row],[Water]]</f>
        <v>0</v>
      </c>
      <c r="I98" s="226"/>
      <c r="J98" s="178">
        <f t="shared" si="3"/>
        <v>95</v>
      </c>
      <c r="K98" s="250">
        <f ca="1">TblImps[[#This Row],[Real time]]</f>
        <v>45433.666666666439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942302</v>
      </c>
      <c r="W98" s="226"/>
      <c r="X98" s="97">
        <f ca="1">ROUNDUP( (1-MIN(ROUND(facs_rezone_factor*TblRezone[[#This Row],[Facs]],4),facs_rezone_max) + tech_6_4*TblTech[[#This Row],[6-4]] + tech_10_2*TblTech[[#This Row],[10-2]] - IF(TblMagic[[#This Row],[Active Mechanical Genius]]&gt;0,mech_genius_bonus,0) + race_rezone_cost) * TblRezone[[#This Row],[Plat/acre*]],0)</f>
        <v>520</v>
      </c>
      <c r="Y98" s="97">
        <f ca="1">TblRezone[[#This Row],[Total acres]]*TblRezone[[#This Row],[Plat/acre]]</f>
        <v>0</v>
      </c>
      <c r="Z98" s="226"/>
      <c r="AA98" s="97">
        <f ca="1">250+0.6*(TblRezone[[#This Row],[Land]]-250)</f>
        <v>520</v>
      </c>
      <c r="AB98" s="226"/>
      <c r="AC98" s="160">
        <f ca="1">TblConstr[[#This Row],[Facs DB]]</f>
        <v>0</v>
      </c>
    </row>
    <row r="99" spans="1:29" x14ac:dyDescent="0.2">
      <c r="A99" s="225">
        <f ca="1">TblConstr[[#This Row],[Land]]</f>
        <v>700</v>
      </c>
      <c r="B99" s="227">
        <f ca="1">TblConstr[[#This Row],[Plain]]</f>
        <v>0</v>
      </c>
      <c r="C99" s="185">
        <f ca="1">TblConstr[[#This Row],[Forest]]</f>
        <v>0</v>
      </c>
      <c r="D99" s="385">
        <f ca="1">TblConstr[[#This Row],[Mountain]]</f>
        <v>0</v>
      </c>
      <c r="E99" s="389">
        <f ca="1">TblConstr[[#This Row],[Hill]]</f>
        <v>0</v>
      </c>
      <c r="F99" s="393">
        <f ca="1">TblConstr[[#This Row],[Swamp]]</f>
        <v>0</v>
      </c>
      <c r="G99" s="188">
        <f ca="1">TblConstr[[#This Row],[Cavern]]</f>
        <v>0</v>
      </c>
      <c r="H99" s="189">
        <f ca="1">TblConstr[[#This Row],[Water]]</f>
        <v>0</v>
      </c>
      <c r="I99" s="226"/>
      <c r="J99" s="178">
        <f t="shared" si="3"/>
        <v>96</v>
      </c>
      <c r="K99" s="250">
        <f ca="1">TblImps[[#This Row],[Real time]]</f>
        <v>45433.708333333103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983687</v>
      </c>
      <c r="W99" s="226"/>
      <c r="X99" s="97">
        <f ca="1">ROUNDUP( (1-MIN(ROUND(facs_rezone_factor*TblRezone[[#This Row],[Facs]],4),facs_rezone_max) + tech_6_4*TblTech[[#This Row],[6-4]] + tech_10_2*TblTech[[#This Row],[10-2]] - IF(TblMagic[[#This Row],[Active Mechanical Genius]]&gt;0,mech_genius_bonus,0) + race_rezone_cost) * TblRezone[[#This Row],[Plat/acre*]],0)</f>
        <v>520</v>
      </c>
      <c r="Y99" s="97">
        <f ca="1">TblRezone[[#This Row],[Total acres]]*TblRezone[[#This Row],[Plat/acre]]</f>
        <v>0</v>
      </c>
      <c r="Z99" s="226"/>
      <c r="AA99" s="97">
        <f ca="1">250+0.6*(TblRezone[[#This Row],[Land]]-250)</f>
        <v>520</v>
      </c>
      <c r="AB99" s="226"/>
      <c r="AC99" s="160">
        <f ca="1">TblConstr[[#This Row],[Facs DB]]</f>
        <v>0</v>
      </c>
    </row>
    <row r="100" spans="1:29" x14ac:dyDescent="0.2">
      <c r="A100" s="225">
        <f ca="1">TblConstr[[#This Row],[Land]]</f>
        <v>700</v>
      </c>
      <c r="B100" s="227">
        <f ca="1">TblConstr[[#This Row],[Plain]]</f>
        <v>0</v>
      </c>
      <c r="C100" s="185">
        <f ca="1">TblConstr[[#This Row],[Forest]]</f>
        <v>0</v>
      </c>
      <c r="D100" s="385">
        <f ca="1">TblConstr[[#This Row],[Mountain]]</f>
        <v>0</v>
      </c>
      <c r="E100" s="389">
        <f ca="1">TblConstr[[#This Row],[Hill]]</f>
        <v>0</v>
      </c>
      <c r="F100" s="393">
        <f ca="1">TblConstr[[#This Row],[Swamp]]</f>
        <v>0</v>
      </c>
      <c r="G100" s="188">
        <f ca="1">TblConstr[[#This Row],[Cavern]]</f>
        <v>0</v>
      </c>
      <c r="H100" s="189">
        <f ca="1">TblConstr[[#This Row],[Water]]</f>
        <v>0</v>
      </c>
      <c r="I100" s="226"/>
      <c r="J100" s="178">
        <f t="shared" si="3"/>
        <v>97</v>
      </c>
      <c r="K100" s="250">
        <f ca="1">TblImps[[#This Row],[Real time]]</f>
        <v>45433.749999999767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1024834</v>
      </c>
      <c r="W100" s="226"/>
      <c r="X100" s="97">
        <f ca="1">ROUNDUP( (1-MIN(ROUND(facs_rezone_factor*TblRezone[[#This Row],[Facs]],4),facs_rezone_max) + tech_6_4*TblTech[[#This Row],[6-4]] + tech_10_2*TblTech[[#This Row],[10-2]] - IF(TblMagic[[#This Row],[Active Mechanical Genius]]&gt;0,mech_genius_bonus,0) + race_rezone_cost) * TblRezone[[#This Row],[Plat/acre*]],0)</f>
        <v>520</v>
      </c>
      <c r="Y100" s="97">
        <f ca="1">TblRezone[[#This Row],[Total acres]]*TblRezone[[#This Row],[Plat/acre]]</f>
        <v>0</v>
      </c>
      <c r="Z100" s="226"/>
      <c r="AA100" s="97">
        <f ca="1">250+0.6*(TblRezone[[#This Row],[Land]]-250)</f>
        <v>520</v>
      </c>
      <c r="AB100" s="226"/>
      <c r="AC100" s="160">
        <f ca="1">TblConstr[[#This Row],[Facs DB]]</f>
        <v>0</v>
      </c>
    </row>
    <row r="101" spans="1:29" x14ac:dyDescent="0.2">
      <c r="A101" s="225">
        <f ca="1">TblConstr[[#This Row],[Land]]</f>
        <v>700</v>
      </c>
      <c r="B101" s="227">
        <f ca="1">TblConstr[[#This Row],[Plain]]</f>
        <v>0</v>
      </c>
      <c r="C101" s="185">
        <f ca="1">TblConstr[[#This Row],[Forest]]</f>
        <v>0</v>
      </c>
      <c r="D101" s="385">
        <f ca="1">TblConstr[[#This Row],[Mountain]]</f>
        <v>0</v>
      </c>
      <c r="E101" s="389">
        <f ca="1">TblConstr[[#This Row],[Hill]]</f>
        <v>0</v>
      </c>
      <c r="F101" s="393">
        <f ca="1">TblConstr[[#This Row],[Swamp]]</f>
        <v>0</v>
      </c>
      <c r="G101" s="188">
        <f ca="1">TblConstr[[#This Row],[Cavern]]</f>
        <v>0</v>
      </c>
      <c r="H101" s="189">
        <f ca="1">TblConstr[[#This Row],[Water]]</f>
        <v>0</v>
      </c>
      <c r="I101" s="226"/>
      <c r="J101" s="178">
        <f t="shared" si="3"/>
        <v>98</v>
      </c>
      <c r="K101" s="250">
        <f ca="1">TblImps[[#This Row],[Real time]]</f>
        <v>45433.791666666431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1065746</v>
      </c>
      <c r="W101" s="226"/>
      <c r="X101" s="97">
        <f ca="1">ROUNDUP( (1-MIN(ROUND(facs_rezone_factor*TblRezone[[#This Row],[Facs]],4),facs_rezone_max) + tech_6_4*TblTech[[#This Row],[6-4]] + tech_10_2*TblTech[[#This Row],[10-2]] - IF(TblMagic[[#This Row],[Active Mechanical Genius]]&gt;0,mech_genius_bonus,0) + race_rezone_cost) * TblRezone[[#This Row],[Plat/acre*]],0)</f>
        <v>520</v>
      </c>
      <c r="Y101" s="97">
        <f ca="1">TblRezone[[#This Row],[Total acres]]*TblRezone[[#This Row],[Plat/acre]]</f>
        <v>0</v>
      </c>
      <c r="Z101" s="226"/>
      <c r="AA101" s="97">
        <f ca="1">250+0.6*(TblRezone[[#This Row],[Land]]-250)</f>
        <v>520</v>
      </c>
      <c r="AB101" s="226"/>
      <c r="AC101" s="160">
        <f ca="1">TblConstr[[#This Row],[Facs DB]]</f>
        <v>0</v>
      </c>
    </row>
    <row r="102" spans="1:29" x14ac:dyDescent="0.2">
      <c r="A102" s="225">
        <f ca="1">TblConstr[[#This Row],[Land]]</f>
        <v>700</v>
      </c>
      <c r="B102" s="227">
        <f ca="1">TblConstr[[#This Row],[Plain]]</f>
        <v>0</v>
      </c>
      <c r="C102" s="185">
        <f ca="1">TblConstr[[#This Row],[Forest]]</f>
        <v>0</v>
      </c>
      <c r="D102" s="385">
        <f ca="1">TblConstr[[#This Row],[Mountain]]</f>
        <v>0</v>
      </c>
      <c r="E102" s="389">
        <f ca="1">TblConstr[[#This Row],[Hill]]</f>
        <v>0</v>
      </c>
      <c r="F102" s="393">
        <f ca="1">TblConstr[[#This Row],[Swamp]]</f>
        <v>0</v>
      </c>
      <c r="G102" s="188">
        <f ca="1">TblConstr[[#This Row],[Cavern]]</f>
        <v>0</v>
      </c>
      <c r="H102" s="189">
        <f ca="1">TblConstr[[#This Row],[Water]]</f>
        <v>0</v>
      </c>
      <c r="I102" s="226"/>
      <c r="J102" s="178">
        <f t="shared" si="3"/>
        <v>99</v>
      </c>
      <c r="K102" s="250">
        <f ca="1">TblImps[[#This Row],[Real time]]</f>
        <v>45433.833333333096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1106424</v>
      </c>
      <c r="W102" s="226"/>
      <c r="X102" s="97">
        <f ca="1">ROUNDUP( (1-MIN(ROUND(facs_rezone_factor*TblRezone[[#This Row],[Facs]],4),facs_rezone_max) + tech_6_4*TblTech[[#This Row],[6-4]] + tech_10_2*TblTech[[#This Row],[10-2]] - IF(TblMagic[[#This Row],[Active Mechanical Genius]]&gt;0,mech_genius_bonus,0) + race_rezone_cost) * TblRezone[[#This Row],[Plat/acre*]],0)</f>
        <v>520</v>
      </c>
      <c r="Y102" s="97">
        <f ca="1">TblRezone[[#This Row],[Total acres]]*TblRezone[[#This Row],[Plat/acre]]</f>
        <v>0</v>
      </c>
      <c r="Z102" s="226"/>
      <c r="AA102" s="97">
        <f ca="1">250+0.6*(TblRezone[[#This Row],[Land]]-250)</f>
        <v>520</v>
      </c>
      <c r="AB102" s="226"/>
      <c r="AC102" s="160">
        <f ca="1">TblConstr[[#This Row],[Facs DB]]</f>
        <v>0</v>
      </c>
    </row>
    <row r="103" spans="1:29" x14ac:dyDescent="0.2">
      <c r="A103" s="225">
        <f ca="1">TblConstr[[#This Row],[Land]]</f>
        <v>700</v>
      </c>
      <c r="B103" s="227">
        <f ca="1">TblConstr[[#This Row],[Plain]]</f>
        <v>0</v>
      </c>
      <c r="C103" s="185">
        <f ca="1">TblConstr[[#This Row],[Forest]]</f>
        <v>0</v>
      </c>
      <c r="D103" s="385">
        <f ca="1">TblConstr[[#This Row],[Mountain]]</f>
        <v>0</v>
      </c>
      <c r="E103" s="389">
        <f ca="1">TblConstr[[#This Row],[Hill]]</f>
        <v>0</v>
      </c>
      <c r="F103" s="393">
        <f ca="1">TblConstr[[#This Row],[Swamp]]</f>
        <v>0</v>
      </c>
      <c r="G103" s="188">
        <f ca="1">TblConstr[[#This Row],[Cavern]]</f>
        <v>0</v>
      </c>
      <c r="H103" s="189">
        <f ca="1">TblConstr[[#This Row],[Water]]</f>
        <v>0</v>
      </c>
      <c r="I103" s="226"/>
      <c r="J103" s="178">
        <f t="shared" si="3"/>
        <v>100</v>
      </c>
      <c r="K103" s="250">
        <f ca="1">TblImps[[#This Row],[Real time]]</f>
        <v>45433.87499999976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1146870</v>
      </c>
      <c r="W103" s="226"/>
      <c r="X103" s="97">
        <f ca="1">ROUNDUP( (1-MIN(ROUND(facs_rezone_factor*TblRezone[[#This Row],[Facs]],4),facs_rezone_max) + tech_6_4*TblTech[[#This Row],[6-4]] + tech_10_2*TblTech[[#This Row],[10-2]] - IF(TblMagic[[#This Row],[Active Mechanical Genius]]&gt;0,mech_genius_bonus,0) + race_rezone_cost) * TblRezone[[#This Row],[Plat/acre*]],0)</f>
        <v>520</v>
      </c>
      <c r="Y103" s="97">
        <f ca="1">TblRezone[[#This Row],[Total acres]]*TblRezone[[#This Row],[Plat/acre]]</f>
        <v>0</v>
      </c>
      <c r="Z103" s="226"/>
      <c r="AA103" s="97">
        <f ca="1">250+0.6*(TblRezone[[#This Row],[Land]]-250)</f>
        <v>520</v>
      </c>
      <c r="AB103" s="226"/>
      <c r="AC103" s="160">
        <f ca="1">TblConstr[[#This Row],[Facs DB]]</f>
        <v>0</v>
      </c>
    </row>
    <row r="104" spans="1:29" x14ac:dyDescent="0.2">
      <c r="A104" s="225">
        <f ca="1">TblConstr[[#This Row],[Land]]</f>
        <v>700</v>
      </c>
      <c r="B104" s="227">
        <f ca="1">TblConstr[[#This Row],[Plain]]</f>
        <v>0</v>
      </c>
      <c r="C104" s="185">
        <f ca="1">TblConstr[[#This Row],[Forest]]</f>
        <v>0</v>
      </c>
      <c r="D104" s="385">
        <f ca="1">TblConstr[[#This Row],[Mountain]]</f>
        <v>0</v>
      </c>
      <c r="E104" s="389">
        <f ca="1">TblConstr[[#This Row],[Hill]]</f>
        <v>0</v>
      </c>
      <c r="F104" s="393">
        <f ca="1">TblConstr[[#This Row],[Swamp]]</f>
        <v>0</v>
      </c>
      <c r="G104" s="188">
        <f ca="1">TblConstr[[#This Row],[Cavern]]</f>
        <v>0</v>
      </c>
      <c r="H104" s="189">
        <f ca="1">TblConstr[[#This Row],[Water]]</f>
        <v>0</v>
      </c>
      <c r="I104" s="226"/>
      <c r="J104" s="178">
        <f t="shared" si="3"/>
        <v>101</v>
      </c>
      <c r="K104" s="250">
        <f ca="1">TblImps[[#This Row],[Real time]]</f>
        <v>45433.916666666424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1187087</v>
      </c>
      <c r="W104" s="226"/>
      <c r="X104" s="97">
        <f ca="1">ROUNDUP( (1-MIN(ROUND(facs_rezone_factor*TblRezone[[#This Row],[Facs]],4),facs_rezone_max) + tech_6_4*TblTech[[#This Row],[6-4]] + tech_10_2*TblTech[[#This Row],[10-2]] - IF(TblMagic[[#This Row],[Active Mechanical Genius]]&gt;0,mech_genius_bonus,0) + race_rezone_cost) * TblRezone[[#This Row],[Plat/acre*]],0)</f>
        <v>520</v>
      </c>
      <c r="Y104" s="97">
        <f ca="1">TblRezone[[#This Row],[Total acres]]*TblRezone[[#This Row],[Plat/acre]]</f>
        <v>0</v>
      </c>
      <c r="Z104" s="226"/>
      <c r="AA104" s="97">
        <f ca="1">250+0.6*(TblRezone[[#This Row],[Land]]-250)</f>
        <v>520</v>
      </c>
      <c r="AB104" s="226"/>
      <c r="AC104" s="160">
        <f ca="1">TblConstr[[#This Row],[Facs DB]]</f>
        <v>0</v>
      </c>
    </row>
    <row r="105" spans="1:29" x14ac:dyDescent="0.2">
      <c r="A105" s="225">
        <f ca="1">TblConstr[[#This Row],[Land]]</f>
        <v>700</v>
      </c>
      <c r="B105" s="227">
        <f ca="1">TblConstr[[#This Row],[Plain]]</f>
        <v>0</v>
      </c>
      <c r="C105" s="185">
        <f ca="1">TblConstr[[#This Row],[Forest]]</f>
        <v>0</v>
      </c>
      <c r="D105" s="385">
        <f ca="1">TblConstr[[#This Row],[Mountain]]</f>
        <v>0</v>
      </c>
      <c r="E105" s="389">
        <f ca="1">TblConstr[[#This Row],[Hill]]</f>
        <v>0</v>
      </c>
      <c r="F105" s="393">
        <f ca="1">TblConstr[[#This Row],[Swamp]]</f>
        <v>0</v>
      </c>
      <c r="G105" s="188">
        <f ca="1">TblConstr[[#This Row],[Cavern]]</f>
        <v>0</v>
      </c>
      <c r="H105" s="189">
        <f ca="1">TblConstr[[#This Row],[Water]]</f>
        <v>0</v>
      </c>
      <c r="I105" s="226"/>
      <c r="J105" s="178">
        <f t="shared" si="3"/>
        <v>102</v>
      </c>
      <c r="K105" s="250">
        <f ca="1">TblImps[[#This Row],[Real time]]</f>
        <v>45433.958333333088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1227079</v>
      </c>
      <c r="W105" s="226"/>
      <c r="X105" s="97">
        <f ca="1">ROUNDUP( (1-MIN(ROUND(facs_rezone_factor*TblRezone[[#This Row],[Facs]],4),facs_rezone_max) + tech_6_4*TblTech[[#This Row],[6-4]] + tech_10_2*TblTech[[#This Row],[10-2]] - IF(TblMagic[[#This Row],[Active Mechanical Genius]]&gt;0,mech_genius_bonus,0) + race_rezone_cost) * TblRezone[[#This Row],[Plat/acre*]],0)</f>
        <v>520</v>
      </c>
      <c r="Y105" s="97">
        <f ca="1">TblRezone[[#This Row],[Total acres]]*TblRezone[[#This Row],[Plat/acre]]</f>
        <v>0</v>
      </c>
      <c r="Z105" s="226"/>
      <c r="AA105" s="97">
        <f ca="1">250+0.6*(TblRezone[[#This Row],[Land]]-250)</f>
        <v>520</v>
      </c>
      <c r="AB105" s="226"/>
      <c r="AC105" s="160">
        <f ca="1">TblConstr[[#This Row],[Facs DB]]</f>
        <v>0</v>
      </c>
    </row>
    <row r="106" spans="1:29" x14ac:dyDescent="0.2">
      <c r="A106" s="225">
        <f ca="1">TblConstr[[#This Row],[Land]]</f>
        <v>700</v>
      </c>
      <c r="B106" s="227">
        <f ca="1">TblConstr[[#This Row],[Plain]]</f>
        <v>0</v>
      </c>
      <c r="C106" s="185">
        <f ca="1">TblConstr[[#This Row],[Forest]]</f>
        <v>0</v>
      </c>
      <c r="D106" s="385">
        <f ca="1">TblConstr[[#This Row],[Mountain]]</f>
        <v>0</v>
      </c>
      <c r="E106" s="389">
        <f ca="1">TblConstr[[#This Row],[Hill]]</f>
        <v>0</v>
      </c>
      <c r="F106" s="393">
        <f ca="1">TblConstr[[#This Row],[Swamp]]</f>
        <v>0</v>
      </c>
      <c r="G106" s="188">
        <f ca="1">TblConstr[[#This Row],[Cavern]]</f>
        <v>0</v>
      </c>
      <c r="H106" s="189">
        <f ca="1">TblConstr[[#This Row],[Water]]</f>
        <v>0</v>
      </c>
      <c r="I106" s="226"/>
      <c r="J106" s="178">
        <f t="shared" si="3"/>
        <v>103</v>
      </c>
      <c r="K106" s="250">
        <f ca="1">TblImps[[#This Row],[Real time]]</f>
        <v>45433.999999999753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1266845</v>
      </c>
      <c r="W106" s="226"/>
      <c r="X106" s="97">
        <f ca="1">ROUNDUP( (1-MIN(ROUND(facs_rezone_factor*TblRezone[[#This Row],[Facs]],4),facs_rezone_max) + tech_6_4*TblTech[[#This Row],[6-4]] + tech_10_2*TblTech[[#This Row],[10-2]] - IF(TblMagic[[#This Row],[Active Mechanical Genius]]&gt;0,mech_genius_bonus,0) + race_rezone_cost) * TblRezone[[#This Row],[Plat/acre*]],0)</f>
        <v>520</v>
      </c>
      <c r="Y106" s="97">
        <f ca="1">TblRezone[[#This Row],[Total acres]]*TblRezone[[#This Row],[Plat/acre]]</f>
        <v>0</v>
      </c>
      <c r="Z106" s="226"/>
      <c r="AA106" s="97">
        <f ca="1">250+0.6*(TblRezone[[#This Row],[Land]]-250)</f>
        <v>520</v>
      </c>
      <c r="AB106" s="226"/>
      <c r="AC106" s="160">
        <f ca="1">TblConstr[[#This Row],[Facs DB]]</f>
        <v>0</v>
      </c>
    </row>
    <row r="107" spans="1:29" x14ac:dyDescent="0.2">
      <c r="A107" s="225">
        <f ca="1">TblConstr[[#This Row],[Land]]</f>
        <v>700</v>
      </c>
      <c r="B107" s="227">
        <f ca="1">TblConstr[[#This Row],[Plain]]</f>
        <v>0</v>
      </c>
      <c r="C107" s="185">
        <f ca="1">TblConstr[[#This Row],[Forest]]</f>
        <v>0</v>
      </c>
      <c r="D107" s="385">
        <f ca="1">TblConstr[[#This Row],[Mountain]]</f>
        <v>0</v>
      </c>
      <c r="E107" s="389">
        <f ca="1">TblConstr[[#This Row],[Hill]]</f>
        <v>0</v>
      </c>
      <c r="F107" s="393">
        <f ca="1">TblConstr[[#This Row],[Swamp]]</f>
        <v>0</v>
      </c>
      <c r="G107" s="188">
        <f ca="1">TblConstr[[#This Row],[Cavern]]</f>
        <v>0</v>
      </c>
      <c r="H107" s="189">
        <f ca="1">TblConstr[[#This Row],[Water]]</f>
        <v>0</v>
      </c>
      <c r="I107" s="226"/>
      <c r="J107" s="178">
        <f t="shared" si="3"/>
        <v>104</v>
      </c>
      <c r="K107" s="250">
        <f ca="1">TblImps[[#This Row],[Real time]]</f>
        <v>45434.041666666417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1306388</v>
      </c>
      <c r="W107" s="226"/>
      <c r="X107" s="97">
        <f ca="1">ROUNDUP( (1-MIN(ROUND(facs_rezone_factor*TblRezone[[#This Row],[Facs]],4),facs_rezone_max) + tech_6_4*TblTech[[#This Row],[6-4]] + tech_10_2*TblTech[[#This Row],[10-2]] - IF(TblMagic[[#This Row],[Active Mechanical Genius]]&gt;0,mech_genius_bonus,0) + race_rezone_cost) * TblRezone[[#This Row],[Plat/acre*]],0)</f>
        <v>520</v>
      </c>
      <c r="Y107" s="97">
        <f ca="1">TblRezone[[#This Row],[Total acres]]*TblRezone[[#This Row],[Plat/acre]]</f>
        <v>0</v>
      </c>
      <c r="Z107" s="226"/>
      <c r="AA107" s="97">
        <f ca="1">250+0.6*(TblRezone[[#This Row],[Land]]-250)</f>
        <v>520</v>
      </c>
      <c r="AB107" s="226"/>
      <c r="AC107" s="160">
        <f ca="1">TblConstr[[#This Row],[Facs DB]]</f>
        <v>0</v>
      </c>
    </row>
    <row r="108" spans="1:29" x14ac:dyDescent="0.2">
      <c r="A108" s="225">
        <f ca="1">TblConstr[[#This Row],[Land]]</f>
        <v>700</v>
      </c>
      <c r="B108" s="227">
        <f ca="1">TblConstr[[#This Row],[Plain]]</f>
        <v>0</v>
      </c>
      <c r="C108" s="185">
        <f ca="1">TblConstr[[#This Row],[Forest]]</f>
        <v>0</v>
      </c>
      <c r="D108" s="385">
        <f ca="1">TblConstr[[#This Row],[Mountain]]</f>
        <v>0</v>
      </c>
      <c r="E108" s="389">
        <f ca="1">TblConstr[[#This Row],[Hill]]</f>
        <v>0</v>
      </c>
      <c r="F108" s="393">
        <f ca="1">TblConstr[[#This Row],[Swamp]]</f>
        <v>0</v>
      </c>
      <c r="G108" s="188">
        <f ca="1">TblConstr[[#This Row],[Cavern]]</f>
        <v>0</v>
      </c>
      <c r="H108" s="189">
        <f ca="1">TblConstr[[#This Row],[Water]]</f>
        <v>0</v>
      </c>
      <c r="I108" s="226"/>
      <c r="J108" s="178">
        <f t="shared" si="3"/>
        <v>105</v>
      </c>
      <c r="K108" s="250">
        <f ca="1">TblImps[[#This Row],[Real time]]</f>
        <v>45434.083333333081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1345712</v>
      </c>
      <c r="W108" s="226"/>
      <c r="X108" s="97">
        <f ca="1">ROUNDUP( (1-MIN(ROUND(facs_rezone_factor*TblRezone[[#This Row],[Facs]],4),facs_rezone_max) + tech_6_4*TblTech[[#This Row],[6-4]] + tech_10_2*TblTech[[#This Row],[10-2]] - IF(TblMagic[[#This Row],[Active Mechanical Genius]]&gt;0,mech_genius_bonus,0) + race_rezone_cost) * TblRezone[[#This Row],[Plat/acre*]],0)</f>
        <v>520</v>
      </c>
      <c r="Y108" s="97">
        <f ca="1">TblRezone[[#This Row],[Total acres]]*TblRezone[[#This Row],[Plat/acre]]</f>
        <v>0</v>
      </c>
      <c r="Z108" s="226"/>
      <c r="AA108" s="97">
        <f ca="1">250+0.6*(TblRezone[[#This Row],[Land]]-250)</f>
        <v>520</v>
      </c>
      <c r="AB108" s="226"/>
      <c r="AC108" s="160">
        <f ca="1">TblConstr[[#This Row],[Facs DB]]</f>
        <v>0</v>
      </c>
    </row>
    <row r="109" spans="1:29" x14ac:dyDescent="0.2">
      <c r="A109" s="225">
        <f ca="1">TblConstr[[#This Row],[Land]]</f>
        <v>700</v>
      </c>
      <c r="B109" s="227">
        <f ca="1">TblConstr[[#This Row],[Plain]]</f>
        <v>0</v>
      </c>
      <c r="C109" s="185">
        <f ca="1">TblConstr[[#This Row],[Forest]]</f>
        <v>0</v>
      </c>
      <c r="D109" s="385">
        <f ca="1">TblConstr[[#This Row],[Mountain]]</f>
        <v>0</v>
      </c>
      <c r="E109" s="389">
        <f ca="1">TblConstr[[#This Row],[Hill]]</f>
        <v>0</v>
      </c>
      <c r="F109" s="393">
        <f ca="1">TblConstr[[#This Row],[Swamp]]</f>
        <v>0</v>
      </c>
      <c r="G109" s="188">
        <f ca="1">TblConstr[[#This Row],[Cavern]]</f>
        <v>0</v>
      </c>
      <c r="H109" s="189">
        <f ca="1">TblConstr[[#This Row],[Water]]</f>
        <v>0</v>
      </c>
      <c r="I109" s="226"/>
      <c r="J109" s="178">
        <f t="shared" si="3"/>
        <v>106</v>
      </c>
      <c r="K109" s="250">
        <f ca="1">TblImps[[#This Row],[Real time]]</f>
        <v>45434.124999999745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1384819</v>
      </c>
      <c r="W109" s="226"/>
      <c r="X109" s="97">
        <f ca="1">ROUNDUP( (1-MIN(ROUND(facs_rezone_factor*TblRezone[[#This Row],[Facs]],4),facs_rezone_max) + tech_6_4*TblTech[[#This Row],[6-4]] + tech_10_2*TblTech[[#This Row],[10-2]] - IF(TblMagic[[#This Row],[Active Mechanical Genius]]&gt;0,mech_genius_bonus,0) + race_rezone_cost) * TblRezone[[#This Row],[Plat/acre*]],0)</f>
        <v>520</v>
      </c>
      <c r="Y109" s="97">
        <f ca="1">TblRezone[[#This Row],[Total acres]]*TblRezone[[#This Row],[Plat/acre]]</f>
        <v>0</v>
      </c>
      <c r="Z109" s="226"/>
      <c r="AA109" s="97">
        <f ca="1">250+0.6*(TblRezone[[#This Row],[Land]]-250)</f>
        <v>520</v>
      </c>
      <c r="AB109" s="226"/>
      <c r="AC109" s="160">
        <f ca="1">TblConstr[[#This Row],[Facs DB]]</f>
        <v>0</v>
      </c>
    </row>
    <row r="110" spans="1:29" x14ac:dyDescent="0.2">
      <c r="A110" s="225">
        <f ca="1">TblConstr[[#This Row],[Land]]</f>
        <v>700</v>
      </c>
      <c r="B110" s="227">
        <f ca="1">TblConstr[[#This Row],[Plain]]</f>
        <v>0</v>
      </c>
      <c r="C110" s="185">
        <f ca="1">TblConstr[[#This Row],[Forest]]</f>
        <v>0</v>
      </c>
      <c r="D110" s="385">
        <f ca="1">TblConstr[[#This Row],[Mountain]]</f>
        <v>0</v>
      </c>
      <c r="E110" s="389">
        <f ca="1">TblConstr[[#This Row],[Hill]]</f>
        <v>0</v>
      </c>
      <c r="F110" s="393">
        <f ca="1">TblConstr[[#This Row],[Swamp]]</f>
        <v>0</v>
      </c>
      <c r="G110" s="188">
        <f ca="1">TblConstr[[#This Row],[Cavern]]</f>
        <v>0</v>
      </c>
      <c r="H110" s="189">
        <f ca="1">TblConstr[[#This Row],[Water]]</f>
        <v>0</v>
      </c>
      <c r="I110" s="226"/>
      <c r="J110" s="178">
        <f t="shared" si="3"/>
        <v>107</v>
      </c>
      <c r="K110" s="250">
        <f ca="1">TblImps[[#This Row],[Real time]]</f>
        <v>45434.16666666641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1423709</v>
      </c>
      <c r="W110" s="226"/>
      <c r="X110" s="97">
        <f ca="1">ROUNDUP( (1-MIN(ROUND(facs_rezone_factor*TblRezone[[#This Row],[Facs]],4),facs_rezone_max) + tech_6_4*TblTech[[#This Row],[6-4]] + tech_10_2*TblTech[[#This Row],[10-2]] - IF(TblMagic[[#This Row],[Active Mechanical Genius]]&gt;0,mech_genius_bonus,0) + race_rezone_cost) * TblRezone[[#This Row],[Plat/acre*]],0)</f>
        <v>520</v>
      </c>
      <c r="Y110" s="97">
        <f ca="1">TblRezone[[#This Row],[Total acres]]*TblRezone[[#This Row],[Plat/acre]]</f>
        <v>0</v>
      </c>
      <c r="Z110" s="226"/>
      <c r="AA110" s="97">
        <f ca="1">250+0.6*(TblRezone[[#This Row],[Land]]-250)</f>
        <v>520</v>
      </c>
      <c r="AB110" s="226"/>
      <c r="AC110" s="160">
        <f ca="1">TblConstr[[#This Row],[Facs DB]]</f>
        <v>0</v>
      </c>
    </row>
    <row r="111" spans="1:29" x14ac:dyDescent="0.2">
      <c r="A111" s="225">
        <f ca="1">TblConstr[[#This Row],[Land]]</f>
        <v>700</v>
      </c>
      <c r="B111" s="227">
        <f ca="1">TblConstr[[#This Row],[Plain]]</f>
        <v>0</v>
      </c>
      <c r="C111" s="185">
        <f ca="1">TblConstr[[#This Row],[Forest]]</f>
        <v>0</v>
      </c>
      <c r="D111" s="385">
        <f ca="1">TblConstr[[#This Row],[Mountain]]</f>
        <v>0</v>
      </c>
      <c r="E111" s="389">
        <f ca="1">TblConstr[[#This Row],[Hill]]</f>
        <v>0</v>
      </c>
      <c r="F111" s="393">
        <f ca="1">TblConstr[[#This Row],[Swamp]]</f>
        <v>0</v>
      </c>
      <c r="G111" s="188">
        <f ca="1">TblConstr[[#This Row],[Cavern]]</f>
        <v>0</v>
      </c>
      <c r="H111" s="189">
        <f ca="1">TblConstr[[#This Row],[Water]]</f>
        <v>0</v>
      </c>
      <c r="I111" s="226"/>
      <c r="J111" s="178">
        <f t="shared" si="3"/>
        <v>108</v>
      </c>
      <c r="K111" s="250">
        <f ca="1">TblImps[[#This Row],[Real time]]</f>
        <v>45434.208333333074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1462385</v>
      </c>
      <c r="W111" s="226"/>
      <c r="X111" s="97">
        <f ca="1">ROUNDUP( (1-MIN(ROUND(facs_rezone_factor*TblRezone[[#This Row],[Facs]],4),facs_rezone_max) + tech_6_4*TblTech[[#This Row],[6-4]] + tech_10_2*TblTech[[#This Row],[10-2]] - IF(TblMagic[[#This Row],[Active Mechanical Genius]]&gt;0,mech_genius_bonus,0) + race_rezone_cost) * TblRezone[[#This Row],[Plat/acre*]],0)</f>
        <v>520</v>
      </c>
      <c r="Y111" s="97">
        <f ca="1">TblRezone[[#This Row],[Total acres]]*TblRezone[[#This Row],[Plat/acre]]</f>
        <v>0</v>
      </c>
      <c r="Z111" s="226"/>
      <c r="AA111" s="97">
        <f ca="1">250+0.6*(TblRezone[[#This Row],[Land]]-250)</f>
        <v>520</v>
      </c>
      <c r="AB111" s="226"/>
      <c r="AC111" s="160">
        <f ca="1">TblConstr[[#This Row],[Facs DB]]</f>
        <v>0</v>
      </c>
    </row>
    <row r="112" spans="1:29" x14ac:dyDescent="0.2">
      <c r="A112" s="225">
        <f ca="1">TblConstr[[#This Row],[Land]]</f>
        <v>700</v>
      </c>
      <c r="B112" s="227">
        <f ca="1">TblConstr[[#This Row],[Plain]]</f>
        <v>0</v>
      </c>
      <c r="C112" s="185">
        <f ca="1">TblConstr[[#This Row],[Forest]]</f>
        <v>0</v>
      </c>
      <c r="D112" s="385">
        <f ca="1">TblConstr[[#This Row],[Mountain]]</f>
        <v>0</v>
      </c>
      <c r="E112" s="389">
        <f ca="1">TblConstr[[#This Row],[Hill]]</f>
        <v>0</v>
      </c>
      <c r="F112" s="393">
        <f ca="1">TblConstr[[#This Row],[Swamp]]</f>
        <v>0</v>
      </c>
      <c r="G112" s="188">
        <f ca="1">TblConstr[[#This Row],[Cavern]]</f>
        <v>0</v>
      </c>
      <c r="H112" s="189">
        <f ca="1">TblConstr[[#This Row],[Water]]</f>
        <v>0</v>
      </c>
      <c r="I112" s="226"/>
      <c r="J112" s="178">
        <f t="shared" si="3"/>
        <v>109</v>
      </c>
      <c r="K112" s="250">
        <f ca="1">TblImps[[#This Row],[Real time]]</f>
        <v>45434.249999999738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1500850</v>
      </c>
      <c r="W112" s="226"/>
      <c r="X112" s="97">
        <f ca="1">ROUNDUP( (1-MIN(ROUND(facs_rezone_factor*TblRezone[[#This Row],[Facs]],4),facs_rezone_max) + tech_6_4*TblTech[[#This Row],[6-4]] + tech_10_2*TblTech[[#This Row],[10-2]] - IF(TblMagic[[#This Row],[Active Mechanical Genius]]&gt;0,mech_genius_bonus,0) + race_rezone_cost) * TblRezone[[#This Row],[Plat/acre*]],0)</f>
        <v>520</v>
      </c>
      <c r="Y112" s="97">
        <f ca="1">TblRezone[[#This Row],[Total acres]]*TblRezone[[#This Row],[Plat/acre]]</f>
        <v>0</v>
      </c>
      <c r="Z112" s="226"/>
      <c r="AA112" s="97">
        <f ca="1">250+0.6*(TblRezone[[#This Row],[Land]]-250)</f>
        <v>520</v>
      </c>
      <c r="AB112" s="226"/>
      <c r="AC112" s="160">
        <f ca="1">TblConstr[[#This Row],[Facs DB]]</f>
        <v>0</v>
      </c>
    </row>
    <row r="113" spans="1:29" x14ac:dyDescent="0.2">
      <c r="A113" s="225">
        <f ca="1">TblConstr[[#This Row],[Land]]</f>
        <v>700</v>
      </c>
      <c r="B113" s="227">
        <f ca="1">TblConstr[[#This Row],[Plain]]</f>
        <v>0</v>
      </c>
      <c r="C113" s="185">
        <f ca="1">TblConstr[[#This Row],[Forest]]</f>
        <v>0</v>
      </c>
      <c r="D113" s="385">
        <f ca="1">TblConstr[[#This Row],[Mountain]]</f>
        <v>0</v>
      </c>
      <c r="E113" s="389">
        <f ca="1">TblConstr[[#This Row],[Hill]]</f>
        <v>0</v>
      </c>
      <c r="F113" s="393">
        <f ca="1">TblConstr[[#This Row],[Swamp]]</f>
        <v>0</v>
      </c>
      <c r="G113" s="188">
        <f ca="1">TblConstr[[#This Row],[Cavern]]</f>
        <v>0</v>
      </c>
      <c r="H113" s="189">
        <f ca="1">TblConstr[[#This Row],[Water]]</f>
        <v>0</v>
      </c>
      <c r="I113" s="226"/>
      <c r="J113" s="178">
        <f t="shared" si="3"/>
        <v>110</v>
      </c>
      <c r="K113" s="250">
        <f ca="1">TblImps[[#This Row],[Real time]]</f>
        <v>45434.291666666402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1532054</v>
      </c>
      <c r="W113" s="226"/>
      <c r="X113" s="97">
        <f ca="1">ROUNDUP( (1-MIN(ROUND(facs_rezone_factor*TblRezone[[#This Row],[Facs]],4),facs_rezone_max) + tech_6_4*TblTech[[#This Row],[6-4]] + tech_10_2*TblTech[[#This Row],[10-2]] - IF(TblMagic[[#This Row],[Active Mechanical Genius]]&gt;0,mech_genius_bonus,0) + race_rezone_cost) * TblRezone[[#This Row],[Plat/acre*]],0)</f>
        <v>520</v>
      </c>
      <c r="Y113" s="97">
        <f ca="1">TblRezone[[#This Row],[Total acres]]*TblRezone[[#This Row],[Plat/acre]]</f>
        <v>0</v>
      </c>
      <c r="Z113" s="226"/>
      <c r="AA113" s="97">
        <f ca="1">250+0.6*(TblRezone[[#This Row],[Land]]-250)</f>
        <v>520</v>
      </c>
      <c r="AB113" s="226"/>
      <c r="AC113" s="160">
        <f ca="1">TblConstr[[#This Row],[Facs DB]]</f>
        <v>0</v>
      </c>
    </row>
    <row r="114" spans="1:29" x14ac:dyDescent="0.2">
      <c r="A114" s="225">
        <f ca="1">TblConstr[[#This Row],[Land]]</f>
        <v>700</v>
      </c>
      <c r="B114" s="227">
        <f ca="1">TblConstr[[#This Row],[Plain]]</f>
        <v>0</v>
      </c>
      <c r="C114" s="185">
        <f ca="1">TblConstr[[#This Row],[Forest]]</f>
        <v>0</v>
      </c>
      <c r="D114" s="385">
        <f ca="1">TblConstr[[#This Row],[Mountain]]</f>
        <v>0</v>
      </c>
      <c r="E114" s="389">
        <f ca="1">TblConstr[[#This Row],[Hill]]</f>
        <v>0</v>
      </c>
      <c r="F114" s="393">
        <f ca="1">TblConstr[[#This Row],[Swamp]]</f>
        <v>0</v>
      </c>
      <c r="G114" s="188">
        <f ca="1">TblConstr[[#This Row],[Cavern]]</f>
        <v>0</v>
      </c>
      <c r="H114" s="189">
        <f ca="1">TblConstr[[#This Row],[Water]]</f>
        <v>0</v>
      </c>
      <c r="I114" s="226"/>
      <c r="J114" s="178">
        <f t="shared" si="3"/>
        <v>111</v>
      </c>
      <c r="K114" s="250">
        <f ca="1">TblImps[[#This Row],[Real time]]</f>
        <v>45434.333333333067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1563069</v>
      </c>
      <c r="W114" s="226"/>
      <c r="X114" s="97">
        <f ca="1">ROUNDUP( (1-MIN(ROUND(facs_rezone_factor*TblRezone[[#This Row],[Facs]],4),facs_rezone_max) + tech_6_4*TblTech[[#This Row],[6-4]] + tech_10_2*TblTech[[#This Row],[10-2]] - IF(TblMagic[[#This Row],[Active Mechanical Genius]]&gt;0,mech_genius_bonus,0) + race_rezone_cost) * TblRezone[[#This Row],[Plat/acre*]],0)</f>
        <v>520</v>
      </c>
      <c r="Y114" s="97">
        <f ca="1">TblRezone[[#This Row],[Total acres]]*TblRezone[[#This Row],[Plat/acre]]</f>
        <v>0</v>
      </c>
      <c r="Z114" s="226"/>
      <c r="AA114" s="97">
        <f ca="1">250+0.6*(TblRezone[[#This Row],[Land]]-250)</f>
        <v>520</v>
      </c>
      <c r="AB114" s="226"/>
      <c r="AC114" s="160">
        <f ca="1">TblConstr[[#This Row],[Facs DB]]</f>
        <v>0</v>
      </c>
    </row>
    <row r="115" spans="1:29" x14ac:dyDescent="0.2">
      <c r="A115" s="225">
        <f ca="1">TblConstr[[#This Row],[Land]]</f>
        <v>700</v>
      </c>
      <c r="B115" s="227">
        <f ca="1">TblConstr[[#This Row],[Plain]]</f>
        <v>0</v>
      </c>
      <c r="C115" s="185">
        <f ca="1">TblConstr[[#This Row],[Forest]]</f>
        <v>0</v>
      </c>
      <c r="D115" s="385">
        <f ca="1">TblConstr[[#This Row],[Mountain]]</f>
        <v>0</v>
      </c>
      <c r="E115" s="389">
        <f ca="1">TblConstr[[#This Row],[Hill]]</f>
        <v>0</v>
      </c>
      <c r="F115" s="393">
        <f ca="1">TblConstr[[#This Row],[Swamp]]</f>
        <v>0</v>
      </c>
      <c r="G115" s="188">
        <f ca="1">TblConstr[[#This Row],[Cavern]]</f>
        <v>0</v>
      </c>
      <c r="H115" s="189">
        <f ca="1">TblConstr[[#This Row],[Water]]</f>
        <v>0</v>
      </c>
      <c r="I115" s="226"/>
      <c r="J115" s="178">
        <f t="shared" si="3"/>
        <v>112</v>
      </c>
      <c r="K115" s="250">
        <f ca="1">TblImps[[#This Row],[Real time]]</f>
        <v>45434.374999999731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1593898</v>
      </c>
      <c r="W115" s="226"/>
      <c r="X115" s="97">
        <f ca="1">ROUNDUP( (1-MIN(ROUND(facs_rezone_factor*TblRezone[[#This Row],[Facs]],4),facs_rezone_max) + tech_6_4*TblTech[[#This Row],[6-4]] + tech_10_2*TblTech[[#This Row],[10-2]] - IF(TblMagic[[#This Row],[Active Mechanical Genius]]&gt;0,mech_genius_bonus,0) + race_rezone_cost) * TblRezone[[#This Row],[Plat/acre*]],0)</f>
        <v>520</v>
      </c>
      <c r="Y115" s="97">
        <f ca="1">TblRezone[[#This Row],[Total acres]]*TblRezone[[#This Row],[Plat/acre]]</f>
        <v>0</v>
      </c>
      <c r="Z115" s="226"/>
      <c r="AA115" s="97">
        <f ca="1">250+0.6*(TblRezone[[#This Row],[Land]]-250)</f>
        <v>520</v>
      </c>
      <c r="AB115" s="226"/>
      <c r="AC115" s="160">
        <f ca="1">TblConstr[[#This Row],[Facs DB]]</f>
        <v>0</v>
      </c>
    </row>
    <row r="116" spans="1:29" x14ac:dyDescent="0.2">
      <c r="A116" s="225">
        <f ca="1">TblConstr[[#This Row],[Land]]</f>
        <v>700</v>
      </c>
      <c r="B116" s="227">
        <f ca="1">TblConstr[[#This Row],[Plain]]</f>
        <v>0</v>
      </c>
      <c r="C116" s="185">
        <f ca="1">TblConstr[[#This Row],[Forest]]</f>
        <v>0</v>
      </c>
      <c r="D116" s="385">
        <f ca="1">TblConstr[[#This Row],[Mountain]]</f>
        <v>0</v>
      </c>
      <c r="E116" s="389">
        <f ca="1">TblConstr[[#This Row],[Hill]]</f>
        <v>0</v>
      </c>
      <c r="F116" s="393">
        <f ca="1">TblConstr[[#This Row],[Swamp]]</f>
        <v>0</v>
      </c>
      <c r="G116" s="188">
        <f ca="1">TblConstr[[#This Row],[Cavern]]</f>
        <v>0</v>
      </c>
      <c r="H116" s="189">
        <f ca="1">TblConstr[[#This Row],[Water]]</f>
        <v>0</v>
      </c>
      <c r="I116" s="226"/>
      <c r="J116" s="178">
        <f t="shared" si="3"/>
        <v>113</v>
      </c>
      <c r="K116" s="250">
        <f ca="1">TblImps[[#This Row],[Real time]]</f>
        <v>45434.416666666395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1624543</v>
      </c>
      <c r="W116" s="226"/>
      <c r="X116" s="97">
        <f ca="1">ROUNDUP( (1-MIN(ROUND(facs_rezone_factor*TblRezone[[#This Row],[Facs]],4),facs_rezone_max) + tech_6_4*TblTech[[#This Row],[6-4]] + tech_10_2*TblTech[[#This Row],[10-2]] - IF(TblMagic[[#This Row],[Active Mechanical Genius]]&gt;0,mech_genius_bonus,0) + race_rezone_cost) * TblRezone[[#This Row],[Plat/acre*]],0)</f>
        <v>520</v>
      </c>
      <c r="Y116" s="97">
        <f ca="1">TblRezone[[#This Row],[Total acres]]*TblRezone[[#This Row],[Plat/acre]]</f>
        <v>0</v>
      </c>
      <c r="Z116" s="226"/>
      <c r="AA116" s="97">
        <f ca="1">250+0.6*(TblRezone[[#This Row],[Land]]-250)</f>
        <v>520</v>
      </c>
      <c r="AB116" s="226"/>
      <c r="AC116" s="160">
        <f ca="1">TblConstr[[#This Row],[Facs DB]]</f>
        <v>0</v>
      </c>
    </row>
    <row r="117" spans="1:29" x14ac:dyDescent="0.2">
      <c r="A117" s="225">
        <f ca="1">TblConstr[[#This Row],[Land]]</f>
        <v>700</v>
      </c>
      <c r="B117" s="227">
        <f ca="1">TblConstr[[#This Row],[Plain]]</f>
        <v>0</v>
      </c>
      <c r="C117" s="185">
        <f ca="1">TblConstr[[#This Row],[Forest]]</f>
        <v>0</v>
      </c>
      <c r="D117" s="385">
        <f ca="1">TblConstr[[#This Row],[Mountain]]</f>
        <v>0</v>
      </c>
      <c r="E117" s="389">
        <f ca="1">TblConstr[[#This Row],[Hill]]</f>
        <v>0</v>
      </c>
      <c r="F117" s="393">
        <f ca="1">TblConstr[[#This Row],[Swamp]]</f>
        <v>0</v>
      </c>
      <c r="G117" s="188">
        <f ca="1">TblConstr[[#This Row],[Cavern]]</f>
        <v>0</v>
      </c>
      <c r="H117" s="189">
        <f ca="1">TblConstr[[#This Row],[Water]]</f>
        <v>0</v>
      </c>
      <c r="I117" s="226"/>
      <c r="J117" s="178">
        <f t="shared" si="3"/>
        <v>114</v>
      </c>
      <c r="K117" s="250">
        <f ca="1">TblImps[[#This Row],[Real time]]</f>
        <v>45434.458333333059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1655005</v>
      </c>
      <c r="W117" s="226"/>
      <c r="X117" s="97">
        <f ca="1">ROUNDUP( (1-MIN(ROUND(facs_rezone_factor*TblRezone[[#This Row],[Facs]],4),facs_rezone_max) + tech_6_4*TblTech[[#This Row],[6-4]] + tech_10_2*TblTech[[#This Row],[10-2]] - IF(TblMagic[[#This Row],[Active Mechanical Genius]]&gt;0,mech_genius_bonus,0) + race_rezone_cost) * TblRezone[[#This Row],[Plat/acre*]],0)</f>
        <v>520</v>
      </c>
      <c r="Y117" s="97">
        <f ca="1">TblRezone[[#This Row],[Total acres]]*TblRezone[[#This Row],[Plat/acre]]</f>
        <v>0</v>
      </c>
      <c r="Z117" s="226"/>
      <c r="AA117" s="97">
        <f ca="1">250+0.6*(TblRezone[[#This Row],[Land]]-250)</f>
        <v>520</v>
      </c>
      <c r="AB117" s="226"/>
      <c r="AC117" s="160">
        <f ca="1">TblConstr[[#This Row],[Facs DB]]</f>
        <v>0</v>
      </c>
    </row>
    <row r="118" spans="1:29" x14ac:dyDescent="0.2">
      <c r="A118" s="225">
        <f ca="1">TblConstr[[#This Row],[Land]]</f>
        <v>700</v>
      </c>
      <c r="B118" s="227">
        <f ca="1">TblConstr[[#This Row],[Plain]]</f>
        <v>0</v>
      </c>
      <c r="C118" s="185">
        <f ca="1">TblConstr[[#This Row],[Forest]]</f>
        <v>0</v>
      </c>
      <c r="D118" s="385">
        <f ca="1">TblConstr[[#This Row],[Mountain]]</f>
        <v>0</v>
      </c>
      <c r="E118" s="389">
        <f ca="1">TblConstr[[#This Row],[Hill]]</f>
        <v>0</v>
      </c>
      <c r="F118" s="393">
        <f ca="1">TblConstr[[#This Row],[Swamp]]</f>
        <v>0</v>
      </c>
      <c r="G118" s="188">
        <f ca="1">TblConstr[[#This Row],[Cavern]]</f>
        <v>0</v>
      </c>
      <c r="H118" s="189">
        <f ca="1">TblConstr[[#This Row],[Water]]</f>
        <v>0</v>
      </c>
      <c r="I118" s="226"/>
      <c r="J118" s="178">
        <f t="shared" si="3"/>
        <v>115</v>
      </c>
      <c r="K118" s="250">
        <f ca="1">TblImps[[#This Row],[Real time]]</f>
        <v>45434.499999999724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1685286</v>
      </c>
      <c r="W118" s="226"/>
      <c r="X118" s="97">
        <f ca="1">ROUNDUP( (1-MIN(ROUND(facs_rezone_factor*TblRezone[[#This Row],[Facs]],4),facs_rezone_max) + tech_6_4*TblTech[[#This Row],[6-4]] + tech_10_2*TblTech[[#This Row],[10-2]] - IF(TblMagic[[#This Row],[Active Mechanical Genius]]&gt;0,mech_genius_bonus,0) + race_rezone_cost) * TblRezone[[#This Row],[Plat/acre*]],0)</f>
        <v>520</v>
      </c>
      <c r="Y118" s="97">
        <f ca="1">TblRezone[[#This Row],[Total acres]]*TblRezone[[#This Row],[Plat/acre]]</f>
        <v>0</v>
      </c>
      <c r="Z118" s="226"/>
      <c r="AA118" s="97">
        <f ca="1">250+0.6*(TblRezone[[#This Row],[Land]]-250)</f>
        <v>520</v>
      </c>
      <c r="AB118" s="226"/>
      <c r="AC118" s="160">
        <f ca="1">TblConstr[[#This Row],[Facs DB]]</f>
        <v>0</v>
      </c>
    </row>
    <row r="119" spans="1:29" x14ac:dyDescent="0.2">
      <c r="A119" s="225">
        <f ca="1">TblConstr[[#This Row],[Land]]</f>
        <v>700</v>
      </c>
      <c r="B119" s="227">
        <f ca="1">TblConstr[[#This Row],[Plain]]</f>
        <v>0</v>
      </c>
      <c r="C119" s="185">
        <f ca="1">TblConstr[[#This Row],[Forest]]</f>
        <v>0</v>
      </c>
      <c r="D119" s="385">
        <f ca="1">TblConstr[[#This Row],[Mountain]]</f>
        <v>0</v>
      </c>
      <c r="E119" s="389">
        <f ca="1">TblConstr[[#This Row],[Hill]]</f>
        <v>0</v>
      </c>
      <c r="F119" s="393">
        <f ca="1">TblConstr[[#This Row],[Swamp]]</f>
        <v>0</v>
      </c>
      <c r="G119" s="188">
        <f ca="1">TblConstr[[#This Row],[Cavern]]</f>
        <v>0</v>
      </c>
      <c r="H119" s="189">
        <f ca="1">TblConstr[[#This Row],[Water]]</f>
        <v>0</v>
      </c>
      <c r="I119" s="226"/>
      <c r="J119" s="178">
        <f t="shared" si="3"/>
        <v>116</v>
      </c>
      <c r="K119" s="250">
        <f ca="1">TblImps[[#This Row],[Real time]]</f>
        <v>45434.541666666388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1715389</v>
      </c>
      <c r="W119" s="226"/>
      <c r="X119" s="97">
        <f ca="1">ROUNDUP( (1-MIN(ROUND(facs_rezone_factor*TblRezone[[#This Row],[Facs]],4),facs_rezone_max) + tech_6_4*TblTech[[#This Row],[6-4]] + tech_10_2*TblTech[[#This Row],[10-2]] - IF(TblMagic[[#This Row],[Active Mechanical Genius]]&gt;0,mech_genius_bonus,0) + race_rezone_cost) * TblRezone[[#This Row],[Plat/acre*]],0)</f>
        <v>520</v>
      </c>
      <c r="Y119" s="97">
        <f ca="1">TblRezone[[#This Row],[Total acres]]*TblRezone[[#This Row],[Plat/acre]]</f>
        <v>0</v>
      </c>
      <c r="Z119" s="226"/>
      <c r="AA119" s="97">
        <f ca="1">250+0.6*(TblRezone[[#This Row],[Land]]-250)</f>
        <v>520</v>
      </c>
      <c r="AB119" s="226"/>
      <c r="AC119" s="160">
        <f ca="1">TblConstr[[#This Row],[Facs DB]]</f>
        <v>0</v>
      </c>
    </row>
    <row r="120" spans="1:29" x14ac:dyDescent="0.2">
      <c r="A120" s="225">
        <f ca="1">TblConstr[[#This Row],[Land]]</f>
        <v>700</v>
      </c>
      <c r="B120" s="227">
        <f ca="1">TblConstr[[#This Row],[Plain]]</f>
        <v>0</v>
      </c>
      <c r="C120" s="185">
        <f ca="1">TblConstr[[#This Row],[Forest]]</f>
        <v>0</v>
      </c>
      <c r="D120" s="385">
        <f ca="1">TblConstr[[#This Row],[Mountain]]</f>
        <v>0</v>
      </c>
      <c r="E120" s="389">
        <f ca="1">TblConstr[[#This Row],[Hill]]</f>
        <v>0</v>
      </c>
      <c r="F120" s="393">
        <f ca="1">TblConstr[[#This Row],[Swamp]]</f>
        <v>0</v>
      </c>
      <c r="G120" s="188">
        <f ca="1">TblConstr[[#This Row],[Cavern]]</f>
        <v>0</v>
      </c>
      <c r="H120" s="189">
        <f ca="1">TblConstr[[#This Row],[Water]]</f>
        <v>0</v>
      </c>
      <c r="I120" s="226"/>
      <c r="J120" s="178">
        <f t="shared" si="3"/>
        <v>117</v>
      </c>
      <c r="K120" s="250">
        <f ca="1">TblImps[[#This Row],[Real time]]</f>
        <v>45434.583333333052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1745314</v>
      </c>
      <c r="W120" s="226"/>
      <c r="X120" s="97">
        <f ca="1">ROUNDUP( (1-MIN(ROUND(facs_rezone_factor*TblRezone[[#This Row],[Facs]],4),facs_rezone_max) + tech_6_4*TblTech[[#This Row],[6-4]] + tech_10_2*TblTech[[#This Row],[10-2]] - IF(TblMagic[[#This Row],[Active Mechanical Genius]]&gt;0,mech_genius_bonus,0) + race_rezone_cost) * TblRezone[[#This Row],[Plat/acre*]],0)</f>
        <v>520</v>
      </c>
      <c r="Y120" s="97">
        <f ca="1">TblRezone[[#This Row],[Total acres]]*TblRezone[[#This Row],[Plat/acre]]</f>
        <v>0</v>
      </c>
      <c r="Z120" s="226"/>
      <c r="AA120" s="97">
        <f ca="1">250+0.6*(TblRezone[[#This Row],[Land]]-250)</f>
        <v>520</v>
      </c>
      <c r="AB120" s="226"/>
      <c r="AC120" s="160">
        <f ca="1">TblConstr[[#This Row],[Facs DB]]</f>
        <v>0</v>
      </c>
    </row>
    <row r="121" spans="1:29" x14ac:dyDescent="0.2">
      <c r="A121" s="225">
        <f ca="1">TblConstr[[#This Row],[Land]]</f>
        <v>700</v>
      </c>
      <c r="B121" s="227">
        <f ca="1">TblConstr[[#This Row],[Plain]]</f>
        <v>0</v>
      </c>
      <c r="C121" s="185">
        <f ca="1">TblConstr[[#This Row],[Forest]]</f>
        <v>0</v>
      </c>
      <c r="D121" s="385">
        <f ca="1">TblConstr[[#This Row],[Mountain]]</f>
        <v>0</v>
      </c>
      <c r="E121" s="389">
        <f ca="1">TblConstr[[#This Row],[Hill]]</f>
        <v>0</v>
      </c>
      <c r="F121" s="393">
        <f ca="1">TblConstr[[#This Row],[Swamp]]</f>
        <v>0</v>
      </c>
      <c r="G121" s="188">
        <f ca="1">TblConstr[[#This Row],[Cavern]]</f>
        <v>0</v>
      </c>
      <c r="H121" s="189">
        <f ca="1">TblConstr[[#This Row],[Water]]</f>
        <v>0</v>
      </c>
      <c r="I121" s="226"/>
      <c r="J121" s="178">
        <f t="shared" si="3"/>
        <v>118</v>
      </c>
      <c r="K121" s="250">
        <f ca="1">TblImps[[#This Row],[Real time]]</f>
        <v>45434.624999999716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1775063</v>
      </c>
      <c r="W121" s="226"/>
      <c r="X121" s="97">
        <f ca="1">ROUNDUP( (1-MIN(ROUND(facs_rezone_factor*TblRezone[[#This Row],[Facs]],4),facs_rezone_max) + tech_6_4*TblTech[[#This Row],[6-4]] + tech_10_2*TblTech[[#This Row],[10-2]] - IF(TblMagic[[#This Row],[Active Mechanical Genius]]&gt;0,mech_genius_bonus,0) + race_rezone_cost) * TblRezone[[#This Row],[Plat/acre*]],0)</f>
        <v>520</v>
      </c>
      <c r="Y121" s="97">
        <f ca="1">TblRezone[[#This Row],[Total acres]]*TblRezone[[#This Row],[Plat/acre]]</f>
        <v>0</v>
      </c>
      <c r="Z121" s="226"/>
      <c r="AA121" s="97">
        <f ca="1">250+0.6*(TblRezone[[#This Row],[Land]]-250)</f>
        <v>520</v>
      </c>
      <c r="AB121" s="226"/>
      <c r="AC121" s="160">
        <f ca="1">TblConstr[[#This Row],[Facs DB]]</f>
        <v>0</v>
      </c>
    </row>
    <row r="122" spans="1:29" x14ac:dyDescent="0.2">
      <c r="A122" s="225">
        <f ca="1">TblConstr[[#This Row],[Land]]</f>
        <v>700</v>
      </c>
      <c r="B122" s="227">
        <f ca="1">TblConstr[[#This Row],[Plain]]</f>
        <v>0</v>
      </c>
      <c r="C122" s="185">
        <f ca="1">TblConstr[[#This Row],[Forest]]</f>
        <v>0</v>
      </c>
      <c r="D122" s="385">
        <f ca="1">TblConstr[[#This Row],[Mountain]]</f>
        <v>0</v>
      </c>
      <c r="E122" s="389">
        <f ca="1">TblConstr[[#This Row],[Hill]]</f>
        <v>0</v>
      </c>
      <c r="F122" s="393">
        <f ca="1">TblConstr[[#This Row],[Swamp]]</f>
        <v>0</v>
      </c>
      <c r="G122" s="188">
        <f ca="1">TblConstr[[#This Row],[Cavern]]</f>
        <v>0</v>
      </c>
      <c r="H122" s="189">
        <f ca="1">TblConstr[[#This Row],[Water]]</f>
        <v>0</v>
      </c>
      <c r="I122" s="226"/>
      <c r="J122" s="178">
        <f t="shared" si="3"/>
        <v>119</v>
      </c>
      <c r="K122" s="250">
        <f ca="1">TblImps[[#This Row],[Real time]]</f>
        <v>45434.66666666638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1804639</v>
      </c>
      <c r="W122" s="226"/>
      <c r="X122" s="97">
        <f ca="1">ROUNDUP( (1-MIN(ROUND(facs_rezone_factor*TblRezone[[#This Row],[Facs]],4),facs_rezone_max) + tech_6_4*TblTech[[#This Row],[6-4]] + tech_10_2*TblTech[[#This Row],[10-2]] - IF(TblMagic[[#This Row],[Active Mechanical Genius]]&gt;0,mech_genius_bonus,0) + race_rezone_cost) * TblRezone[[#This Row],[Plat/acre*]],0)</f>
        <v>520</v>
      </c>
      <c r="Y122" s="97">
        <f ca="1">TblRezone[[#This Row],[Total acres]]*TblRezone[[#This Row],[Plat/acre]]</f>
        <v>0</v>
      </c>
      <c r="Z122" s="226"/>
      <c r="AA122" s="97">
        <f ca="1">250+0.6*(TblRezone[[#This Row],[Land]]-250)</f>
        <v>520</v>
      </c>
      <c r="AB122" s="226"/>
      <c r="AC122" s="160">
        <f ca="1">TblConstr[[#This Row],[Facs DB]]</f>
        <v>0</v>
      </c>
    </row>
    <row r="123" spans="1:29" x14ac:dyDescent="0.2">
      <c r="A123" s="225">
        <f ca="1">TblConstr[[#This Row],[Land]]</f>
        <v>700</v>
      </c>
      <c r="B123" s="227">
        <f ca="1">TblConstr[[#This Row],[Plain]]</f>
        <v>0</v>
      </c>
      <c r="C123" s="185">
        <f ca="1">TblConstr[[#This Row],[Forest]]</f>
        <v>0</v>
      </c>
      <c r="D123" s="385">
        <f ca="1">TblConstr[[#This Row],[Mountain]]</f>
        <v>0</v>
      </c>
      <c r="E123" s="389">
        <f ca="1">TblConstr[[#This Row],[Hill]]</f>
        <v>0</v>
      </c>
      <c r="F123" s="393">
        <f ca="1">TblConstr[[#This Row],[Swamp]]</f>
        <v>0</v>
      </c>
      <c r="G123" s="188">
        <f ca="1">TblConstr[[#This Row],[Cavern]]</f>
        <v>0</v>
      </c>
      <c r="H123" s="189">
        <f ca="1">TblConstr[[#This Row],[Water]]</f>
        <v>0</v>
      </c>
      <c r="I123" s="226"/>
      <c r="J123" s="178">
        <f t="shared" si="3"/>
        <v>120</v>
      </c>
      <c r="K123" s="250">
        <f ca="1">TblImps[[#This Row],[Real time]]</f>
        <v>45434.708333333045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1834042</v>
      </c>
      <c r="W123" s="226"/>
      <c r="X123" s="97">
        <f ca="1">ROUNDUP( (1-MIN(ROUND(facs_rezone_factor*TblRezone[[#This Row],[Facs]],4),facs_rezone_max) + tech_6_4*TblTech[[#This Row],[6-4]] + tech_10_2*TblTech[[#This Row],[10-2]] - IF(TblMagic[[#This Row],[Active Mechanical Genius]]&gt;0,mech_genius_bonus,0) + race_rezone_cost) * TblRezone[[#This Row],[Plat/acre*]],0)</f>
        <v>520</v>
      </c>
      <c r="Y123" s="97">
        <f ca="1">TblRezone[[#This Row],[Total acres]]*TblRezone[[#This Row],[Plat/acre]]</f>
        <v>0</v>
      </c>
      <c r="Z123" s="226"/>
      <c r="AA123" s="97">
        <f ca="1">250+0.6*(TblRezone[[#This Row],[Land]]-250)</f>
        <v>520</v>
      </c>
      <c r="AB123" s="226"/>
      <c r="AC123" s="160">
        <f ca="1">TblConstr[[#This Row],[Facs DB]]</f>
        <v>0</v>
      </c>
    </row>
    <row r="124" spans="1:29" x14ac:dyDescent="0.2">
      <c r="A124" s="225">
        <f ca="1">TblConstr[[#This Row],[Land]]</f>
        <v>700</v>
      </c>
      <c r="B124" s="227">
        <f ca="1">TblConstr[[#This Row],[Plain]]</f>
        <v>0</v>
      </c>
      <c r="C124" s="185">
        <f ca="1">TblConstr[[#This Row],[Forest]]</f>
        <v>0</v>
      </c>
      <c r="D124" s="385">
        <f ca="1">TblConstr[[#This Row],[Mountain]]</f>
        <v>0</v>
      </c>
      <c r="E124" s="389">
        <f ca="1">TblConstr[[#This Row],[Hill]]</f>
        <v>0</v>
      </c>
      <c r="F124" s="393">
        <f ca="1">TblConstr[[#This Row],[Swamp]]</f>
        <v>0</v>
      </c>
      <c r="G124" s="188">
        <f ca="1">TblConstr[[#This Row],[Cavern]]</f>
        <v>0</v>
      </c>
      <c r="H124" s="189">
        <f ca="1">TblConstr[[#This Row],[Water]]</f>
        <v>0</v>
      </c>
      <c r="I124" s="226"/>
      <c r="J124" s="178">
        <f t="shared" si="3"/>
        <v>121</v>
      </c>
      <c r="K124" s="250">
        <f ca="1">TblImps[[#This Row],[Real time]]</f>
        <v>45434.749999999709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1863275</v>
      </c>
      <c r="W124" s="226"/>
      <c r="X124" s="97">
        <f ca="1">ROUNDUP( (1-MIN(ROUND(facs_rezone_factor*TblRezone[[#This Row],[Facs]],4),facs_rezone_max) + tech_6_4*TblTech[[#This Row],[6-4]] + tech_10_2*TblTech[[#This Row],[10-2]] - IF(TblMagic[[#This Row],[Active Mechanical Genius]]&gt;0,mech_genius_bonus,0) + race_rezone_cost) * TblRezone[[#This Row],[Plat/acre*]],0)</f>
        <v>520</v>
      </c>
      <c r="Y124" s="97">
        <f ca="1">TblRezone[[#This Row],[Total acres]]*TblRezone[[#This Row],[Plat/acre]]</f>
        <v>0</v>
      </c>
      <c r="Z124" s="226"/>
      <c r="AA124" s="97">
        <f ca="1">250+0.6*(TblRezone[[#This Row],[Land]]-250)</f>
        <v>520</v>
      </c>
      <c r="AB124" s="226"/>
      <c r="AC124" s="160">
        <f ca="1">TblConstr[[#This Row],[Facs DB]]</f>
        <v>0</v>
      </c>
    </row>
    <row r="125" spans="1:29" x14ac:dyDescent="0.2">
      <c r="A125" s="225">
        <f ca="1">TblConstr[[#This Row],[Land]]</f>
        <v>700</v>
      </c>
      <c r="B125" s="227">
        <f ca="1">TblConstr[[#This Row],[Plain]]</f>
        <v>0</v>
      </c>
      <c r="C125" s="185">
        <f ca="1">TblConstr[[#This Row],[Forest]]</f>
        <v>0</v>
      </c>
      <c r="D125" s="385">
        <f ca="1">TblConstr[[#This Row],[Mountain]]</f>
        <v>0</v>
      </c>
      <c r="E125" s="389">
        <f ca="1">TblConstr[[#This Row],[Hill]]</f>
        <v>0</v>
      </c>
      <c r="F125" s="393">
        <f ca="1">TblConstr[[#This Row],[Swamp]]</f>
        <v>0</v>
      </c>
      <c r="G125" s="188">
        <f ca="1">TblConstr[[#This Row],[Cavern]]</f>
        <v>0</v>
      </c>
      <c r="H125" s="189">
        <f ca="1">TblConstr[[#This Row],[Water]]</f>
        <v>0</v>
      </c>
      <c r="I125" s="226"/>
      <c r="J125" s="178">
        <f t="shared" si="3"/>
        <v>122</v>
      </c>
      <c r="K125" s="250">
        <f ca="1">TblImps[[#This Row],[Real time]]</f>
        <v>45434.791666666373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1892341</v>
      </c>
      <c r="W125" s="226"/>
      <c r="X125" s="97">
        <f ca="1">ROUNDUP( (1-MIN(ROUND(facs_rezone_factor*TblRezone[[#This Row],[Facs]],4),facs_rezone_max) + tech_6_4*TblTech[[#This Row],[6-4]] + tech_10_2*TblTech[[#This Row],[10-2]] - IF(TblMagic[[#This Row],[Active Mechanical Genius]]&gt;0,mech_genius_bonus,0) + race_rezone_cost) * TblRezone[[#This Row],[Plat/acre*]],0)</f>
        <v>520</v>
      </c>
      <c r="Y125" s="97">
        <f ca="1">TblRezone[[#This Row],[Total acres]]*TblRezone[[#This Row],[Plat/acre]]</f>
        <v>0</v>
      </c>
      <c r="Z125" s="226"/>
      <c r="AA125" s="97">
        <f ca="1">250+0.6*(TblRezone[[#This Row],[Land]]-250)</f>
        <v>520</v>
      </c>
      <c r="AB125" s="226"/>
      <c r="AC125" s="160">
        <f ca="1">TblConstr[[#This Row],[Facs DB]]</f>
        <v>0</v>
      </c>
    </row>
    <row r="126" spans="1:29" x14ac:dyDescent="0.2">
      <c r="A126" s="225">
        <f ca="1">TblConstr[[#This Row],[Land]]</f>
        <v>700</v>
      </c>
      <c r="B126" s="227">
        <f ca="1">TblConstr[[#This Row],[Plain]]</f>
        <v>0</v>
      </c>
      <c r="C126" s="185">
        <f ca="1">TblConstr[[#This Row],[Forest]]</f>
        <v>0</v>
      </c>
      <c r="D126" s="385">
        <f ca="1">TblConstr[[#This Row],[Mountain]]</f>
        <v>0</v>
      </c>
      <c r="E126" s="389">
        <f ca="1">TblConstr[[#This Row],[Hill]]</f>
        <v>0</v>
      </c>
      <c r="F126" s="393">
        <f ca="1">TblConstr[[#This Row],[Swamp]]</f>
        <v>0</v>
      </c>
      <c r="G126" s="188">
        <f ca="1">TblConstr[[#This Row],[Cavern]]</f>
        <v>0</v>
      </c>
      <c r="H126" s="189">
        <f ca="1">TblConstr[[#This Row],[Water]]</f>
        <v>0</v>
      </c>
      <c r="I126" s="226"/>
      <c r="J126" s="178">
        <f t="shared" si="3"/>
        <v>123</v>
      </c>
      <c r="K126" s="250">
        <f ca="1">TblImps[[#This Row],[Real time]]</f>
        <v>45434.833333333037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1921240</v>
      </c>
      <c r="W126" s="226"/>
      <c r="X126" s="97">
        <f ca="1">ROUNDUP( (1-MIN(ROUND(facs_rezone_factor*TblRezone[[#This Row],[Facs]],4),facs_rezone_max) + tech_6_4*TblTech[[#This Row],[6-4]] + tech_10_2*TblTech[[#This Row],[10-2]] - IF(TblMagic[[#This Row],[Active Mechanical Genius]]&gt;0,mech_genius_bonus,0) + race_rezone_cost) * TblRezone[[#This Row],[Plat/acre*]],0)</f>
        <v>520</v>
      </c>
      <c r="Y126" s="97">
        <f ca="1">TblRezone[[#This Row],[Total acres]]*TblRezone[[#This Row],[Plat/acre]]</f>
        <v>0</v>
      </c>
      <c r="Z126" s="226"/>
      <c r="AA126" s="97">
        <f ca="1">250+0.6*(TblRezone[[#This Row],[Land]]-250)</f>
        <v>520</v>
      </c>
      <c r="AB126" s="226"/>
      <c r="AC126" s="160">
        <f ca="1">TblConstr[[#This Row],[Facs DB]]</f>
        <v>0</v>
      </c>
    </row>
    <row r="127" spans="1:29" x14ac:dyDescent="0.2">
      <c r="A127" s="225">
        <f ca="1">TblConstr[[#This Row],[Land]]</f>
        <v>700</v>
      </c>
      <c r="B127" s="227">
        <f ca="1">TblConstr[[#This Row],[Plain]]</f>
        <v>0</v>
      </c>
      <c r="C127" s="185">
        <f ca="1">TblConstr[[#This Row],[Forest]]</f>
        <v>0</v>
      </c>
      <c r="D127" s="385">
        <f ca="1">TblConstr[[#This Row],[Mountain]]</f>
        <v>0</v>
      </c>
      <c r="E127" s="389">
        <f ca="1">TblConstr[[#This Row],[Hill]]</f>
        <v>0</v>
      </c>
      <c r="F127" s="393">
        <f ca="1">TblConstr[[#This Row],[Swamp]]</f>
        <v>0</v>
      </c>
      <c r="G127" s="188">
        <f ca="1">TblConstr[[#This Row],[Cavern]]</f>
        <v>0</v>
      </c>
      <c r="H127" s="189">
        <f ca="1">TblConstr[[#This Row],[Water]]</f>
        <v>0</v>
      </c>
      <c r="I127" s="226"/>
      <c r="J127" s="178">
        <f t="shared" si="3"/>
        <v>124</v>
      </c>
      <c r="K127" s="250">
        <f ca="1">TblImps[[#This Row],[Real time]]</f>
        <v>45434.874999999702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1949974</v>
      </c>
      <c r="W127" s="226"/>
      <c r="X127" s="97">
        <f ca="1">ROUNDUP( (1-MIN(ROUND(facs_rezone_factor*TblRezone[[#This Row],[Facs]],4),facs_rezone_max) + tech_6_4*TblTech[[#This Row],[6-4]] + tech_10_2*TblTech[[#This Row],[10-2]] - IF(TblMagic[[#This Row],[Active Mechanical Genius]]&gt;0,mech_genius_bonus,0) + race_rezone_cost) * TblRezone[[#This Row],[Plat/acre*]],0)</f>
        <v>520</v>
      </c>
      <c r="Y127" s="97">
        <f ca="1">TblRezone[[#This Row],[Total acres]]*TblRezone[[#This Row],[Plat/acre]]</f>
        <v>0</v>
      </c>
      <c r="Z127" s="226"/>
      <c r="AA127" s="97">
        <f ca="1">250+0.6*(TblRezone[[#This Row],[Land]]-250)</f>
        <v>520</v>
      </c>
      <c r="AB127" s="226"/>
      <c r="AC127" s="160">
        <f ca="1">TblConstr[[#This Row],[Facs DB]]</f>
        <v>0</v>
      </c>
    </row>
    <row r="128" spans="1:29" x14ac:dyDescent="0.2">
      <c r="A128" s="225">
        <f ca="1">TblConstr[[#This Row],[Land]]</f>
        <v>700</v>
      </c>
      <c r="B128" s="227">
        <f ca="1">TblConstr[[#This Row],[Plain]]</f>
        <v>0</v>
      </c>
      <c r="C128" s="185">
        <f ca="1">TblConstr[[#This Row],[Forest]]</f>
        <v>0</v>
      </c>
      <c r="D128" s="385">
        <f ca="1">TblConstr[[#This Row],[Mountain]]</f>
        <v>0</v>
      </c>
      <c r="E128" s="389">
        <f ca="1">TblConstr[[#This Row],[Hill]]</f>
        <v>0</v>
      </c>
      <c r="F128" s="393">
        <f ca="1">TblConstr[[#This Row],[Swamp]]</f>
        <v>0</v>
      </c>
      <c r="G128" s="188">
        <f ca="1">TblConstr[[#This Row],[Cavern]]</f>
        <v>0</v>
      </c>
      <c r="H128" s="189">
        <f ca="1">TblConstr[[#This Row],[Water]]</f>
        <v>0</v>
      </c>
      <c r="I128" s="226"/>
      <c r="J128" s="178">
        <f t="shared" si="3"/>
        <v>125</v>
      </c>
      <c r="K128" s="250">
        <f ca="1">TblImps[[#This Row],[Real time]]</f>
        <v>45434.916666666366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1978543</v>
      </c>
      <c r="W128" s="226"/>
      <c r="X128" s="97">
        <f ca="1">ROUNDUP( (1-MIN(ROUND(facs_rezone_factor*TblRezone[[#This Row],[Facs]],4),facs_rezone_max) + tech_6_4*TblTech[[#This Row],[6-4]] + tech_10_2*TblTech[[#This Row],[10-2]] - IF(TblMagic[[#This Row],[Active Mechanical Genius]]&gt;0,mech_genius_bonus,0) + race_rezone_cost) * TblRezone[[#This Row],[Plat/acre*]],0)</f>
        <v>520</v>
      </c>
      <c r="Y128" s="97">
        <f ca="1">TblRezone[[#This Row],[Total acres]]*TblRezone[[#This Row],[Plat/acre]]</f>
        <v>0</v>
      </c>
      <c r="Z128" s="226"/>
      <c r="AA128" s="97">
        <f ca="1">250+0.6*(TblRezone[[#This Row],[Land]]-250)</f>
        <v>520</v>
      </c>
      <c r="AB128" s="226"/>
      <c r="AC128" s="160">
        <f ca="1">TblConstr[[#This Row],[Facs DB]]</f>
        <v>0</v>
      </c>
    </row>
    <row r="129" spans="1:29" x14ac:dyDescent="0.2">
      <c r="A129" s="225">
        <f ca="1">TblConstr[[#This Row],[Land]]</f>
        <v>700</v>
      </c>
      <c r="B129" s="227">
        <f ca="1">TblConstr[[#This Row],[Plain]]</f>
        <v>0</v>
      </c>
      <c r="C129" s="185">
        <f ca="1">TblConstr[[#This Row],[Forest]]</f>
        <v>0</v>
      </c>
      <c r="D129" s="385">
        <f ca="1">TblConstr[[#This Row],[Mountain]]</f>
        <v>0</v>
      </c>
      <c r="E129" s="389">
        <f ca="1">TblConstr[[#This Row],[Hill]]</f>
        <v>0</v>
      </c>
      <c r="F129" s="393">
        <f ca="1">TblConstr[[#This Row],[Swamp]]</f>
        <v>0</v>
      </c>
      <c r="G129" s="188">
        <f ca="1">TblConstr[[#This Row],[Cavern]]</f>
        <v>0</v>
      </c>
      <c r="H129" s="189">
        <f ca="1">TblConstr[[#This Row],[Water]]</f>
        <v>0</v>
      </c>
      <c r="I129" s="226"/>
      <c r="J129" s="178">
        <f t="shared" si="3"/>
        <v>126</v>
      </c>
      <c r="K129" s="250">
        <f ca="1">TblImps[[#This Row],[Real time]]</f>
        <v>45434.95833333303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2006950</v>
      </c>
      <c r="W129" s="226"/>
      <c r="X129" s="97">
        <f ca="1">ROUNDUP( (1-MIN(ROUND(facs_rezone_factor*TblRezone[[#This Row],[Facs]],4),facs_rezone_max) + tech_6_4*TblTech[[#This Row],[6-4]] + tech_10_2*TblTech[[#This Row],[10-2]] - IF(TblMagic[[#This Row],[Active Mechanical Genius]]&gt;0,mech_genius_bonus,0) + race_rezone_cost) * TblRezone[[#This Row],[Plat/acre*]],0)</f>
        <v>520</v>
      </c>
      <c r="Y129" s="97">
        <f ca="1">TblRezone[[#This Row],[Total acres]]*TblRezone[[#This Row],[Plat/acre]]</f>
        <v>0</v>
      </c>
      <c r="Z129" s="226"/>
      <c r="AA129" s="97">
        <f ca="1">250+0.6*(TblRezone[[#This Row],[Land]]-250)</f>
        <v>520</v>
      </c>
      <c r="AB129" s="226"/>
      <c r="AC129" s="160">
        <f ca="1">TblConstr[[#This Row],[Facs DB]]</f>
        <v>0</v>
      </c>
    </row>
    <row r="130" spans="1:29" x14ac:dyDescent="0.2">
      <c r="A130" s="225">
        <f ca="1">TblConstr[[#This Row],[Land]]</f>
        <v>700</v>
      </c>
      <c r="B130" s="227">
        <f ca="1">TblConstr[[#This Row],[Plain]]</f>
        <v>0</v>
      </c>
      <c r="C130" s="185">
        <f ca="1">TblConstr[[#This Row],[Forest]]</f>
        <v>0</v>
      </c>
      <c r="D130" s="385">
        <f ca="1">TblConstr[[#This Row],[Mountain]]</f>
        <v>0</v>
      </c>
      <c r="E130" s="389">
        <f ca="1">TblConstr[[#This Row],[Hill]]</f>
        <v>0</v>
      </c>
      <c r="F130" s="393">
        <f ca="1">TblConstr[[#This Row],[Swamp]]</f>
        <v>0</v>
      </c>
      <c r="G130" s="188">
        <f ca="1">TblConstr[[#This Row],[Cavern]]</f>
        <v>0</v>
      </c>
      <c r="H130" s="189">
        <f ca="1">TblConstr[[#This Row],[Water]]</f>
        <v>0</v>
      </c>
      <c r="I130" s="226"/>
      <c r="J130" s="178">
        <f t="shared" si="3"/>
        <v>127</v>
      </c>
      <c r="K130" s="250">
        <f ca="1">TblImps[[#This Row],[Real time]]</f>
        <v>45434.999999999694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2035198</v>
      </c>
      <c r="W130" s="226"/>
      <c r="X130" s="97">
        <f ca="1">ROUNDUP( (1-MIN(ROUND(facs_rezone_factor*TblRezone[[#This Row],[Facs]],4),facs_rezone_max) + tech_6_4*TblTech[[#This Row],[6-4]] + tech_10_2*TblTech[[#This Row],[10-2]] - IF(TblMagic[[#This Row],[Active Mechanical Genius]]&gt;0,mech_genius_bonus,0) + race_rezone_cost) * TblRezone[[#This Row],[Plat/acre*]],0)</f>
        <v>520</v>
      </c>
      <c r="Y130" s="97">
        <f ca="1">TblRezone[[#This Row],[Total acres]]*TblRezone[[#This Row],[Plat/acre]]</f>
        <v>0</v>
      </c>
      <c r="Z130" s="226"/>
      <c r="AA130" s="97">
        <f ca="1">250+0.6*(TblRezone[[#This Row],[Land]]-250)</f>
        <v>520</v>
      </c>
      <c r="AB130" s="226"/>
      <c r="AC130" s="160">
        <f ca="1">TblConstr[[#This Row],[Facs DB]]</f>
        <v>0</v>
      </c>
    </row>
    <row r="131" spans="1:29" x14ac:dyDescent="0.2">
      <c r="A131" s="225">
        <f ca="1">TblConstr[[#This Row],[Land]]</f>
        <v>700</v>
      </c>
      <c r="B131" s="227">
        <f ca="1">TblConstr[[#This Row],[Plain]]</f>
        <v>0</v>
      </c>
      <c r="C131" s="185">
        <f ca="1">TblConstr[[#This Row],[Forest]]</f>
        <v>0</v>
      </c>
      <c r="D131" s="385">
        <f ca="1">TblConstr[[#This Row],[Mountain]]</f>
        <v>0</v>
      </c>
      <c r="E131" s="389">
        <f ca="1">TblConstr[[#This Row],[Hill]]</f>
        <v>0</v>
      </c>
      <c r="F131" s="393">
        <f ca="1">TblConstr[[#This Row],[Swamp]]</f>
        <v>0</v>
      </c>
      <c r="G131" s="188">
        <f ca="1">TblConstr[[#This Row],[Cavern]]</f>
        <v>0</v>
      </c>
      <c r="H131" s="189">
        <f ca="1">TblConstr[[#This Row],[Water]]</f>
        <v>0</v>
      </c>
      <c r="I131" s="226"/>
      <c r="J131" s="178">
        <f t="shared" si="3"/>
        <v>128</v>
      </c>
      <c r="K131" s="250">
        <f ca="1">TblImps[[#This Row],[Real time]]</f>
        <v>45435.041666666359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2063287</v>
      </c>
      <c r="W131" s="226"/>
      <c r="X131" s="97">
        <f ca="1">ROUNDUP( (1-MIN(ROUND(facs_rezone_factor*TblRezone[[#This Row],[Facs]],4),facs_rezone_max) + tech_6_4*TblTech[[#This Row],[6-4]] + tech_10_2*TblTech[[#This Row],[10-2]] - IF(TblMagic[[#This Row],[Active Mechanical Genius]]&gt;0,mech_genius_bonus,0) + race_rezone_cost) * TblRezone[[#This Row],[Plat/acre*]],0)</f>
        <v>520</v>
      </c>
      <c r="Y131" s="97">
        <f ca="1">TblRezone[[#This Row],[Total acres]]*TblRezone[[#This Row],[Plat/acre]]</f>
        <v>0</v>
      </c>
      <c r="Z131" s="226"/>
      <c r="AA131" s="97">
        <f ca="1">250+0.6*(TblRezone[[#This Row],[Land]]-250)</f>
        <v>520</v>
      </c>
      <c r="AB131" s="226"/>
      <c r="AC131" s="160">
        <f ca="1">TblConstr[[#This Row],[Facs DB]]</f>
        <v>0</v>
      </c>
    </row>
    <row r="132" spans="1:29" x14ac:dyDescent="0.2">
      <c r="A132" s="225">
        <f ca="1">TblConstr[[#This Row],[Land]]</f>
        <v>700</v>
      </c>
      <c r="B132" s="227">
        <f ca="1">TblConstr[[#This Row],[Plain]]</f>
        <v>0</v>
      </c>
      <c r="C132" s="185">
        <f ca="1">TblConstr[[#This Row],[Forest]]</f>
        <v>0</v>
      </c>
      <c r="D132" s="385">
        <f ca="1">TblConstr[[#This Row],[Mountain]]</f>
        <v>0</v>
      </c>
      <c r="E132" s="389">
        <f ca="1">TblConstr[[#This Row],[Hill]]</f>
        <v>0</v>
      </c>
      <c r="F132" s="393">
        <f ca="1">TblConstr[[#This Row],[Swamp]]</f>
        <v>0</v>
      </c>
      <c r="G132" s="188">
        <f ca="1">TblConstr[[#This Row],[Cavern]]</f>
        <v>0</v>
      </c>
      <c r="H132" s="189">
        <f ca="1">TblConstr[[#This Row],[Water]]</f>
        <v>0</v>
      </c>
      <c r="I132" s="226"/>
      <c r="J132" s="178">
        <f t="shared" si="3"/>
        <v>129</v>
      </c>
      <c r="K132" s="250">
        <f ca="1">TblImps[[#This Row],[Real time]]</f>
        <v>45435.083333333023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2091219</v>
      </c>
      <c r="W132" s="226"/>
      <c r="X132" s="97">
        <f ca="1">ROUNDUP( (1-MIN(ROUND(facs_rezone_factor*TblRezone[[#This Row],[Facs]],4),facs_rezone_max) + tech_6_4*TblTech[[#This Row],[6-4]] + tech_10_2*TblTech[[#This Row],[10-2]] - IF(TblMagic[[#This Row],[Active Mechanical Genius]]&gt;0,mech_genius_bonus,0) + race_rezone_cost) * TblRezone[[#This Row],[Plat/acre*]],0)</f>
        <v>520</v>
      </c>
      <c r="Y132" s="97">
        <f ca="1">TblRezone[[#This Row],[Total acres]]*TblRezone[[#This Row],[Plat/acre]]</f>
        <v>0</v>
      </c>
      <c r="Z132" s="226"/>
      <c r="AA132" s="97">
        <f ca="1">250+0.6*(TblRezone[[#This Row],[Land]]-250)</f>
        <v>520</v>
      </c>
      <c r="AB132" s="226"/>
      <c r="AC132" s="160">
        <f ca="1">TblConstr[[#This Row],[Facs DB]]</f>
        <v>0</v>
      </c>
    </row>
    <row r="133" spans="1:29" x14ac:dyDescent="0.2">
      <c r="A133" s="225">
        <f ca="1">TblConstr[[#This Row],[Land]]</f>
        <v>700</v>
      </c>
      <c r="B133" s="227">
        <f ca="1">TblConstr[[#This Row],[Plain]]</f>
        <v>0</v>
      </c>
      <c r="C133" s="185">
        <f ca="1">TblConstr[[#This Row],[Forest]]</f>
        <v>0</v>
      </c>
      <c r="D133" s="385">
        <f ca="1">TblConstr[[#This Row],[Mountain]]</f>
        <v>0</v>
      </c>
      <c r="E133" s="389">
        <f ca="1">TblConstr[[#This Row],[Hill]]</f>
        <v>0</v>
      </c>
      <c r="F133" s="393">
        <f ca="1">TblConstr[[#This Row],[Swamp]]</f>
        <v>0</v>
      </c>
      <c r="G133" s="188">
        <f ca="1">TblConstr[[#This Row],[Cavern]]</f>
        <v>0</v>
      </c>
      <c r="H133" s="189">
        <f ca="1">TblConstr[[#This Row],[Water]]</f>
        <v>0</v>
      </c>
      <c r="I133" s="226"/>
      <c r="J133" s="178">
        <f t="shared" si="3"/>
        <v>130</v>
      </c>
      <c r="K133" s="250">
        <f ca="1">TblImps[[#This Row],[Real time]]</f>
        <v>45435.124999999687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2118994</v>
      </c>
      <c r="W133" s="226"/>
      <c r="X133" s="97">
        <f ca="1">ROUNDUP( (1-MIN(ROUND(facs_rezone_factor*TblRezone[[#This Row],[Facs]],4),facs_rezone_max) + tech_6_4*TblTech[[#This Row],[6-4]] + tech_10_2*TblTech[[#This Row],[10-2]] - IF(TblMagic[[#This Row],[Active Mechanical Genius]]&gt;0,mech_genius_bonus,0) + race_rezone_cost) * TblRezone[[#This Row],[Plat/acre*]],0)</f>
        <v>520</v>
      </c>
      <c r="Y133" s="97">
        <f ca="1">TblRezone[[#This Row],[Total acres]]*TblRezone[[#This Row],[Plat/acre]]</f>
        <v>0</v>
      </c>
      <c r="Z133" s="226"/>
      <c r="AA133" s="97">
        <f ca="1">250+0.6*(TblRezone[[#This Row],[Land]]-250)</f>
        <v>520</v>
      </c>
      <c r="AB133" s="226"/>
      <c r="AC133" s="160">
        <f ca="1">TblConstr[[#This Row],[Facs DB]]</f>
        <v>0</v>
      </c>
    </row>
    <row r="134" spans="1:29" x14ac:dyDescent="0.2">
      <c r="A134" s="225">
        <f ca="1">TblConstr[[#This Row],[Land]]</f>
        <v>700</v>
      </c>
      <c r="B134" s="227">
        <f ca="1">TblConstr[[#This Row],[Plain]]</f>
        <v>0</v>
      </c>
      <c r="C134" s="185">
        <f ca="1">TblConstr[[#This Row],[Forest]]</f>
        <v>0</v>
      </c>
      <c r="D134" s="385">
        <f ca="1">TblConstr[[#This Row],[Mountain]]</f>
        <v>0</v>
      </c>
      <c r="E134" s="389">
        <f ca="1">TblConstr[[#This Row],[Hill]]</f>
        <v>0</v>
      </c>
      <c r="F134" s="393">
        <f ca="1">TblConstr[[#This Row],[Swamp]]</f>
        <v>0</v>
      </c>
      <c r="G134" s="188">
        <f ca="1">TblConstr[[#This Row],[Cavern]]</f>
        <v>0</v>
      </c>
      <c r="H134" s="189">
        <f ca="1">TblConstr[[#This Row],[Water]]</f>
        <v>0</v>
      </c>
      <c r="I134" s="226"/>
      <c r="J134" s="178">
        <f t="shared" si="3"/>
        <v>131</v>
      </c>
      <c r="K134" s="250">
        <f ca="1">TblImps[[#This Row],[Real time]]</f>
        <v>45435.166666666351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2146615</v>
      </c>
      <c r="W134" s="226"/>
      <c r="X134" s="97">
        <f ca="1">ROUNDUP( (1-MIN(ROUND(facs_rezone_factor*TblRezone[[#This Row],[Facs]],4),facs_rezone_max) + tech_6_4*TblTech[[#This Row],[6-4]] + tech_10_2*TblTech[[#This Row],[10-2]] - IF(TblMagic[[#This Row],[Active Mechanical Genius]]&gt;0,mech_genius_bonus,0) + race_rezone_cost) * TblRezone[[#This Row],[Plat/acre*]],0)</f>
        <v>520</v>
      </c>
      <c r="Y134" s="97">
        <f ca="1">TblRezone[[#This Row],[Total acres]]*TblRezone[[#This Row],[Plat/acre]]</f>
        <v>0</v>
      </c>
      <c r="Z134" s="226"/>
      <c r="AA134" s="97">
        <f ca="1">250+0.6*(TblRezone[[#This Row],[Land]]-250)</f>
        <v>520</v>
      </c>
      <c r="AB134" s="226"/>
      <c r="AC134" s="160">
        <f ca="1">TblConstr[[#This Row],[Facs DB]]</f>
        <v>0</v>
      </c>
    </row>
    <row r="135" spans="1:29" x14ac:dyDescent="0.2">
      <c r="A135" s="225">
        <f ca="1">TblConstr[[#This Row],[Land]]</f>
        <v>700</v>
      </c>
      <c r="B135" s="227">
        <f ca="1">TblConstr[[#This Row],[Plain]]</f>
        <v>0</v>
      </c>
      <c r="C135" s="185">
        <f ca="1">TblConstr[[#This Row],[Forest]]</f>
        <v>0</v>
      </c>
      <c r="D135" s="385">
        <f ca="1">TblConstr[[#This Row],[Mountain]]</f>
        <v>0</v>
      </c>
      <c r="E135" s="389">
        <f ca="1">TblConstr[[#This Row],[Hill]]</f>
        <v>0</v>
      </c>
      <c r="F135" s="393">
        <f ca="1">TblConstr[[#This Row],[Swamp]]</f>
        <v>0</v>
      </c>
      <c r="G135" s="188">
        <f ca="1">TblConstr[[#This Row],[Cavern]]</f>
        <v>0</v>
      </c>
      <c r="H135" s="189">
        <f ca="1">TblConstr[[#This Row],[Water]]</f>
        <v>0</v>
      </c>
      <c r="I135" s="226"/>
      <c r="J135" s="178">
        <f t="shared" si="3"/>
        <v>132</v>
      </c>
      <c r="K135" s="250">
        <f ca="1">TblImps[[#This Row],[Real time]]</f>
        <v>45435.208333333016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2174085</v>
      </c>
      <c r="W135" s="226"/>
      <c r="X135" s="97">
        <f ca="1">ROUNDUP( (1-MIN(ROUND(facs_rezone_factor*TblRezone[[#This Row],[Facs]],4),facs_rezone_max) + tech_6_4*TblTech[[#This Row],[6-4]] + tech_10_2*TblTech[[#This Row],[10-2]] - IF(TblMagic[[#This Row],[Active Mechanical Genius]]&gt;0,mech_genius_bonus,0) + race_rezone_cost) * TblRezone[[#This Row],[Plat/acre*]],0)</f>
        <v>520</v>
      </c>
      <c r="Y135" s="97">
        <f ca="1">TblRezone[[#This Row],[Total acres]]*TblRezone[[#This Row],[Plat/acre]]</f>
        <v>0</v>
      </c>
      <c r="Z135" s="226"/>
      <c r="AA135" s="97">
        <f ca="1">250+0.6*(TblRezone[[#This Row],[Land]]-250)</f>
        <v>520</v>
      </c>
      <c r="AB135" s="226"/>
      <c r="AC135" s="160">
        <f ca="1">TblConstr[[#This Row],[Facs DB]]</f>
        <v>0</v>
      </c>
    </row>
    <row r="136" spans="1:29" x14ac:dyDescent="0.2">
      <c r="A136" s="225">
        <f ca="1">TblConstr[[#This Row],[Land]]</f>
        <v>700</v>
      </c>
      <c r="B136" s="227">
        <f ca="1">TblConstr[[#This Row],[Plain]]</f>
        <v>0</v>
      </c>
      <c r="C136" s="185">
        <f ca="1">TblConstr[[#This Row],[Forest]]</f>
        <v>0</v>
      </c>
      <c r="D136" s="385">
        <f ca="1">TblConstr[[#This Row],[Mountain]]</f>
        <v>0</v>
      </c>
      <c r="E136" s="389">
        <f ca="1">TblConstr[[#This Row],[Hill]]</f>
        <v>0</v>
      </c>
      <c r="F136" s="393">
        <f ca="1">TblConstr[[#This Row],[Swamp]]</f>
        <v>0</v>
      </c>
      <c r="G136" s="188">
        <f ca="1">TblConstr[[#This Row],[Cavern]]</f>
        <v>0</v>
      </c>
      <c r="H136" s="189">
        <f ca="1">TblConstr[[#This Row],[Water]]</f>
        <v>0</v>
      </c>
      <c r="I136" s="226"/>
      <c r="J136" s="178">
        <f t="shared" si="3"/>
        <v>133</v>
      </c>
      <c r="K136" s="250">
        <f ca="1">TblImps[[#This Row],[Real time]]</f>
        <v>45435.24999999968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2201404</v>
      </c>
      <c r="W136" s="226"/>
      <c r="X136" s="97">
        <f ca="1">ROUNDUP( (1-MIN(ROUND(facs_rezone_factor*TblRezone[[#This Row],[Facs]],4),facs_rezone_max) + tech_6_4*TblTech[[#This Row],[6-4]] + tech_10_2*TblTech[[#This Row],[10-2]] - IF(TblMagic[[#This Row],[Active Mechanical Genius]]&gt;0,mech_genius_bonus,0) + race_rezone_cost) * TblRezone[[#This Row],[Plat/acre*]],0)</f>
        <v>520</v>
      </c>
      <c r="Y136" s="97">
        <f ca="1">TblRezone[[#This Row],[Total acres]]*TblRezone[[#This Row],[Plat/acre]]</f>
        <v>0</v>
      </c>
      <c r="Z136" s="226"/>
      <c r="AA136" s="97">
        <f ca="1">250+0.6*(TblRezone[[#This Row],[Land]]-250)</f>
        <v>520</v>
      </c>
      <c r="AB136" s="226"/>
      <c r="AC136" s="160">
        <f ca="1">TblConstr[[#This Row],[Facs DB]]</f>
        <v>0</v>
      </c>
    </row>
    <row r="1269" spans="1:18" x14ac:dyDescent="0.2">
      <c r="A1269" s="496" t="s">
        <v>316</v>
      </c>
      <c r="B1269" s="496"/>
      <c r="I1269" s="253" t="s">
        <v>306</v>
      </c>
      <c r="L1269" s="254"/>
      <c r="M1269" s="254">
        <v>-10</v>
      </c>
      <c r="N1269" s="254">
        <v>10</v>
      </c>
      <c r="O1269" s="254"/>
      <c r="P1269" s="254"/>
      <c r="Q1269" s="254"/>
      <c r="R1269" s="254"/>
    </row>
    <row r="1270" spans="1:18" x14ac:dyDescent="0.2">
      <c r="A1270" s="28">
        <f>Overview!E17</f>
        <v>0</v>
      </c>
      <c r="B1270" s="28"/>
      <c r="L1270" s="501" t="s">
        <v>305</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55" activePane="bottomLeft" state="frozenSplit"/>
      <selection activeCell="A3" sqref="A3"/>
      <selection pane="bottomLeft" activeCell="AH80" sqref="AH80"/>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474</v>
      </c>
      <c r="T1" s="497"/>
      <c r="U1" s="176"/>
      <c r="V1" s="497" t="s">
        <v>475</v>
      </c>
      <c r="W1" s="497"/>
      <c r="X1" s="5"/>
      <c r="Y1" s="497" t="s">
        <v>24</v>
      </c>
      <c r="Z1" s="497"/>
      <c r="AA1" s="497"/>
      <c r="AB1" s="28"/>
      <c r="AC1" s="5"/>
      <c r="AD1" s="5"/>
      <c r="AE1" s="5"/>
      <c r="AF1" s="5"/>
      <c r="AG1" s="5" t="s">
        <v>181</v>
      </c>
      <c r="AH1" s="5"/>
      <c r="AI1" s="5"/>
      <c r="AJ1" s="5"/>
      <c r="AK1" s="5"/>
      <c r="AL1" s="5"/>
      <c r="AM1" s="5"/>
      <c r="AN1" s="5"/>
      <c r="AO1" s="5"/>
      <c r="AP1" s="5" t="s">
        <v>77</v>
      </c>
      <c r="AQ1" s="5"/>
      <c r="AR1" s="5" t="s">
        <v>33</v>
      </c>
      <c r="AS1" s="5"/>
      <c r="AT1" s="5"/>
      <c r="AU1" s="5"/>
      <c r="AV1" s="5"/>
      <c r="AW1" s="5" t="s">
        <v>186</v>
      </c>
      <c r="AX1" s="5"/>
      <c r="AY1" s="5"/>
      <c r="AZ1" s="5"/>
      <c r="BA1" s="5"/>
      <c r="BB1" s="5"/>
      <c r="BC1" s="5"/>
      <c r="BD1" s="5"/>
      <c r="BE1" s="5"/>
      <c r="BF1" s="5"/>
      <c r="BG1" s="5"/>
      <c r="BH1" s="5"/>
      <c r="BI1" s="497" t="s">
        <v>490</v>
      </c>
      <c r="BJ1" s="497"/>
      <c r="BK1" s="497"/>
      <c r="BL1" s="497"/>
      <c r="BM1" s="497"/>
      <c r="BN1" s="497"/>
      <c r="BO1" s="497"/>
      <c r="BP1" s="497"/>
      <c r="BQ1" s="498"/>
      <c r="BR1" s="498"/>
      <c r="BS1" s="498"/>
      <c r="BT1" s="498"/>
      <c r="BU1" s="5"/>
      <c r="BV1" s="499" t="s">
        <v>298</v>
      </c>
      <c r="BW1" s="453"/>
      <c r="BX1" s="453"/>
      <c r="BY1" s="28"/>
      <c r="BZ1" s="28"/>
      <c r="CA1" s="5"/>
      <c r="CB1" s="5"/>
      <c r="CC1" s="28"/>
      <c r="CD1" s="28"/>
      <c r="CE1" s="28"/>
      <c r="CF1" s="28"/>
      <c r="CG1" s="28"/>
      <c r="CH1" s="28"/>
      <c r="CI1" s="28"/>
      <c r="CJ1" s="28"/>
      <c r="CK1" s="5"/>
      <c r="CL1" s="5"/>
      <c r="CM1" s="5"/>
      <c r="CN1" s="497" t="s">
        <v>312</v>
      </c>
      <c r="CO1" s="497"/>
      <c r="CP1" s="497"/>
      <c r="CQ1" s="498"/>
      <c r="CR1" s="498"/>
      <c r="CS1" s="498"/>
      <c r="CT1" s="498"/>
      <c r="CU1" s="498"/>
      <c r="CV1" s="498"/>
      <c r="CW1" s="57"/>
      <c r="CX1" s="57"/>
      <c r="CY1" s="57"/>
      <c r="CZ1" s="57"/>
      <c r="DA1" s="57"/>
      <c r="DB1" s="57"/>
      <c r="DC1" s="5"/>
      <c r="DD1" s="5"/>
      <c r="DE1" s="5" t="s">
        <v>254</v>
      </c>
      <c r="DF1" s="5"/>
    </row>
    <row r="2" spans="1:110" x14ac:dyDescent="0.2">
      <c r="A2" s="5"/>
      <c r="B2" s="5"/>
      <c r="C2" s="5"/>
      <c r="D2" s="5"/>
      <c r="E2" s="255" t="str">
        <f>Overview!$A$22</f>
        <v>Fire Spirit</v>
      </c>
      <c r="F2" s="255" t="str">
        <f>Overview!$A$23</f>
        <v>Flamewolf</v>
      </c>
      <c r="G2" s="255" t="str">
        <f>Overview!$A$24</f>
        <v>Phoenix</v>
      </c>
      <c r="H2" s="255" t="str">
        <f>Overview!$A$25</f>
        <v>Salamander</v>
      </c>
      <c r="I2" s="255" t="s">
        <v>25</v>
      </c>
      <c r="J2" s="255" t="s">
        <v>1094</v>
      </c>
      <c r="K2" s="255" t="s">
        <v>26</v>
      </c>
      <c r="L2" s="255" t="s">
        <v>27</v>
      </c>
      <c r="M2" s="5"/>
      <c r="N2" s="5"/>
      <c r="O2" s="5"/>
      <c r="P2" s="28"/>
      <c r="Q2" s="28"/>
      <c r="R2" s="28"/>
      <c r="S2" s="256"/>
      <c r="T2" s="28"/>
      <c r="U2" s="176"/>
      <c r="V2" s="28"/>
      <c r="W2" s="28"/>
      <c r="X2" s="5"/>
      <c r="Y2" s="5"/>
      <c r="Z2" s="5"/>
      <c r="AA2" s="5"/>
      <c r="AB2" s="5"/>
      <c r="AC2" s="5"/>
      <c r="AD2" s="5"/>
      <c r="AE2" s="5"/>
      <c r="AF2" s="5"/>
      <c r="AG2" s="255" t="str">
        <f>Overview!$A$22</f>
        <v>Fire Spirit</v>
      </c>
      <c r="AH2" s="255" t="str">
        <f>Overview!$A$23</f>
        <v>Flamewolf</v>
      </c>
      <c r="AI2" s="255" t="str">
        <f>Overview!$A$24</f>
        <v>Phoenix</v>
      </c>
      <c r="AJ2" s="255" t="str">
        <f>Overview!$A$25</f>
        <v>Salamander</v>
      </c>
      <c r="AK2" s="255" t="s">
        <v>25</v>
      </c>
      <c r="AL2" s="255" t="s">
        <v>1094</v>
      </c>
      <c r="AM2" s="255" t="s">
        <v>26</v>
      </c>
      <c r="AN2" s="255" t="s">
        <v>27</v>
      </c>
      <c r="AO2" s="5"/>
      <c r="AP2" s="5"/>
      <c r="AQ2" s="257" t="str">
        <f>INDEX(Constants!A133:B153,MATCH(race,Constants!A133:A153,0),2)</f>
        <v>Ore</v>
      </c>
      <c r="AR2" s="5"/>
      <c r="AS2" s="257" t="str">
        <f>AQ2</f>
        <v>Ore</v>
      </c>
      <c r="AT2" s="5"/>
      <c r="AU2" s="5"/>
      <c r="AV2" s="5"/>
      <c r="AW2" s="255" t="s">
        <v>24</v>
      </c>
      <c r="AX2" s="255" t="str">
        <f>Overview!$A$22</f>
        <v>Fire Spirit</v>
      </c>
      <c r="AY2" s="255" t="str">
        <f>Overview!$A$23</f>
        <v>Flamewolf</v>
      </c>
      <c r="AZ2" s="255" t="str">
        <f>Overview!$A$24</f>
        <v>Phoenix</v>
      </c>
      <c r="BA2" s="255" t="str">
        <f>Overview!$A$25</f>
        <v>Salamander</v>
      </c>
      <c r="BB2" s="255" t="s">
        <v>25</v>
      </c>
      <c r="BC2" s="255" t="s">
        <v>1094</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188</v>
      </c>
      <c r="D3" s="138" t="s">
        <v>774</v>
      </c>
      <c r="E3" s="138" t="s">
        <v>770</v>
      </c>
      <c r="F3" s="138" t="s">
        <v>771</v>
      </c>
      <c r="G3" s="138" t="s">
        <v>772</v>
      </c>
      <c r="H3" s="138" t="s">
        <v>773</v>
      </c>
      <c r="I3" s="138" t="s">
        <v>25</v>
      </c>
      <c r="J3" s="138" t="s">
        <v>1094</v>
      </c>
      <c r="K3" s="138" t="s">
        <v>26</v>
      </c>
      <c r="L3" s="138" t="s">
        <v>27</v>
      </c>
      <c r="M3" s="138" t="s">
        <v>775</v>
      </c>
      <c r="N3" s="138" t="s">
        <v>231</v>
      </c>
      <c r="O3" s="138" t="s">
        <v>776</v>
      </c>
      <c r="P3" s="138" t="s">
        <v>189</v>
      </c>
      <c r="Q3" s="138" t="s">
        <v>801</v>
      </c>
      <c r="R3" s="138" t="s">
        <v>228</v>
      </c>
      <c r="S3" s="258" t="s">
        <v>476</v>
      </c>
      <c r="T3" s="138" t="s">
        <v>473</v>
      </c>
      <c r="U3" s="138" t="s">
        <v>802</v>
      </c>
      <c r="V3" s="259" t="s">
        <v>870</v>
      </c>
      <c r="W3" s="138" t="s">
        <v>871</v>
      </c>
      <c r="X3" s="138" t="s">
        <v>1</v>
      </c>
      <c r="Y3" s="138" t="s">
        <v>180</v>
      </c>
      <c r="Z3" s="138" t="s">
        <v>179</v>
      </c>
      <c r="AA3" s="138" t="s">
        <v>24</v>
      </c>
      <c r="AB3" s="138" t="s">
        <v>791</v>
      </c>
      <c r="AC3" s="138" t="s">
        <v>184</v>
      </c>
      <c r="AD3" s="138" t="s">
        <v>792</v>
      </c>
      <c r="AE3" s="138" t="s">
        <v>856</v>
      </c>
      <c r="AF3" s="138" t="s">
        <v>311</v>
      </c>
      <c r="AG3" s="138" t="s">
        <v>785</v>
      </c>
      <c r="AH3" s="138" t="s">
        <v>786</v>
      </c>
      <c r="AI3" s="138" t="s">
        <v>787</v>
      </c>
      <c r="AJ3" s="138" t="s">
        <v>788</v>
      </c>
      <c r="AK3" s="138" t="s">
        <v>789</v>
      </c>
      <c r="AL3" s="138" t="s">
        <v>1093</v>
      </c>
      <c r="AM3" s="138" t="s">
        <v>790</v>
      </c>
      <c r="AN3" s="138" t="s">
        <v>1092</v>
      </c>
      <c r="AO3" s="138" t="s">
        <v>793</v>
      </c>
      <c r="AP3" s="138" t="s">
        <v>2</v>
      </c>
      <c r="AQ3" s="258" t="s">
        <v>1012</v>
      </c>
      <c r="AR3" s="138" t="s">
        <v>803</v>
      </c>
      <c r="AS3" s="258" t="s">
        <v>1013</v>
      </c>
      <c r="AT3" s="138" t="s">
        <v>1050</v>
      </c>
      <c r="AU3" s="138" t="s">
        <v>1052</v>
      </c>
      <c r="AV3" s="138" t="s">
        <v>778</v>
      </c>
      <c r="AW3" s="138" t="s">
        <v>794</v>
      </c>
      <c r="AX3" s="138" t="s">
        <v>795</v>
      </c>
      <c r="AY3" s="138" t="s">
        <v>796</v>
      </c>
      <c r="AZ3" s="138" t="s">
        <v>797</v>
      </c>
      <c r="BA3" s="138" t="s">
        <v>798</v>
      </c>
      <c r="BB3" s="138" t="s">
        <v>799</v>
      </c>
      <c r="BC3" s="138" t="s">
        <v>1095</v>
      </c>
      <c r="BD3" s="138" t="s">
        <v>800</v>
      </c>
      <c r="BE3" s="138" t="s">
        <v>1096</v>
      </c>
      <c r="BF3" s="138" t="s">
        <v>779</v>
      </c>
      <c r="BG3" s="138" t="s">
        <v>232</v>
      </c>
      <c r="BH3" s="138" t="s">
        <v>354</v>
      </c>
      <c r="BI3" s="138" t="s">
        <v>491</v>
      </c>
      <c r="BJ3" s="138" t="s">
        <v>492</v>
      </c>
      <c r="BK3" s="138" t="s">
        <v>493</v>
      </c>
      <c r="BL3" s="138" t="s">
        <v>494</v>
      </c>
      <c r="BM3" s="138" t="s">
        <v>495</v>
      </c>
      <c r="BN3" s="138" t="s">
        <v>496</v>
      </c>
      <c r="BO3" s="138" t="s">
        <v>497</v>
      </c>
      <c r="BP3" s="138" t="s">
        <v>498</v>
      </c>
      <c r="BQ3" s="138" t="s">
        <v>899</v>
      </c>
      <c r="BR3" s="138" t="s">
        <v>1097</v>
      </c>
      <c r="BS3" s="138" t="s">
        <v>900</v>
      </c>
      <c r="BT3" s="138" t="s">
        <v>901</v>
      </c>
      <c r="BU3" s="138" t="s">
        <v>902</v>
      </c>
      <c r="BV3" s="138" t="s">
        <v>245</v>
      </c>
      <c r="BW3" s="138" t="s">
        <v>297</v>
      </c>
      <c r="BX3" s="138" t="s">
        <v>124</v>
      </c>
      <c r="BY3" s="138" t="s">
        <v>1015</v>
      </c>
      <c r="BZ3" s="138" t="s">
        <v>1014</v>
      </c>
      <c r="CA3" s="138" t="s">
        <v>139</v>
      </c>
      <c r="CB3" s="138" t="s">
        <v>132</v>
      </c>
      <c r="CC3" s="138" t="s">
        <v>1076</v>
      </c>
      <c r="CD3" s="138" t="s">
        <v>1080</v>
      </c>
      <c r="CE3" s="138" t="s">
        <v>328</v>
      </c>
      <c r="CF3" s="138" t="s">
        <v>329</v>
      </c>
      <c r="CG3" s="138" t="s">
        <v>333</v>
      </c>
      <c r="CH3" s="138" t="s">
        <v>334</v>
      </c>
      <c r="CI3" s="138" t="s">
        <v>143</v>
      </c>
      <c r="CJ3" s="138" t="s">
        <v>500</v>
      </c>
      <c r="CK3" s="260" t="s">
        <v>780</v>
      </c>
      <c r="CL3" s="260" t="s">
        <v>781</v>
      </c>
      <c r="CM3" s="260" t="s">
        <v>782</v>
      </c>
      <c r="CN3" s="138" t="s">
        <v>1016</v>
      </c>
      <c r="CO3" s="138" t="s">
        <v>885</v>
      </c>
      <c r="CP3" s="138" t="s">
        <v>886</v>
      </c>
      <c r="CQ3" s="138" t="s">
        <v>887</v>
      </c>
      <c r="CR3" s="138" t="s">
        <v>888</v>
      </c>
      <c r="CS3" s="138" t="s">
        <v>889</v>
      </c>
      <c r="CT3" s="138" t="s">
        <v>890</v>
      </c>
      <c r="CU3" s="138" t="s">
        <v>891</v>
      </c>
      <c r="CV3" s="138" t="s">
        <v>892</v>
      </c>
      <c r="CW3" s="138" t="s">
        <v>893</v>
      </c>
      <c r="CX3" s="138" t="s">
        <v>894</v>
      </c>
      <c r="CY3" s="138" t="s">
        <v>895</v>
      </c>
      <c r="CZ3" s="260" t="s">
        <v>783</v>
      </c>
      <c r="DA3" s="138" t="s">
        <v>1087</v>
      </c>
      <c r="DB3" s="260" t="s">
        <v>784</v>
      </c>
      <c r="DC3" s="138" t="s">
        <v>896</v>
      </c>
      <c r="DD3" s="138" t="s">
        <v>1053</v>
      </c>
      <c r="DE3" s="138" t="s">
        <v>897</v>
      </c>
      <c r="DF3" s="138" t="s">
        <v>898</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0</v>
      </c>
      <c r="J4" s="423">
        <f>start_ass - TblMili[[#This Row],[Release AS]]</f>
        <v>0</v>
      </c>
      <c r="K4" s="423">
        <f>start_wizards  - TblMili[[#This Row],[Train AM]] - TblMili[[#This Row],[Release Wizards]]</f>
        <v>0</v>
      </c>
      <c r="L4" s="422">
        <f>start_ams  - TblMili[[#This Row],[Release AM]]</f>
        <v>0</v>
      </c>
      <c r="M4" s="145"/>
      <c r="N4" s="97">
        <f ca="1">TblProd[[#This Row],[Networth]]</f>
        <v>5450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300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300</v>
      </c>
      <c r="X4" s="262">
        <f ca="1">TblConstr[[#This Row],[Land]]</f>
        <v>250</v>
      </c>
      <c r="Y4" s="265">
        <v>0.9</v>
      </c>
      <c r="Z4" s="270">
        <f>IF(TblMili[[#This Row],[Set]]&lt;&gt;"",TblMili[[#This Row],[Set]],0.35)</f>
        <v>0.9</v>
      </c>
      <c r="AA4" s="404">
        <f ca="1">start_draftees - SUM(TblMili[[#This Row],[Train Unit 1]:[Train Spies]],TblMili[[#This Row],[Train Wiz]]) - TblMili[[#This Row],[Release Draft]] + SUM(TblMili[[#This Row],[Release Unit 1]:[Release AM]]) - TblExplore[[#This Row],[Draftees (2)]]+MIN(13,days_late)*days_late_draftees</f>
        <v>300</v>
      </c>
      <c r="AB4" s="157"/>
      <c r="AC4" s="183">
        <f ca="1">(TblConstr[[#This Row],[Tot Smi]]+TblConstr[[#This Row],[Dest Smi]])/(TblConstr[[#This Row],[Land]]-TblExplore[[#This Row],[Land Bonus]]*20)</f>
        <v>0</v>
      </c>
      <c r="AD4" s="261"/>
      <c r="AE4" s="261">
        <f>TblMili[[#This Row],[Hour]]</f>
        <v>1</v>
      </c>
      <c r="AF4" s="141">
        <f>TblExplore[[#This Row],[Time]]</f>
        <v>45429.75</v>
      </c>
      <c r="AG4" s="182"/>
      <c r="AH4" s="182"/>
      <c r="AI4" s="182"/>
      <c r="AJ4" s="182"/>
      <c r="AK4" s="182"/>
      <c r="AL4" s="182"/>
      <c r="AM4" s="182"/>
      <c r="AN4" s="182"/>
      <c r="AO4" s="145"/>
      <c r="AP4" s="97">
        <f ca="1">TblProd[[#This Row],[Platinum]]</f>
        <v>9830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45429.75</v>
      </c>
      <c r="AV4" s="97">
        <f ca="1">TblMili[[#This Row],[Draftees]]</f>
        <v>300</v>
      </c>
      <c r="AW4" s="182"/>
      <c r="AX4" s="182"/>
      <c r="AY4" s="182">
        <v>150</v>
      </c>
      <c r="AZ4" s="182"/>
      <c r="BA4" s="182"/>
      <c r="BB4" s="182">
        <v>25</v>
      </c>
      <c r="BC4" s="182"/>
      <c r="BD4" s="182">
        <v>25</v>
      </c>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300</v>
      </c>
      <c r="BJ4" s="97">
        <f ca="1">ROUNDUP(IF(race="Gnome",1,(1-MIN(TblMili[[#This Row],[Smithies]]*smithy_bonus,smithy_bonus_cap) + tech_3_5*TblTech[[#This Row],[3-5]] + tech_5_3*TblTech[[#This Row],[5-3]] + tech_5_5*TblTech[[#This Row],[5-5]]))*spec_op_ore,0)</f>
        <v>0</v>
      </c>
      <c r="BK4" s="97">
        <f ca="1">ROUNDUP((1-MIN(TblMili[[#This Row],[Smithies]]*smithy_bonus,smithy_bonus_cap) + tech_3_5*TblTech[[#This Row],[3-5]] + tech_5_3*TblTech[[#This Row],[5-3]] + tech_5_5*TblTech[[#This Row],[5-5]])*spec_dp_plat,0)</f>
        <v>300</v>
      </c>
      <c r="BL4" s="97">
        <f ca="1">ROUNDUP(IF(race="Gnome",1,(1-MIN(TblMili[[#This Row],[Smithies]]*smithy_bonus,smithy_bonus_cap) + tech_3_5*TblTech[[#This Row],[3-5]] + tech_5_3*TblTech[[#This Row],[5-3]] + tech_5_5*TblTech[[#This Row],[5-5]]))*spec_dp_ore,0)</f>
        <v>0</v>
      </c>
      <c r="BM4" s="97">
        <f ca="1">ROUNDUP((1-MIN(TblMili[[#This Row],[Smithies]]*smithy_bonus,smithy_bonus_cap) + tech_3_5*TblTech[[#This Row],[3-5]] + tech_5_3*TblTech[[#This Row],[5-3]] + tech_5_5*TblTech[[#This Row],[5-5]])*elite1_plat,0)</f>
        <v>925</v>
      </c>
      <c r="BN4" s="97">
        <f ca="1">ROUNDUP(IF(race="Gnome",1,(1-MIN(TblMili[[#This Row],[Smithies]]*smithy_bonus,smithy_bonus_cap) + tech_3_5*TblTech[[#This Row],[3-5]] + tech_5_3*TblTech[[#This Row],[5-3]] + tech_5_5*TblTech[[#This Row],[5-5]]))*elite1_ore,0)</f>
        <v>0</v>
      </c>
      <c r="BO4" s="97">
        <f ca="1">ROUNDUP((1-MIN(TblMili[[#This Row],[Smithies]]*smithy_bonus,smithy_bonus_cap) + tech_3_5*TblTech[[#This Row],[3-5]] + tech_5_3*TblTech[[#This Row],[5-3]] + tech_5_5*TblTech[[#This Row],[5-5]])*elite2_plat,0)</f>
        <v>950</v>
      </c>
      <c r="BP4" s="97">
        <f ca="1">ROUNDUP(IF(race="Gnome",1,(1-MIN(TblMili[[#This Row],[Smithies]]*smithy_bonus,smithy_bonus_cap) + tech_3_5*TblTech[[#This Row],[3-5]] + tech_5_3*TblTech[[#This Row],[5-3]] + tech_5_5*TblTech[[#This Row],[5-5]]))*elite2_ore,0)</f>
        <v>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0.12</v>
      </c>
      <c r="BW4" s="160">
        <f ca="1">TblMili[[#This Row],[WG''s]]</f>
        <v>0</v>
      </c>
      <c r="BX4" s="266">
        <f ca="1">IF(mystic_cap="none",TblMili[[#This Row],[Hill]]/mystic_bonus,MIN(mystic_cap,TblMili[[#This Row],[Hill]]/mystic_bonus))</f>
        <v>0.6</v>
      </c>
      <c r="BY4" s="266">
        <f ca="1">IF(druid_op_cap="none",TblMili[[#This Row],[Hill]]/druid_op_bonus,MIN(druid_op_cap,TblMili[[#This Row],[Hill]]/druid_op_bonus))</f>
        <v>0.6</v>
      </c>
      <c r="BZ4" s="266">
        <f ca="1">IF(druid_dp_cap="none",TblMili[[#This Row],[Hill]]/druid_dp_bonus,MIN(druid_dp_cap,TblMili[[#This Row],[Hill]]/druid_dp_bonus))</f>
        <v>0.6</v>
      </c>
      <c r="CA4" s="266">
        <f ca="1">MIN(dryad_cap,TblMili[[#This Row],[Hill]]/dryad_bonus)</f>
        <v>0.6</v>
      </c>
      <c r="CB4" s="266">
        <f ca="1">MIN(rocka_cap,TblMili[[#This Row],[Hill]]/rocka_bonus)</f>
        <v>0.6</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0.6</v>
      </c>
      <c r="CH4" s="45">
        <f ca="1">MIN(ice_elem_cap,TblMili[[#This Row],[Raw (2)]]*ice_elem_bonus)</f>
        <v>0</v>
      </c>
      <c r="CI4" s="266">
        <f t="shared" ref="CI4:CI35" si="0">MIN(bone_breaker_cap,250/bone_breaker_bonus)</f>
        <v>0.83333333333333337</v>
      </c>
      <c r="CJ4" s="266">
        <f ca="1">MIN(nox_nightshade_cap,TblConstr[[#This Row],[Homeland]]/TblConstr[[#This Row],[Land]]/nox_nightshade_swamp_bonus)</f>
        <v>1.2</v>
      </c>
      <c r="CK4" s="267"/>
      <c r="CL4" s="267"/>
      <c r="CM4" s="267"/>
      <c r="CN4" s="266">
        <f ca="1">MIN(6,TblMili[[#This Row],[Mystic]]+Races!$F$19)*1.8 +  IF(TblMili[[#This Row],[Mystic]]+Races!$F$19&gt;6,(TblMili[[#This Row],[Mystic]]+Races!$F$19-6)*0.2,0) - Races!$I$19</f>
        <v>1.0799999999999992</v>
      </c>
      <c r="CO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4" s="97">
        <f ca="1">TblMili[[#This Row],[Mystic bonus]]*TblMili[[#This Row],[Unit 3]]+TblMili[[#This Row],[Druid bonus]]*TblMili[[#This Row],[Unit 4]]</f>
        <v>0</v>
      </c>
      <c r="CQ4" s="158">
        <f ca="1">MIN(6,TblMili[[#This Row],[Dryad]]+Races!$F$35)*1.8 +  IF(TblMili[[#This Row],[Dryad]]+Races!$F$35&gt;6,(TblMili[[#This Row],[Dryad]]+Races!$F$35-6)*0.2,0) - Races!$I$19</f>
        <v>-0.71999999999999975</v>
      </c>
      <c r="CR4" s="97">
        <f ca="1">sylvan*(TblMili[[#This Row],[Mystic bonus]]*TblMili[[#This Row],[Unit 3]])</f>
        <v>0</v>
      </c>
      <c r="CS4" s="158">
        <f ca="1">1.8 * MIN(MAX(Races!$E$27,TblMili[[#This Row],[Rockapult]]+Races!$F$27),6)  +  0.45 * MIN(MIN(Races!$E$27,TblMili[[#This Row],[Rockapult]]+Races!$F$27),6)  +  0.2 * ( MAX(Races!$E$27-6,0) + MAX(TblMili[[#This Row],[Rockapult]]+Races!$F$27-6,0) )  -  Races!$I$20</f>
        <v>3.3299999999999992</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1.08</v>
      </c>
      <c r="CX4" s="266">
        <f ca="1">1.8 * MIN(MAX(TblMili[[#This Row],[Ice Elemental]]+Races!$E$71,Races!$F$71),6)  +  0.45 * MIN(MIN(TblMili[[#This Row],[Ice Elemental]]+Races!$E$71,Races!$F$71),6)  +  0.2 * ( MAX(TblMili[[#This Row],[Ice Elemental]]+Races!$E$71-6,0) + MAX(Races!$F$71-6,0) )  -  Races!$I$71</f>
        <v>0</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4" s="145"/>
      <c r="DE4" s="269">
        <f ca="1">(TblMili[[#This Row],[Wizards]]+2*TblMili[[#This Row],[Archmages]])/TblConstr[[#This Row],[Land]]</f>
        <v>0</v>
      </c>
      <c r="DF4" s="269">
        <f ca="1">TblMili[[#This Row],[Raw (2)]]*(1+race_wizard_strength+IF(TblMili[[#This Row],[Hour]]&gt;72,tech_magical_weaponry_wiz*TblTech[[#This Row],[3-5]],0))</f>
        <v>0</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5"/>
      <c r="N5" s="97">
        <f ca="1">TblProd[[#This Row],[Networth]]</f>
        <v>5450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313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313</v>
      </c>
      <c r="X5" s="262">
        <f ca="1">TblConstr[[#This Row],[Land]]</f>
        <v>250</v>
      </c>
      <c r="Y5" s="265"/>
      <c r="Z5" s="270">
        <f ca="1">IF(TblMili[[#This Row],[Set]]&lt;&gt;"",TblMili[[#This Row],[Set]],OFFSET(TblMili[[#This Row],[Draftrate]],-1,0))</f>
        <v>0.9</v>
      </c>
      <c r="AA5" s="97">
        <f ca="1">OFFSET(TblMili[[#This Row],[Draftees]],-1,0)+OFFSET(TblPop[[#This Row],[Draft Growth]],-1,0) - SUM(TblMili[[#This Row],[Train Unit 1]:[Train Spies]],TblMili[[#This Row],[Train Wiz]]) - TblMili[[#This Row],[Release Draft]] + SUM(TblMili[[#This Row],[Release Unit 1]:[Release AM]]) - TblExplore[[#This Row],[Draftees (2)]]</f>
        <v>313</v>
      </c>
      <c r="AB5" s="157"/>
      <c r="AC5" s="183">
        <f ca="1">(TblConstr[[#This Row],[Tot Smi]]+TblConstr[[#This Row],[Dest Smi]])/(TblConstr[[#This Row],[Land]]-TblExplore[[#This Row],[Land Bonus]]*20)</f>
        <v>0</v>
      </c>
      <c r="AD5" s="140"/>
      <c r="AE5" s="261">
        <f>TblMili[[#This Row],[Hour]]</f>
        <v>2</v>
      </c>
      <c r="AF5" s="141">
        <f ca="1">TblExplore[[#This Row],[Time]]</f>
        <v>45429.791666666664</v>
      </c>
      <c r="AG5" s="182"/>
      <c r="AH5" s="182"/>
      <c r="AI5" s="182"/>
      <c r="AJ5" s="182"/>
      <c r="AK5" s="182"/>
      <c r="AL5" s="182"/>
      <c r="AM5" s="182"/>
      <c r="AN5" s="182"/>
      <c r="AO5" s="145"/>
      <c r="AP5" s="97">
        <f ca="1">TblProd[[#This Row],[Platinum]]</f>
        <v>15140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45429.791666666664</v>
      </c>
      <c r="AV5" s="97">
        <f ca="1">TblMili[[#This Row],[Draftees]]</f>
        <v>313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300</v>
      </c>
      <c r="BJ5" s="97">
        <f ca="1">ROUNDUP(IF(race="Gnome",1,(1-MIN(TblMili[[#This Row],[Smithies]]*smithy_bonus,smithy_bonus_cap) + tech_3_5*TblTech[[#This Row],[3-5]] + tech_5_3*TblTech[[#This Row],[5-3]] + tech_5_5*TblTech[[#This Row],[5-5]]))*spec_op_ore,0)</f>
        <v>0</v>
      </c>
      <c r="BK5" s="97">
        <f ca="1">ROUNDUP((1-MIN(TblMili[[#This Row],[Smithies]]*smithy_bonus,smithy_bonus_cap) + tech_3_5*TblTech[[#This Row],[3-5]] + tech_5_3*TblTech[[#This Row],[5-3]] + tech_5_5*TblTech[[#This Row],[5-5]])*spec_dp_plat,0)</f>
        <v>300</v>
      </c>
      <c r="BL5" s="97">
        <f ca="1">ROUNDUP(IF(race="Gnome",1,(1-MIN(TblMili[[#This Row],[Smithies]]*smithy_bonus,smithy_bonus_cap) + tech_3_5*TblTech[[#This Row],[3-5]] + tech_5_3*TblTech[[#This Row],[5-3]] + tech_5_5*TblTech[[#This Row],[5-5]]))*spec_dp_ore,0)</f>
        <v>0</v>
      </c>
      <c r="BM5" s="97">
        <f ca="1">ROUNDUP((1-MIN(TblMili[[#This Row],[Smithies]]*smithy_bonus,smithy_bonus_cap) + tech_3_5*TblTech[[#This Row],[3-5]] + tech_5_3*TblTech[[#This Row],[5-3]] + tech_5_5*TblTech[[#This Row],[5-5]])*elite1_plat,0)</f>
        <v>925</v>
      </c>
      <c r="BN5" s="97">
        <f ca="1">ROUNDUP(IF(race="Gnome",1,(1-MIN(TblMili[[#This Row],[Smithies]]*smithy_bonus,smithy_bonus_cap) + tech_3_5*TblTech[[#This Row],[3-5]] + tech_5_3*TblTech[[#This Row],[5-3]] + tech_5_5*TblTech[[#This Row],[5-5]]))*elite1_ore,0)</f>
        <v>0</v>
      </c>
      <c r="BO5" s="97">
        <f ca="1">ROUNDUP((1-MIN(TblMili[[#This Row],[Smithies]]*smithy_bonus,smithy_bonus_cap) + tech_3_5*TblTech[[#This Row],[3-5]] + tech_5_3*TblTech[[#This Row],[5-3]] + tech_5_5*TblTech[[#This Row],[5-5]])*elite2_plat,0)</f>
        <v>950</v>
      </c>
      <c r="BP5" s="97">
        <f ca="1">ROUNDUP(IF(race="Gnome",1,(1-MIN(TblMili[[#This Row],[Smithies]]*smithy_bonus,smithy_bonus_cap) + tech_3_5*TblTech[[#This Row],[3-5]] + tech_5_3*TblTech[[#This Row],[5-3]] + tech_5_5*TblTech[[#This Row],[5-5]]))*elite2_ore,0)</f>
        <v>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0.12</v>
      </c>
      <c r="BW5" s="160">
        <f ca="1">TblMili[[#This Row],[WG''s]]</f>
        <v>0</v>
      </c>
      <c r="BX5" s="266">
        <f ca="1">IF(mystic_cap="none",TblMili[[#This Row],[Hill]]/mystic_bonus,MIN(mystic_cap,TblMili[[#This Row],[Hill]]/mystic_bonus))</f>
        <v>0.6</v>
      </c>
      <c r="BY5" s="266">
        <f ca="1">IF(druid_op_cap="none",TblMili[[#This Row],[Hill]]/druid_op_bonus,MIN(druid_op_cap,TblMili[[#This Row],[Hill]]/druid_op_bonus))</f>
        <v>0.6</v>
      </c>
      <c r="BZ5" s="266">
        <f ca="1">IF(druid_dp_cap="none",TblMili[[#This Row],[Hill]]/druid_dp_bonus,MIN(druid_dp_cap,TblMili[[#This Row],[Hill]]/druid_dp_bonus))</f>
        <v>0.6</v>
      </c>
      <c r="CA5" s="266">
        <f ca="1">MIN(dryad_cap,TblMili[[#This Row],[Hill]]/dryad_bonus)</f>
        <v>0.6</v>
      </c>
      <c r="CB5" s="266">
        <f ca="1">MIN(rocka_cap,TblMili[[#This Row],[Hill]]/rocka_bonus)</f>
        <v>0.6</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0.6</v>
      </c>
      <c r="CH5" s="45">
        <f ca="1">MIN(ice_elem_cap,TblMili[[#This Row],[Raw (2)]]*ice_elem_bonus)</f>
        <v>0</v>
      </c>
      <c r="CI5" s="266">
        <f t="shared" si="0"/>
        <v>0.83333333333333337</v>
      </c>
      <c r="CJ5" s="266">
        <f ca="1">MIN(nox_nightshade_cap,TblConstr[[#This Row],[Homeland]]/TblConstr[[#This Row],[Land]]/nox_nightshade_swamp_bonus)</f>
        <v>1.2</v>
      </c>
      <c r="CK5" s="267" t="s">
        <v>92</v>
      </c>
      <c r="CL5" s="267" t="b">
        <f t="shared" ref="CL5:CL12" si="1">race=CK5</f>
        <v>0</v>
      </c>
      <c r="CM5" s="267"/>
      <c r="CN5" s="266">
        <f ca="1">MIN(6,TblMili[[#This Row],[Mystic]]+Races!$F$19)*1.8 +  IF(TblMili[[#This Row],[Mystic]]+Races!$F$19&gt;6,(TblMili[[#This Row],[Mystic]]+Races!$F$19-6)*0.2,0) - Races!$I$19</f>
        <v>1.0799999999999992</v>
      </c>
      <c r="CO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5" s="97">
        <f ca="1">TblMili[[#This Row],[Mystic bonus]]*TblMili[[#This Row],[Unit 3]]+TblMili[[#This Row],[Druid bonus]]*TblMili[[#This Row],[Unit 4]]</f>
        <v>0</v>
      </c>
      <c r="CQ5" s="158">
        <f ca="1">MIN(6,TblMili[[#This Row],[Dryad]]+Races!$F$35)*1.8 +  IF(TblMili[[#This Row],[Dryad]]+Races!$F$35&gt;6,(TblMili[[#This Row],[Dryad]]+Races!$F$35-6)*0.2,0) - Races!$I$19</f>
        <v>-0.71999999999999975</v>
      </c>
      <c r="CR5" s="97">
        <f ca="1">sylvan*(TblMili[[#This Row],[Mystic bonus]]*TblMili[[#This Row],[Unit 3]])</f>
        <v>0</v>
      </c>
      <c r="CS5" s="158">
        <f ca="1">1.8 * MIN(MAX(Races!$E$27,TblMili[[#This Row],[Rockapult]]+Races!$F$27),6)  +  0.45 * MIN(MIN(Races!$E$27,TblMili[[#This Row],[Rockapult]]+Races!$F$27),6)  +  0.2 * ( MAX(Races!$E$27-6,0) + MAX(TblMili[[#This Row],[Rockapult]]+Races!$F$27-6,0) )  -  Races!$I$20</f>
        <v>3.3299999999999992</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1.08</v>
      </c>
      <c r="CX5" s="158">
        <f ca="1">1.8 * MIN(MAX(TblMili[[#This Row],[Ice Elemental]]+Races!$E$71,Races!$F$71),6)  +  0.45 * MIN(MIN(TblMili[[#This Row],[Ice Elemental]]+Races!$E$71,Races!$F$71),6)  +  0.2 * ( MAX(TblMili[[#This Row],[Ice Elemental]]+Races!$E$71-6,0) + MAX(Races!$F$71-6,0) )  -  Races!$I$71</f>
        <v>0</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5" s="145"/>
      <c r="DE5" s="269">
        <f ca="1">(TblMili[[#This Row],[Wizards]]+2*TblMili[[#This Row],[Archmages]])/TblConstr[[#This Row],[Land]]</f>
        <v>0</v>
      </c>
      <c r="DF5" s="269">
        <f ca="1">TblMili[[#This Row],[Raw (2)]]*(1+race_wizard_strength+IF(TblMili[[#This Row],[Hour]]&gt;72,tech_magical_weaponry_wiz*TblTech[[#This Row],[3-5]],0))</f>
        <v>0</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5"/>
      <c r="N6" s="97">
        <f ca="1">TblProd[[#This Row],[Networth]]</f>
        <v>5450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326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326</v>
      </c>
      <c r="X6" s="262">
        <f ca="1">TblConstr[[#This Row],[Land]]</f>
        <v>250</v>
      </c>
      <c r="Y6" s="265"/>
      <c r="Z6" s="270">
        <f ca="1">IF(TblMili[[#This Row],[Set]]&lt;&gt;"",TblMili[[#This Row],[Set]],OFFSET(TblMili[[#This Row],[Draftrate]],-1,0))</f>
        <v>0.9</v>
      </c>
      <c r="AA6" s="97">
        <f ca="1">OFFSET(TblMili[[#This Row],[Draftees]],-1,0)+OFFSET(TblPop[[#This Row],[Draft Growth]],-1,0) - SUM(TblMili[[#This Row],[Train Unit 1]:[Train Spies]],TblMili[[#This Row],[Train Wiz]]) - TblMili[[#This Row],[Release Draft]] + SUM(TblMili[[#This Row],[Release Unit 1]:[Release AM]]) - TblExplore[[#This Row],[Draftees (2)]]</f>
        <v>326</v>
      </c>
      <c r="AB6" s="157"/>
      <c r="AC6" s="183">
        <f ca="1">(TblConstr[[#This Row],[Tot Smi]]+TblConstr[[#This Row],[Dest Smi]])/(TblConstr[[#This Row],[Land]]-TblExplore[[#This Row],[Land Bonus]]*20)</f>
        <v>0</v>
      </c>
      <c r="AD6" s="140"/>
      <c r="AE6" s="261">
        <f>TblMili[[#This Row],[Hour]]</f>
        <v>3</v>
      </c>
      <c r="AF6" s="141">
        <f ca="1">TblExplore[[#This Row],[Time]]</f>
        <v>45429.833333333328</v>
      </c>
      <c r="AG6" s="182"/>
      <c r="AH6" s="182"/>
      <c r="AI6" s="182"/>
      <c r="AJ6" s="182"/>
      <c r="AK6" s="182"/>
      <c r="AL6" s="182"/>
      <c r="AM6" s="182"/>
      <c r="AN6" s="182"/>
      <c r="AO6" s="145"/>
      <c r="AP6" s="97">
        <f ca="1">TblProd[[#This Row],[Platinum]]</f>
        <v>20520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45429.833333333328</v>
      </c>
      <c r="AV6" s="97">
        <f ca="1">TblMili[[#This Row],[Draftees]]</f>
        <v>326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300</v>
      </c>
      <c r="BJ6" s="97">
        <f ca="1">ROUNDUP(IF(race="Gnome",1,(1-MIN(TblMili[[#This Row],[Smithies]]*smithy_bonus,smithy_bonus_cap) + tech_3_5*TblTech[[#This Row],[3-5]] + tech_5_3*TblTech[[#This Row],[5-3]] + tech_5_5*TblTech[[#This Row],[5-5]]))*spec_op_ore,0)</f>
        <v>0</v>
      </c>
      <c r="BK6" s="97">
        <f ca="1">ROUNDUP((1-MIN(TblMili[[#This Row],[Smithies]]*smithy_bonus,smithy_bonus_cap) + tech_3_5*TblTech[[#This Row],[3-5]] + tech_5_3*TblTech[[#This Row],[5-3]] + tech_5_5*TblTech[[#This Row],[5-5]])*spec_dp_plat,0)</f>
        <v>300</v>
      </c>
      <c r="BL6" s="97">
        <f ca="1">ROUNDUP(IF(race="Gnome",1,(1-MIN(TblMili[[#This Row],[Smithies]]*smithy_bonus,smithy_bonus_cap) + tech_3_5*TblTech[[#This Row],[3-5]] + tech_5_3*TblTech[[#This Row],[5-3]] + tech_5_5*TblTech[[#This Row],[5-5]]))*spec_dp_ore,0)</f>
        <v>0</v>
      </c>
      <c r="BM6" s="97">
        <f ca="1">ROUNDUP((1-MIN(TblMili[[#This Row],[Smithies]]*smithy_bonus,smithy_bonus_cap) + tech_3_5*TblTech[[#This Row],[3-5]] + tech_5_3*TblTech[[#This Row],[5-3]] + tech_5_5*TblTech[[#This Row],[5-5]])*elite1_plat,0)</f>
        <v>925</v>
      </c>
      <c r="BN6" s="97">
        <f ca="1">ROUNDUP(IF(race="Gnome",1,(1-MIN(TblMili[[#This Row],[Smithies]]*smithy_bonus,smithy_bonus_cap) + tech_3_5*TblTech[[#This Row],[3-5]] + tech_5_3*TblTech[[#This Row],[5-3]] + tech_5_5*TblTech[[#This Row],[5-5]]))*elite1_ore,0)</f>
        <v>0</v>
      </c>
      <c r="BO6" s="97">
        <f ca="1">ROUNDUP((1-MIN(TblMili[[#This Row],[Smithies]]*smithy_bonus,smithy_bonus_cap) + tech_3_5*TblTech[[#This Row],[3-5]] + tech_5_3*TblTech[[#This Row],[5-3]] + tech_5_5*TblTech[[#This Row],[5-5]])*elite2_plat,0)</f>
        <v>950</v>
      </c>
      <c r="BP6" s="97">
        <f ca="1">ROUNDUP(IF(race="Gnome",1,(1-MIN(TblMili[[#This Row],[Smithies]]*smithy_bonus,smithy_bonus_cap) + tech_3_5*TblTech[[#This Row],[3-5]] + tech_5_3*TblTech[[#This Row],[5-3]] + tech_5_5*TblTech[[#This Row],[5-5]]))*elite2_ore,0)</f>
        <v>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0.12</v>
      </c>
      <c r="BW6" s="160">
        <f ca="1">TblMili[[#This Row],[WG''s]]</f>
        <v>0</v>
      </c>
      <c r="BX6" s="266">
        <f ca="1">IF(mystic_cap="none",TblMili[[#This Row],[Hill]]/mystic_bonus,MIN(mystic_cap,TblMili[[#This Row],[Hill]]/mystic_bonus))</f>
        <v>0.6</v>
      </c>
      <c r="BY6" s="266">
        <f ca="1">IF(druid_op_cap="none",TblMili[[#This Row],[Hill]]/druid_op_bonus,MIN(druid_op_cap,TblMili[[#This Row],[Hill]]/druid_op_bonus))</f>
        <v>0.6</v>
      </c>
      <c r="BZ6" s="266">
        <f ca="1">IF(druid_dp_cap="none",TblMili[[#This Row],[Hill]]/druid_dp_bonus,MIN(druid_dp_cap,TblMili[[#This Row],[Hill]]/druid_dp_bonus))</f>
        <v>0.6</v>
      </c>
      <c r="CA6" s="266">
        <f ca="1">MIN(dryad_cap,TblMili[[#This Row],[Hill]]/dryad_bonus)</f>
        <v>0.6</v>
      </c>
      <c r="CB6" s="266">
        <f ca="1">MIN(rocka_cap,TblMili[[#This Row],[Hill]]/rocka_bonus)</f>
        <v>0.6</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0.6</v>
      </c>
      <c r="CH6" s="45">
        <f ca="1">MIN(ice_elem_cap,TblMili[[#This Row],[Raw (2)]]*ice_elem_bonus)</f>
        <v>0</v>
      </c>
      <c r="CI6" s="266">
        <f t="shared" si="0"/>
        <v>0.83333333333333337</v>
      </c>
      <c r="CJ6" s="266">
        <f ca="1">MIN(nox_nightshade_cap,TblConstr[[#This Row],[Homeland]]/TblConstr[[#This Row],[Land]]/nox_nightshade_swamp_bonus)</f>
        <v>1.2</v>
      </c>
      <c r="CK6" s="267" t="s">
        <v>96</v>
      </c>
      <c r="CL6" s="267" t="b">
        <f t="shared" si="1"/>
        <v>0</v>
      </c>
      <c r="CM6" s="267"/>
      <c r="CN6" s="266">
        <f ca="1">MIN(6,TblMili[[#This Row],[Mystic]]+Races!$F$19)*1.8 +  IF(TblMili[[#This Row],[Mystic]]+Races!$F$19&gt;6,(TblMili[[#This Row],[Mystic]]+Races!$F$19-6)*0.2,0) - Races!$I$19</f>
        <v>1.0799999999999992</v>
      </c>
      <c r="CO6"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6" s="97">
        <f ca="1">TblMili[[#This Row],[Mystic bonus]]*TblMili[[#This Row],[Unit 3]]+TblMili[[#This Row],[Druid bonus]]*TblMili[[#This Row],[Unit 4]]</f>
        <v>0</v>
      </c>
      <c r="CQ6" s="158">
        <f ca="1">MIN(6,TblMili[[#This Row],[Dryad]]+Races!$F$35)*1.8 +  IF(TblMili[[#This Row],[Dryad]]+Races!$F$35&gt;6,(TblMili[[#This Row],[Dryad]]+Races!$F$35-6)*0.2,0) - Races!$I$19</f>
        <v>-0.71999999999999975</v>
      </c>
      <c r="CR6" s="97">
        <f ca="1">sylvan*(TblMili[[#This Row],[Mystic bonus]]*TblMili[[#This Row],[Unit 3]])</f>
        <v>0</v>
      </c>
      <c r="CS6" s="158">
        <f ca="1">1.8 * MIN(MAX(Races!$E$27,TblMili[[#This Row],[Rockapult]]+Races!$F$27),6)  +  0.45 * MIN(MIN(Races!$E$27,TblMili[[#This Row],[Rockapult]]+Races!$F$27),6)  +  0.2 * ( MAX(Races!$E$27-6,0) + MAX(TblMili[[#This Row],[Rockapult]]+Races!$F$27-6,0) )  -  Races!$I$20</f>
        <v>3.3299999999999992</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1.08</v>
      </c>
      <c r="CX6" s="158">
        <f ca="1">1.8 * MIN(MAX(TblMili[[#This Row],[Ice Elemental]]+Races!$E$71,Races!$F$71),6)  +  0.45 * MIN(MIN(TblMili[[#This Row],[Ice Elemental]]+Races!$E$71,Races!$F$71),6)  +  0.2 * ( MAX(TblMili[[#This Row],[Ice Elemental]]+Races!$E$71-6,0) + MAX(Races!$F$71-6,0) )  -  Races!$I$71</f>
        <v>0</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6" s="145"/>
      <c r="DE6" s="269">
        <f ca="1">(TblMili[[#This Row],[Wizards]]+2*TblMili[[#This Row],[Archmages]])/TblConstr[[#This Row],[Land]]</f>
        <v>0</v>
      </c>
      <c r="DF6" s="269">
        <f ca="1">TblMili[[#This Row],[Raw (2)]]*(1+race_wizard_strength+IF(TblMili[[#This Row],[Hour]]&gt;72,tech_magical_weaponry_wiz*TblTech[[#This Row],[3-5]],0))</f>
        <v>0</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5"/>
      <c r="N7" s="97">
        <f ca="1">TblProd[[#This Row],[Networth]]</f>
        <v>5450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340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340</v>
      </c>
      <c r="X7" s="262">
        <f ca="1">TblConstr[[#This Row],[Land]]</f>
        <v>250</v>
      </c>
      <c r="Y7" s="265"/>
      <c r="Z7" s="270">
        <f ca="1">IF(TblMili[[#This Row],[Set]]&lt;&gt;"",TblMili[[#This Row],[Set]],OFFSET(TblMili[[#This Row],[Draftrate]],-1,0))</f>
        <v>0.9</v>
      </c>
      <c r="AA7" s="97">
        <f ca="1">OFFSET(TblMili[[#This Row],[Draftees]],-1,0)+OFFSET(TblPop[[#This Row],[Draft Growth]],-1,0) - SUM(TblMili[[#This Row],[Train Unit 1]:[Train Spies]],TblMili[[#This Row],[Train Wiz]]) - TblMili[[#This Row],[Release Draft]] + SUM(TblMili[[#This Row],[Release Unit 1]:[Release AM]]) - TblExplore[[#This Row],[Draftees (2)]]</f>
        <v>340</v>
      </c>
      <c r="AB7" s="157"/>
      <c r="AC7" s="183">
        <f ca="1">(TblConstr[[#This Row],[Tot Smi]]+TblConstr[[#This Row],[Dest Smi]])/(TblConstr[[#This Row],[Land]]-TblExplore[[#This Row],[Land Bonus]]*20)</f>
        <v>0</v>
      </c>
      <c r="AD7" s="140"/>
      <c r="AE7" s="261">
        <f>TblMili[[#This Row],[Hour]]</f>
        <v>4</v>
      </c>
      <c r="AF7" s="141">
        <f ca="1">TblExplore[[#This Row],[Time]]</f>
        <v>45429.874999999993</v>
      </c>
      <c r="AG7" s="182"/>
      <c r="AH7" s="182"/>
      <c r="AI7" s="182"/>
      <c r="AJ7" s="182"/>
      <c r="AK7" s="182"/>
      <c r="AL7" s="182"/>
      <c r="AM7" s="182"/>
      <c r="AN7" s="182"/>
      <c r="AO7" s="145"/>
      <c r="AP7" s="97">
        <f ca="1">TblProd[[#This Row],[Platinum]]</f>
        <v>25970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45429.874999999993</v>
      </c>
      <c r="AV7" s="97">
        <f ca="1">TblMili[[#This Row],[Draftees]]</f>
        <v>340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300</v>
      </c>
      <c r="BJ7" s="97">
        <f ca="1">ROUNDUP(IF(race="Gnome",1,(1-MIN(TblMili[[#This Row],[Smithies]]*smithy_bonus,smithy_bonus_cap) + tech_3_5*TblTech[[#This Row],[3-5]] + tech_5_3*TblTech[[#This Row],[5-3]] + tech_5_5*TblTech[[#This Row],[5-5]]))*spec_op_ore,0)</f>
        <v>0</v>
      </c>
      <c r="BK7" s="97">
        <f ca="1">ROUNDUP((1-MIN(TblMili[[#This Row],[Smithies]]*smithy_bonus,smithy_bonus_cap) + tech_3_5*TblTech[[#This Row],[3-5]] + tech_5_3*TblTech[[#This Row],[5-3]] + tech_5_5*TblTech[[#This Row],[5-5]])*spec_dp_plat,0)</f>
        <v>300</v>
      </c>
      <c r="BL7" s="97">
        <f ca="1">ROUNDUP(IF(race="Gnome",1,(1-MIN(TblMili[[#This Row],[Smithies]]*smithy_bonus,smithy_bonus_cap) + tech_3_5*TblTech[[#This Row],[3-5]] + tech_5_3*TblTech[[#This Row],[5-3]] + tech_5_5*TblTech[[#This Row],[5-5]]))*spec_dp_ore,0)</f>
        <v>0</v>
      </c>
      <c r="BM7" s="97">
        <f ca="1">ROUNDUP((1-MIN(TblMili[[#This Row],[Smithies]]*smithy_bonus,smithy_bonus_cap) + tech_3_5*TblTech[[#This Row],[3-5]] + tech_5_3*TblTech[[#This Row],[5-3]] + tech_5_5*TblTech[[#This Row],[5-5]])*elite1_plat,0)</f>
        <v>925</v>
      </c>
      <c r="BN7" s="97">
        <f ca="1">ROUNDUP(IF(race="Gnome",1,(1-MIN(TblMili[[#This Row],[Smithies]]*smithy_bonus,smithy_bonus_cap) + tech_3_5*TblTech[[#This Row],[3-5]] + tech_5_3*TblTech[[#This Row],[5-3]] + tech_5_5*TblTech[[#This Row],[5-5]]))*elite1_ore,0)</f>
        <v>0</v>
      </c>
      <c r="BO7" s="97">
        <f ca="1">ROUNDUP((1-MIN(TblMili[[#This Row],[Smithies]]*smithy_bonus,smithy_bonus_cap) + tech_3_5*TblTech[[#This Row],[3-5]] + tech_5_3*TblTech[[#This Row],[5-3]] + tech_5_5*TblTech[[#This Row],[5-5]])*elite2_plat,0)</f>
        <v>950</v>
      </c>
      <c r="BP7" s="97">
        <f ca="1">ROUNDUP(IF(race="Gnome",1,(1-MIN(TblMili[[#This Row],[Smithies]]*smithy_bonus,smithy_bonus_cap) + tech_3_5*TblTech[[#This Row],[3-5]] + tech_5_3*TblTech[[#This Row],[5-3]] + tech_5_5*TblTech[[#This Row],[5-5]]))*elite2_ore,0)</f>
        <v>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0.12</v>
      </c>
      <c r="BW7" s="160">
        <f ca="1">TblMili[[#This Row],[WG''s]]</f>
        <v>0</v>
      </c>
      <c r="BX7" s="266">
        <f ca="1">IF(mystic_cap="none",TblMili[[#This Row],[Hill]]/mystic_bonus,MIN(mystic_cap,TblMili[[#This Row],[Hill]]/mystic_bonus))</f>
        <v>0.6</v>
      </c>
      <c r="BY7" s="266">
        <f ca="1">IF(druid_op_cap="none",TblMili[[#This Row],[Hill]]/druid_op_bonus,MIN(druid_op_cap,TblMili[[#This Row],[Hill]]/druid_op_bonus))</f>
        <v>0.6</v>
      </c>
      <c r="BZ7" s="266">
        <f ca="1">IF(druid_dp_cap="none",TblMili[[#This Row],[Hill]]/druid_dp_bonus,MIN(druid_dp_cap,TblMili[[#This Row],[Hill]]/druid_dp_bonus))</f>
        <v>0.6</v>
      </c>
      <c r="CA7" s="266">
        <f ca="1">MIN(dryad_cap,TblMili[[#This Row],[Hill]]/dryad_bonus)</f>
        <v>0.6</v>
      </c>
      <c r="CB7" s="266">
        <f ca="1">MIN(rocka_cap,TblMili[[#This Row],[Hill]]/rocka_bonus)</f>
        <v>0.6</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0.6</v>
      </c>
      <c r="CH7" s="45">
        <f ca="1">MIN(ice_elem_cap,TblMili[[#This Row],[Raw (2)]]*ice_elem_bonus)</f>
        <v>0</v>
      </c>
      <c r="CI7" s="266">
        <f t="shared" si="0"/>
        <v>0.83333333333333337</v>
      </c>
      <c r="CJ7" s="266">
        <f ca="1">MIN(nox_nightshade_cap,TblConstr[[#This Row],[Homeland]]/TblConstr[[#This Row],[Land]]/nox_nightshade_swamp_bonus)</f>
        <v>1.2</v>
      </c>
      <c r="CK7" s="267" t="s">
        <v>94</v>
      </c>
      <c r="CL7" s="267" t="b">
        <f t="shared" si="1"/>
        <v>0</v>
      </c>
      <c r="CM7" s="267"/>
      <c r="CN7" s="266">
        <f ca="1">MIN(6,TblMili[[#This Row],[Mystic]]+Races!$F$19)*1.8 +  IF(TblMili[[#This Row],[Mystic]]+Races!$F$19&gt;6,(TblMili[[#This Row],[Mystic]]+Races!$F$19-6)*0.2,0) - Races!$I$19</f>
        <v>1.0799999999999992</v>
      </c>
      <c r="CO7"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7" s="97">
        <f ca="1">TblMili[[#This Row],[Mystic bonus]]*TblMili[[#This Row],[Unit 3]]+TblMili[[#This Row],[Druid bonus]]*TblMili[[#This Row],[Unit 4]]</f>
        <v>0</v>
      </c>
      <c r="CQ7" s="158">
        <f ca="1">MIN(6,TblMili[[#This Row],[Dryad]]+Races!$F$35)*1.8 +  IF(TblMili[[#This Row],[Dryad]]+Races!$F$35&gt;6,(TblMili[[#This Row],[Dryad]]+Races!$F$35-6)*0.2,0) - Races!$I$19</f>
        <v>-0.71999999999999975</v>
      </c>
      <c r="CR7" s="97">
        <f ca="1">sylvan*(TblMili[[#This Row],[Mystic bonus]]*TblMili[[#This Row],[Unit 3]])</f>
        <v>0</v>
      </c>
      <c r="CS7" s="158">
        <f ca="1">1.8 * MIN(MAX(Races!$E$27,TblMili[[#This Row],[Rockapult]]+Races!$F$27),6)  +  0.45 * MIN(MIN(Races!$E$27,TblMili[[#This Row],[Rockapult]]+Races!$F$27),6)  +  0.2 * ( MAX(Races!$E$27-6,0) + MAX(TblMili[[#This Row],[Rockapult]]+Races!$F$27-6,0) )  -  Races!$I$20</f>
        <v>3.3299999999999992</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1.08</v>
      </c>
      <c r="CX7" s="158">
        <f ca="1">1.8 * MIN(MAX(TblMili[[#This Row],[Ice Elemental]]+Races!$E$71,Races!$F$71),6)  +  0.45 * MIN(MIN(TblMili[[#This Row],[Ice Elemental]]+Races!$E$71,Races!$F$71),6)  +  0.2 * ( MAX(TblMili[[#This Row],[Ice Elemental]]+Races!$E$71-6,0) + MAX(Races!$F$71-6,0) )  -  Races!$I$71</f>
        <v>0</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7" s="145"/>
      <c r="DE7" s="269">
        <f ca="1">(TblMili[[#This Row],[Wizards]]+2*TblMili[[#This Row],[Archmages]])/TblConstr[[#This Row],[Land]]</f>
        <v>0</v>
      </c>
      <c r="DF7" s="269">
        <f ca="1">TblMili[[#This Row],[Raw (2)]]*(1+race_wizard_strength+IF(TblMili[[#This Row],[Hour]]&gt;72,tech_magical_weaponry_wiz*TblTech[[#This Row],[3-5]],0))</f>
        <v>0</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5"/>
      <c r="N8" s="97">
        <f ca="1">TblProd[[#This Row],[Networth]]</f>
        <v>5450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354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354</v>
      </c>
      <c r="X8" s="262">
        <f ca="1">TblConstr[[#This Row],[Land]]</f>
        <v>250</v>
      </c>
      <c r="Y8" s="265"/>
      <c r="Z8" s="270">
        <f ca="1">IF(TblMili[[#This Row],[Set]]&lt;&gt;"",TblMili[[#This Row],[Set]],OFFSET(TblMili[[#This Row],[Draftrate]],-1,0))</f>
        <v>0.9</v>
      </c>
      <c r="AA8" s="97">
        <f ca="1">OFFSET(TblMili[[#This Row],[Draftees]],-1,0)+OFFSET(TblPop[[#This Row],[Draft Growth]],-1,0) - SUM(TblMili[[#This Row],[Train Unit 1]:[Train Spies]],TblMili[[#This Row],[Train Wiz]]) - TblMili[[#This Row],[Release Draft]] + SUM(TblMili[[#This Row],[Release Unit 1]:[Release AM]]) - TblExplore[[#This Row],[Draftees (2)]]</f>
        <v>354</v>
      </c>
      <c r="AB8" s="157"/>
      <c r="AC8" s="183">
        <f ca="1">(TblConstr[[#This Row],[Tot Smi]]+TblConstr[[#This Row],[Dest Smi]])/(TblConstr[[#This Row],[Land]]-TblExplore[[#This Row],[Land Bonus]]*20)</f>
        <v>0</v>
      </c>
      <c r="AD8" s="140"/>
      <c r="AE8" s="261">
        <f>TblMili[[#This Row],[Hour]]</f>
        <v>5</v>
      </c>
      <c r="AF8" s="141">
        <f ca="1">TblExplore[[#This Row],[Time]]</f>
        <v>45429.916666666657</v>
      </c>
      <c r="AG8" s="182"/>
      <c r="AH8" s="182"/>
      <c r="AI8" s="182"/>
      <c r="AJ8" s="182"/>
      <c r="AK8" s="182"/>
      <c r="AL8" s="182"/>
      <c r="AM8" s="182"/>
      <c r="AN8" s="182"/>
      <c r="AO8" s="145"/>
      <c r="AP8" s="97">
        <f ca="1">TblProd[[#This Row],[Platinum]]</f>
        <v>31490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45429.916666666657</v>
      </c>
      <c r="AV8" s="97">
        <f ca="1">TblMili[[#This Row],[Draftees]]</f>
        <v>354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300</v>
      </c>
      <c r="BJ8" s="97">
        <f ca="1">ROUNDUP(IF(race="Gnome",1,(1-MIN(TblMili[[#This Row],[Smithies]]*smithy_bonus,smithy_bonus_cap) + tech_3_5*TblTech[[#This Row],[3-5]] + tech_5_3*TblTech[[#This Row],[5-3]] + tech_5_5*TblTech[[#This Row],[5-5]]))*spec_op_ore,0)</f>
        <v>0</v>
      </c>
      <c r="BK8" s="97">
        <f ca="1">ROUNDUP((1-MIN(TblMili[[#This Row],[Smithies]]*smithy_bonus,smithy_bonus_cap) + tech_3_5*TblTech[[#This Row],[3-5]] + tech_5_3*TblTech[[#This Row],[5-3]] + tech_5_5*TblTech[[#This Row],[5-5]])*spec_dp_plat,0)</f>
        <v>300</v>
      </c>
      <c r="BL8" s="97">
        <f ca="1">ROUNDUP(IF(race="Gnome",1,(1-MIN(TblMili[[#This Row],[Smithies]]*smithy_bonus,smithy_bonus_cap) + tech_3_5*TblTech[[#This Row],[3-5]] + tech_5_3*TblTech[[#This Row],[5-3]] + tech_5_5*TblTech[[#This Row],[5-5]]))*spec_dp_ore,0)</f>
        <v>0</v>
      </c>
      <c r="BM8" s="97">
        <f ca="1">ROUNDUP((1-MIN(TblMili[[#This Row],[Smithies]]*smithy_bonus,smithy_bonus_cap) + tech_3_5*TblTech[[#This Row],[3-5]] + tech_5_3*TblTech[[#This Row],[5-3]] + tech_5_5*TblTech[[#This Row],[5-5]])*elite1_plat,0)</f>
        <v>925</v>
      </c>
      <c r="BN8" s="97">
        <f ca="1">ROUNDUP(IF(race="Gnome",1,(1-MIN(TblMili[[#This Row],[Smithies]]*smithy_bonus,smithy_bonus_cap) + tech_3_5*TblTech[[#This Row],[3-5]] + tech_5_3*TblTech[[#This Row],[5-3]] + tech_5_5*TblTech[[#This Row],[5-5]]))*elite1_ore,0)</f>
        <v>0</v>
      </c>
      <c r="BO8" s="97">
        <f ca="1">ROUNDUP((1-MIN(TblMili[[#This Row],[Smithies]]*smithy_bonus,smithy_bonus_cap) + tech_3_5*TblTech[[#This Row],[3-5]] + tech_5_3*TblTech[[#This Row],[5-3]] + tech_5_5*TblTech[[#This Row],[5-5]])*elite2_plat,0)</f>
        <v>950</v>
      </c>
      <c r="BP8" s="97">
        <f ca="1">ROUNDUP(IF(race="Gnome",1,(1-MIN(TblMili[[#This Row],[Smithies]]*smithy_bonus,smithy_bonus_cap) + tech_3_5*TblTech[[#This Row],[3-5]] + tech_5_3*TblTech[[#This Row],[5-3]] + tech_5_5*TblTech[[#This Row],[5-5]]))*elite2_ore,0)</f>
        <v>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0.12</v>
      </c>
      <c r="BW8" s="160">
        <f ca="1">TblMili[[#This Row],[WG''s]]</f>
        <v>0</v>
      </c>
      <c r="BX8" s="266">
        <f ca="1">IF(mystic_cap="none",TblMili[[#This Row],[Hill]]/mystic_bonus,MIN(mystic_cap,TblMili[[#This Row],[Hill]]/mystic_bonus))</f>
        <v>0.6</v>
      </c>
      <c r="BY8" s="266">
        <f ca="1">IF(druid_op_cap="none",TblMili[[#This Row],[Hill]]/druid_op_bonus,MIN(druid_op_cap,TblMili[[#This Row],[Hill]]/druid_op_bonus))</f>
        <v>0.6</v>
      </c>
      <c r="BZ8" s="266">
        <f ca="1">IF(druid_dp_cap="none",TblMili[[#This Row],[Hill]]/druid_dp_bonus,MIN(druid_dp_cap,TblMili[[#This Row],[Hill]]/druid_dp_bonus))</f>
        <v>0.6</v>
      </c>
      <c r="CA8" s="266">
        <f ca="1">MIN(dryad_cap,TblMili[[#This Row],[Hill]]/dryad_bonus)</f>
        <v>0.6</v>
      </c>
      <c r="CB8" s="266">
        <f ca="1">MIN(rocka_cap,TblMili[[#This Row],[Hill]]/rocka_bonus)</f>
        <v>0.6</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0.6</v>
      </c>
      <c r="CH8" s="45">
        <f ca="1">MIN(ice_elem_cap,TblMili[[#This Row],[Raw (2)]]*ice_elem_bonus)</f>
        <v>0</v>
      </c>
      <c r="CI8" s="266">
        <f t="shared" si="0"/>
        <v>0.83333333333333337</v>
      </c>
      <c r="CJ8" s="266">
        <f ca="1">MIN(nox_nightshade_cap,TblConstr[[#This Row],[Homeland]]/TblConstr[[#This Row],[Land]]/nox_nightshade_swamp_bonus)</f>
        <v>1.2</v>
      </c>
      <c r="CK8" s="267" t="s">
        <v>99</v>
      </c>
      <c r="CL8" s="267" t="b">
        <f t="shared" si="1"/>
        <v>0</v>
      </c>
      <c r="CM8" s="267"/>
      <c r="CN8" s="266">
        <f ca="1">MIN(6,TblMili[[#This Row],[Mystic]]+Races!$F$19)*1.8 +  IF(TblMili[[#This Row],[Mystic]]+Races!$F$19&gt;6,(TblMili[[#This Row],[Mystic]]+Races!$F$19-6)*0.2,0) - Races!$I$19</f>
        <v>1.0799999999999992</v>
      </c>
      <c r="CO8"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8" s="97">
        <f ca="1">TblMili[[#This Row],[Mystic bonus]]*TblMili[[#This Row],[Unit 3]]+TblMili[[#This Row],[Druid bonus]]*TblMili[[#This Row],[Unit 4]]</f>
        <v>0</v>
      </c>
      <c r="CQ8" s="158">
        <f ca="1">MIN(6,TblMili[[#This Row],[Dryad]]+Races!$F$35)*1.8 +  IF(TblMili[[#This Row],[Dryad]]+Races!$F$35&gt;6,(TblMili[[#This Row],[Dryad]]+Races!$F$35-6)*0.2,0) - Races!$I$19</f>
        <v>-0.71999999999999975</v>
      </c>
      <c r="CR8" s="97">
        <f ca="1">sylvan*(TblMili[[#This Row],[Mystic bonus]]*TblMili[[#This Row],[Unit 3]])</f>
        <v>0</v>
      </c>
      <c r="CS8" s="158">
        <f ca="1">1.8 * MIN(MAX(Races!$E$27,TblMili[[#This Row],[Rockapult]]+Races!$F$27),6)  +  0.45 * MIN(MIN(Races!$E$27,TblMili[[#This Row],[Rockapult]]+Races!$F$27),6)  +  0.2 * ( MAX(Races!$E$27-6,0) + MAX(TblMili[[#This Row],[Rockapult]]+Races!$F$27-6,0) )  -  Races!$I$20</f>
        <v>3.3299999999999992</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1.08</v>
      </c>
      <c r="CX8" s="158">
        <f ca="1">1.8 * MIN(MAX(TblMili[[#This Row],[Ice Elemental]]+Races!$E$71,Races!$F$71),6)  +  0.45 * MIN(MIN(TblMili[[#This Row],[Ice Elemental]]+Races!$E$71,Races!$F$71),6)  +  0.2 * ( MAX(TblMili[[#This Row],[Ice Elemental]]+Races!$E$71-6,0) + MAX(Races!$F$71-6,0) )  -  Races!$I$71</f>
        <v>0</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8" s="145"/>
      <c r="DE8" s="269">
        <f ca="1">(TblMili[[#This Row],[Wizards]]+2*TblMili[[#This Row],[Archmages]])/TblConstr[[#This Row],[Land]]</f>
        <v>0</v>
      </c>
      <c r="DF8" s="269">
        <f ca="1">TblMili[[#This Row],[Raw (2)]]*(1+race_wizard_strength+IF(TblMili[[#This Row],[Hour]]&gt;72,tech_magical_weaponry_wiz*TblTech[[#This Row],[3-5]],0))</f>
        <v>0</v>
      </c>
    </row>
    <row r="9" spans="1:110" x14ac:dyDescent="0.2">
      <c r="A9" s="140">
        <f>TblRezone[[#This Row],[Hour]]</f>
        <v>6</v>
      </c>
      <c r="B9" s="261">
        <f ca="1">SUM(TblMili[[#This Row],[Unit 1]:[Archmages]])+SUM(OFFSET(TblMili[[#This Row],[Train Unit 1]],-5,0):TblMili[[#This Row],[Train Unit 4]])+TblMili[[#This Row],[Draftees]]</f>
        <v>272</v>
      </c>
      <c r="C9" s="160">
        <f ca="1">TblPop[[#This Row],[Military%]]</f>
        <v>0.15953079178885632</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5"/>
      <c r="N9" s="97">
        <f ca="1">TblProd[[#This Row],[Networth]]</f>
        <v>5450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272</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272</v>
      </c>
      <c r="X9" s="262">
        <f ca="1">TblConstr[[#This Row],[Land]]</f>
        <v>250</v>
      </c>
      <c r="Y9" s="265"/>
      <c r="Z9" s="270">
        <f ca="1">IF(TblMili[[#This Row],[Set]]&lt;&gt;"",TblMili[[#This Row],[Set]],OFFSET(TblMili[[#This Row],[Draftrate]],-1,0))</f>
        <v>0.9</v>
      </c>
      <c r="AA9" s="97">
        <f ca="1">OFFSET(TblMili[[#This Row],[Draftees]],-1,0)+OFFSET(TblPop[[#This Row],[Draft Growth]],-1,0) - SUM(TblMili[[#This Row],[Train Unit 1]:[Train Spies]],TblMili[[#This Row],[Train Wiz]]) - TblMili[[#This Row],[Release Draft]] + SUM(TblMili[[#This Row],[Release Unit 1]:[Release AM]]) - TblExplore[[#This Row],[Draftees (2)]]</f>
        <v>272</v>
      </c>
      <c r="AB9" s="157"/>
      <c r="AC9" s="183">
        <f ca="1">(TblConstr[[#This Row],[Tot Smi]]+TblConstr[[#This Row],[Dest Smi]])/(TblConstr[[#This Row],[Land]]-TblExplore[[#This Row],[Land Bonus]]*20)</f>
        <v>0</v>
      </c>
      <c r="AD9" s="140"/>
      <c r="AE9" s="261">
        <f>TblMili[[#This Row],[Hour]]</f>
        <v>6</v>
      </c>
      <c r="AF9" s="141">
        <f ca="1">TblExplore[[#This Row],[Time]]</f>
        <v>45429.958333333321</v>
      </c>
      <c r="AG9" s="182"/>
      <c r="AH9" s="182"/>
      <c r="AI9" s="182"/>
      <c r="AJ9" s="182"/>
      <c r="AK9" s="182"/>
      <c r="AL9" s="182"/>
      <c r="AM9" s="182"/>
      <c r="AN9" s="182"/>
      <c r="AO9" s="145"/>
      <c r="AP9" s="97">
        <f ca="1">TblProd[[#This Row],[Platinum]]</f>
        <v>16683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45429.958333333321</v>
      </c>
      <c r="AV9" s="97">
        <f ca="1">TblMili[[#This Row],[Draftees]]</f>
        <v>272</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300</v>
      </c>
      <c r="BJ9" s="97">
        <f ca="1">ROUNDUP(IF(race="Gnome",1,(1-MIN(TblMili[[#This Row],[Smithies]]*smithy_bonus,smithy_bonus_cap) + tech_3_5*TblTech[[#This Row],[3-5]] + tech_5_3*TblTech[[#This Row],[5-3]] + tech_5_5*TblTech[[#This Row],[5-5]]))*spec_op_ore,0)</f>
        <v>0</v>
      </c>
      <c r="BK9" s="97">
        <f ca="1">ROUNDUP((1-MIN(TblMili[[#This Row],[Smithies]]*smithy_bonus,smithy_bonus_cap) + tech_3_5*TblTech[[#This Row],[3-5]] + tech_5_3*TblTech[[#This Row],[5-3]] + tech_5_5*TblTech[[#This Row],[5-5]])*spec_dp_plat,0)</f>
        <v>300</v>
      </c>
      <c r="BL9" s="97">
        <f ca="1">ROUNDUP(IF(race="Gnome",1,(1-MIN(TblMili[[#This Row],[Smithies]]*smithy_bonus,smithy_bonus_cap) + tech_3_5*TblTech[[#This Row],[3-5]] + tech_5_3*TblTech[[#This Row],[5-3]] + tech_5_5*TblTech[[#This Row],[5-5]]))*spec_dp_ore,0)</f>
        <v>0</v>
      </c>
      <c r="BM9" s="97">
        <f ca="1">ROUNDUP((1-MIN(TblMili[[#This Row],[Smithies]]*smithy_bonus,smithy_bonus_cap) + tech_3_5*TblTech[[#This Row],[3-5]] + tech_5_3*TblTech[[#This Row],[5-3]] + tech_5_5*TblTech[[#This Row],[5-5]])*elite1_plat,0)</f>
        <v>925</v>
      </c>
      <c r="BN9" s="97">
        <f ca="1">ROUNDUP(IF(race="Gnome",1,(1-MIN(TblMili[[#This Row],[Smithies]]*smithy_bonus,smithy_bonus_cap) + tech_3_5*TblTech[[#This Row],[3-5]] + tech_5_3*TblTech[[#This Row],[5-3]] + tech_5_5*TblTech[[#This Row],[5-5]]))*elite1_ore,0)</f>
        <v>0</v>
      </c>
      <c r="BO9" s="97">
        <f ca="1">ROUNDUP((1-MIN(TblMili[[#This Row],[Smithies]]*smithy_bonus,smithy_bonus_cap) + tech_3_5*TblTech[[#This Row],[3-5]] + tech_5_3*TblTech[[#This Row],[5-3]] + tech_5_5*TblTech[[#This Row],[5-5]])*elite2_plat,0)</f>
        <v>950</v>
      </c>
      <c r="BP9" s="97">
        <f ca="1">ROUNDUP(IF(race="Gnome",1,(1-MIN(TblMili[[#This Row],[Smithies]]*smithy_bonus,smithy_bonus_cap) + tech_3_5*TblTech[[#This Row],[3-5]] + tech_5_3*TblTech[[#This Row],[5-3]] + tech_5_5*TblTech[[#This Row],[5-5]]))*elite2_ore,0)</f>
        <v>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0.12</v>
      </c>
      <c r="BW9" s="160">
        <f ca="1">TblMili[[#This Row],[WG''s]]</f>
        <v>0</v>
      </c>
      <c r="BX9" s="266">
        <f ca="1">IF(mystic_cap="none",TblMili[[#This Row],[Hill]]/mystic_bonus,MIN(mystic_cap,TblMili[[#This Row],[Hill]]/mystic_bonus))</f>
        <v>0.6</v>
      </c>
      <c r="BY9" s="266">
        <f ca="1">IF(druid_op_cap="none",TblMili[[#This Row],[Hill]]/druid_op_bonus,MIN(druid_op_cap,TblMili[[#This Row],[Hill]]/druid_op_bonus))</f>
        <v>0.6</v>
      </c>
      <c r="BZ9" s="266">
        <f ca="1">IF(druid_dp_cap="none",TblMili[[#This Row],[Hill]]/druid_dp_bonus,MIN(druid_dp_cap,TblMili[[#This Row],[Hill]]/druid_dp_bonus))</f>
        <v>0.6</v>
      </c>
      <c r="CA9" s="266">
        <f ca="1">MIN(dryad_cap,TblMili[[#This Row],[Hill]]/dryad_bonus)</f>
        <v>0.6</v>
      </c>
      <c r="CB9" s="266">
        <f ca="1">MIN(rocka_cap,TblMili[[#This Row],[Hill]]/rocka_bonus)</f>
        <v>0.6</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0.6</v>
      </c>
      <c r="CH9" s="45">
        <f ca="1">MIN(ice_elem_cap,TblMili[[#This Row],[Raw (2)]]*ice_elem_bonus)</f>
        <v>0</v>
      </c>
      <c r="CI9" s="266">
        <f t="shared" si="0"/>
        <v>0.83333333333333337</v>
      </c>
      <c r="CJ9" s="266">
        <f ca="1">MIN(nox_nightshade_cap,TblConstr[[#This Row],[Homeland]]/TblConstr[[#This Row],[Land]]/nox_nightshade_swamp_bonus)</f>
        <v>1.2</v>
      </c>
      <c r="CK9" s="267" t="s">
        <v>102</v>
      </c>
      <c r="CL9" s="267" t="b">
        <f t="shared" si="1"/>
        <v>0</v>
      </c>
      <c r="CM9" s="267"/>
      <c r="CN9" s="266">
        <f ca="1">MIN(6,TblMili[[#This Row],[Mystic]]+Races!$F$19)*1.8 +  IF(TblMili[[#This Row],[Mystic]]+Races!$F$19&gt;6,(TblMili[[#This Row],[Mystic]]+Races!$F$19-6)*0.2,0) - Races!$I$19</f>
        <v>1.0799999999999992</v>
      </c>
      <c r="CO9"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9" s="97">
        <f ca="1">TblMili[[#This Row],[Mystic bonus]]*TblMili[[#This Row],[Unit 3]]+TblMili[[#This Row],[Druid bonus]]*TblMili[[#This Row],[Unit 4]]</f>
        <v>0</v>
      </c>
      <c r="CQ9" s="158">
        <f ca="1">MIN(6,TblMili[[#This Row],[Dryad]]+Races!$F$35)*1.8 +  IF(TblMili[[#This Row],[Dryad]]+Races!$F$35&gt;6,(TblMili[[#This Row],[Dryad]]+Races!$F$35-6)*0.2,0) - Races!$I$19</f>
        <v>-0.71999999999999975</v>
      </c>
      <c r="CR9" s="97">
        <f ca="1">sylvan*(TblMili[[#This Row],[Mystic bonus]]*TblMili[[#This Row],[Unit 3]])</f>
        <v>0</v>
      </c>
      <c r="CS9" s="158">
        <f ca="1">1.8 * MIN(MAX(Races!$E$27,TblMili[[#This Row],[Rockapult]]+Races!$F$27),6)  +  0.45 * MIN(MIN(Races!$E$27,TblMili[[#This Row],[Rockapult]]+Races!$F$27),6)  +  0.2 * ( MAX(Races!$E$27-6,0) + MAX(TblMili[[#This Row],[Rockapult]]+Races!$F$27-6,0) )  -  Races!$I$20</f>
        <v>3.3299999999999992</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1.08</v>
      </c>
      <c r="CX9" s="158">
        <f ca="1">1.8 * MIN(MAX(TblMili[[#This Row],[Ice Elemental]]+Races!$E$71,Races!$F$71),6)  +  0.45 * MIN(MIN(TblMili[[#This Row],[Ice Elemental]]+Races!$E$71,Races!$F$71),6)  +  0.2 * ( MAX(TblMili[[#This Row],[Ice Elemental]]+Races!$E$71-6,0) + MAX(Races!$F$71-6,0) )  -  Races!$I$71</f>
        <v>0</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9" s="145"/>
      <c r="DE9" s="269">
        <f ca="1">(TblMili[[#This Row],[Wizards]]+2*TblMili[[#This Row],[Archmages]])/TblConstr[[#This Row],[Land]]</f>
        <v>0</v>
      </c>
      <c r="DF9" s="269">
        <f ca="1">TblMili[[#This Row],[Raw (2)]]*(1+race_wizard_strength+IF(TblMili[[#This Row],[Hour]]&gt;72,tech_magical_weaponry_wiz*TblTech[[#This Row],[3-5]],0))</f>
        <v>0</v>
      </c>
    </row>
    <row r="10" spans="1:110" x14ac:dyDescent="0.2">
      <c r="A10" s="140">
        <f>TblRezone[[#This Row],[Hour]]</f>
        <v>7</v>
      </c>
      <c r="B10" s="261">
        <f ca="1">SUM(TblMili[[#This Row],[Unit 1]:[Archmages]])+SUM(OFFSET(TblMili[[#This Row],[Train Unit 1]],-6,0):TblMili[[#This Row],[Train Unit 4]])+TblMili[[#This Row],[Draftees]]</f>
        <v>282</v>
      </c>
      <c r="C10" s="160">
        <f ca="1">TblPop[[#This Row],[Military%]]</f>
        <v>0.16169724770642202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5"/>
      <c r="N10" s="97">
        <f ca="1">TblProd[[#This Row],[Networth]]</f>
        <v>5450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282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282</v>
      </c>
      <c r="X10" s="262">
        <f ca="1">TblConstr[[#This Row],[Land]]</f>
        <v>250</v>
      </c>
      <c r="Y10" s="265"/>
      <c r="Z10" s="270">
        <f ca="1">IF(TblMili[[#This Row],[Set]]&lt;&gt;"",TblMili[[#This Row],[Set]],OFFSET(TblMili[[#This Row],[Draftrate]],-1,0))</f>
        <v>0.9</v>
      </c>
      <c r="AA10" s="97">
        <f ca="1">OFFSET(TblMili[[#This Row],[Draftees]],-1,0)+OFFSET(TblPop[[#This Row],[Draft Growth]],-1,0) - SUM(TblMili[[#This Row],[Train Unit 1]:[Train Spies]],TblMili[[#This Row],[Train Wiz]]) - TblMili[[#This Row],[Release Draft]] + SUM(TblMili[[#This Row],[Release Unit 1]:[Release AM]]) - TblExplore[[#This Row],[Draftees (2)]]</f>
        <v>282</v>
      </c>
      <c r="AB10" s="157"/>
      <c r="AC10" s="183">
        <f ca="1">(TblConstr[[#This Row],[Tot Smi]]+TblConstr[[#This Row],[Dest Smi]])/(TblConstr[[#This Row],[Land]]-TblExplore[[#This Row],[Land Bonus]]*20)</f>
        <v>0</v>
      </c>
      <c r="AD10" s="140"/>
      <c r="AE10" s="261">
        <f>TblMili[[#This Row],[Hour]]</f>
        <v>7</v>
      </c>
      <c r="AF10" s="141">
        <f ca="1">TblExplore[[#This Row],[Time]]</f>
        <v>45429.999999999985</v>
      </c>
      <c r="AG10" s="182"/>
      <c r="AH10" s="182"/>
      <c r="AI10" s="182"/>
      <c r="AJ10" s="182"/>
      <c r="AK10" s="182"/>
      <c r="AL10" s="182"/>
      <c r="AM10" s="182"/>
      <c r="AN10" s="182"/>
      <c r="AO10" s="145"/>
      <c r="AP10" s="97">
        <f ca="1">TblProd[[#This Row],[Platinum]]</f>
        <v>21502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45429.999999999985</v>
      </c>
      <c r="AV10" s="97">
        <f ca="1">TblMili[[#This Row],[Draftees]]</f>
        <v>282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300</v>
      </c>
      <c r="BJ10" s="97">
        <f ca="1">ROUNDUP(IF(race="Gnome",1,(1-MIN(TblMili[[#This Row],[Smithies]]*smithy_bonus,smithy_bonus_cap) + tech_3_5*TblTech[[#This Row],[3-5]] + tech_5_3*TblTech[[#This Row],[5-3]] + tech_5_5*TblTech[[#This Row],[5-5]]))*spec_op_ore,0)</f>
        <v>0</v>
      </c>
      <c r="BK10" s="97">
        <f ca="1">ROUNDUP((1-MIN(TblMili[[#This Row],[Smithies]]*smithy_bonus,smithy_bonus_cap) + tech_3_5*TblTech[[#This Row],[3-5]] + tech_5_3*TblTech[[#This Row],[5-3]] + tech_5_5*TblTech[[#This Row],[5-5]])*spec_dp_plat,0)</f>
        <v>300</v>
      </c>
      <c r="BL10" s="97">
        <f ca="1">ROUNDUP(IF(race="Gnome",1,(1-MIN(TblMili[[#This Row],[Smithies]]*smithy_bonus,smithy_bonus_cap) + tech_3_5*TblTech[[#This Row],[3-5]] + tech_5_3*TblTech[[#This Row],[5-3]] + tech_5_5*TblTech[[#This Row],[5-5]]))*spec_dp_ore,0)</f>
        <v>0</v>
      </c>
      <c r="BM10" s="97">
        <f ca="1">ROUNDUP((1-MIN(TblMili[[#This Row],[Smithies]]*smithy_bonus,smithy_bonus_cap) + tech_3_5*TblTech[[#This Row],[3-5]] + tech_5_3*TblTech[[#This Row],[5-3]] + tech_5_5*TblTech[[#This Row],[5-5]])*elite1_plat,0)</f>
        <v>925</v>
      </c>
      <c r="BN10" s="97">
        <f ca="1">ROUNDUP(IF(race="Gnome",1,(1-MIN(TblMili[[#This Row],[Smithies]]*smithy_bonus,smithy_bonus_cap) + tech_3_5*TblTech[[#This Row],[3-5]] + tech_5_3*TblTech[[#This Row],[5-3]] + tech_5_5*TblTech[[#This Row],[5-5]]))*elite1_ore,0)</f>
        <v>0</v>
      </c>
      <c r="BO10" s="97">
        <f ca="1">ROUNDUP((1-MIN(TblMili[[#This Row],[Smithies]]*smithy_bonus,smithy_bonus_cap) + tech_3_5*TblTech[[#This Row],[3-5]] + tech_5_3*TblTech[[#This Row],[5-3]] + tech_5_5*TblTech[[#This Row],[5-5]])*elite2_plat,0)</f>
        <v>950</v>
      </c>
      <c r="BP10" s="97">
        <f ca="1">ROUNDUP(IF(race="Gnome",1,(1-MIN(TblMili[[#This Row],[Smithies]]*smithy_bonus,smithy_bonus_cap) + tech_3_5*TblTech[[#This Row],[3-5]] + tech_5_3*TblTech[[#This Row],[5-3]] + tech_5_5*TblTech[[#This Row],[5-5]]))*elite2_ore,0)</f>
        <v>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0.12</v>
      </c>
      <c r="BW10" s="160">
        <f ca="1">TblMili[[#This Row],[WG''s]]</f>
        <v>0</v>
      </c>
      <c r="BX10" s="266">
        <f ca="1">IF(mystic_cap="none",TblMili[[#This Row],[Hill]]/mystic_bonus,MIN(mystic_cap,TblMili[[#This Row],[Hill]]/mystic_bonus))</f>
        <v>0.6</v>
      </c>
      <c r="BY10" s="266">
        <f ca="1">IF(druid_op_cap="none",TblMili[[#This Row],[Hill]]/druid_op_bonus,MIN(druid_op_cap,TblMili[[#This Row],[Hill]]/druid_op_bonus))</f>
        <v>0.6</v>
      </c>
      <c r="BZ10" s="266">
        <f ca="1">IF(druid_dp_cap="none",TblMili[[#This Row],[Hill]]/druid_dp_bonus,MIN(druid_dp_cap,TblMili[[#This Row],[Hill]]/druid_dp_bonus))</f>
        <v>0.6</v>
      </c>
      <c r="CA10" s="266">
        <f ca="1">MIN(dryad_cap,TblMili[[#This Row],[Hill]]/dryad_bonus)</f>
        <v>0.6</v>
      </c>
      <c r="CB10" s="266">
        <f ca="1">MIN(rocka_cap,TblMili[[#This Row],[Hill]]/rocka_bonus)</f>
        <v>0.6</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0.6</v>
      </c>
      <c r="CH10" s="45">
        <f ca="1">MIN(ice_elem_cap,TblMili[[#This Row],[Raw (2)]]*ice_elem_bonus)</f>
        <v>0</v>
      </c>
      <c r="CI10" s="266">
        <f t="shared" si="0"/>
        <v>0.83333333333333337</v>
      </c>
      <c r="CJ10" s="266">
        <f ca="1">MIN(nox_nightshade_cap,TblConstr[[#This Row],[Homeland]]/TblConstr[[#This Row],[Land]]/nox_nightshade_swamp_bonus)</f>
        <v>1.2</v>
      </c>
      <c r="CK10" s="267" t="s">
        <v>330</v>
      </c>
      <c r="CL10" s="267" t="b">
        <f t="shared" si="1"/>
        <v>0</v>
      </c>
      <c r="CM10" s="267"/>
      <c r="CN10" s="266">
        <f ca="1">MIN(6,TblMili[[#This Row],[Mystic]]+Races!$F$19)*1.8 +  IF(TblMili[[#This Row],[Mystic]]+Races!$F$19&gt;6,(TblMili[[#This Row],[Mystic]]+Races!$F$19-6)*0.2,0) - Races!$I$19</f>
        <v>1.0799999999999992</v>
      </c>
      <c r="CO10"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0" s="97">
        <f ca="1">TblMili[[#This Row],[Mystic bonus]]*TblMili[[#This Row],[Unit 3]]+TblMili[[#This Row],[Druid bonus]]*TblMili[[#This Row],[Unit 4]]</f>
        <v>0</v>
      </c>
      <c r="CQ10" s="158">
        <f ca="1">MIN(6,TblMili[[#This Row],[Dryad]]+Races!$F$35)*1.8 +  IF(TblMili[[#This Row],[Dryad]]+Races!$F$35&gt;6,(TblMili[[#This Row],[Dryad]]+Races!$F$35-6)*0.2,0) - Races!$I$19</f>
        <v>-0.71999999999999975</v>
      </c>
      <c r="CR10" s="97">
        <f ca="1">sylvan*(TblMili[[#This Row],[Mystic bonus]]*TblMili[[#This Row],[Unit 3]])</f>
        <v>0</v>
      </c>
      <c r="CS10" s="158">
        <f ca="1">1.8 * MIN(MAX(Races!$E$27,TblMili[[#This Row],[Rockapult]]+Races!$F$27),6)  +  0.45 * MIN(MIN(Races!$E$27,TblMili[[#This Row],[Rockapult]]+Races!$F$27),6)  +  0.2 * ( MAX(Races!$E$27-6,0) + MAX(TblMili[[#This Row],[Rockapult]]+Races!$F$27-6,0) )  -  Races!$I$20</f>
        <v>3.3299999999999992</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1.08</v>
      </c>
      <c r="CX10" s="158">
        <f ca="1">1.8 * MIN(MAX(TblMili[[#This Row],[Ice Elemental]]+Races!$E$71,Races!$F$71),6)  +  0.45 * MIN(MIN(TblMili[[#This Row],[Ice Elemental]]+Races!$E$71,Races!$F$71),6)  +  0.2 * ( MAX(TblMili[[#This Row],[Ice Elemental]]+Races!$E$71-6,0) + MAX(Races!$F$71-6,0) )  -  Races!$I$71</f>
        <v>0</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0" s="145"/>
      <c r="DE10" s="269">
        <f ca="1">(TblMili[[#This Row],[Wizards]]+2*TblMili[[#This Row],[Archmages]])/TblConstr[[#This Row],[Land]]</f>
        <v>0</v>
      </c>
      <c r="DF10" s="269">
        <f ca="1">TblMili[[#This Row],[Raw (2)]]*(1+race_wizard_strength+IF(TblMili[[#This Row],[Hour]]&gt;72,tech_magical_weaponry_wiz*TblTech[[#This Row],[3-5]],0))</f>
        <v>0</v>
      </c>
    </row>
    <row r="11" spans="1:110" x14ac:dyDescent="0.2">
      <c r="A11" s="140">
        <f>TblRezone[[#This Row],[Hour]]</f>
        <v>8</v>
      </c>
      <c r="B11" s="261">
        <f ca="1">SUM(TblMili[[#This Row],[Unit 1]:[Archmages]])+SUM(OFFSET(TblMili[[#This Row],[Train Unit 1]],-7,0):TblMili[[#This Row],[Train Unit 4]])+TblMili[[#This Row],[Draftees]]</f>
        <v>293</v>
      </c>
      <c r="C11" s="160">
        <f ca="1">TblPop[[#This Row],[Military%]]</f>
        <v>0.16432978126752665</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5"/>
      <c r="N11" s="97">
        <f ca="1">TblProd[[#This Row],[Networth]]</f>
        <v>5450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293</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293</v>
      </c>
      <c r="X11" s="262">
        <f ca="1">TblConstr[[#This Row],[Land]]</f>
        <v>250</v>
      </c>
      <c r="Y11" s="265"/>
      <c r="Z11" s="270">
        <f ca="1">IF(TblMili[[#This Row],[Set]]&lt;&gt;"",TblMili[[#This Row],[Set]],OFFSET(TblMili[[#This Row],[Draftrate]],-1,0))</f>
        <v>0.9</v>
      </c>
      <c r="AA11" s="97">
        <f ca="1">OFFSET(TblMili[[#This Row],[Draftees]],-1,0)+OFFSET(TblPop[[#This Row],[Draft Growth]],-1,0) - SUM(TblMili[[#This Row],[Train Unit 1]:[Train Spies]],TblMili[[#This Row],[Train Wiz]]) - TblMili[[#This Row],[Release Draft]] + SUM(TblMili[[#This Row],[Release Unit 1]:[Release AM]]) - TblExplore[[#This Row],[Draftees (2)]]</f>
        <v>293</v>
      </c>
      <c r="AB11" s="157"/>
      <c r="AC11" s="183">
        <f ca="1">(TblConstr[[#This Row],[Tot Smi]]+TblConstr[[#This Row],[Dest Smi]])/(TblConstr[[#This Row],[Land]]-TblExplore[[#This Row],[Land Bonus]]*20)</f>
        <v>0</v>
      </c>
      <c r="AD11" s="140"/>
      <c r="AE11" s="261">
        <f>TblMili[[#This Row],[Hour]]</f>
        <v>8</v>
      </c>
      <c r="AF11" s="141">
        <f ca="1">TblExplore[[#This Row],[Time]]</f>
        <v>45430.04166666665</v>
      </c>
      <c r="AG11" s="182"/>
      <c r="AH11" s="182"/>
      <c r="AI11" s="182"/>
      <c r="AJ11" s="182"/>
      <c r="AK11" s="182"/>
      <c r="AL11" s="182"/>
      <c r="AM11" s="182"/>
      <c r="AN11" s="182"/>
      <c r="AO11" s="145"/>
      <c r="AP11" s="97">
        <f ca="1">TblProd[[#This Row],[Platinum]]</f>
        <v>26399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45430.04166666665</v>
      </c>
      <c r="AV11" s="97">
        <f ca="1">TblMili[[#This Row],[Draftees]]</f>
        <v>293</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300</v>
      </c>
      <c r="BJ11" s="97">
        <f ca="1">ROUNDUP(IF(race="Gnome",1,(1-MIN(TblMili[[#This Row],[Smithies]]*smithy_bonus,smithy_bonus_cap) + tech_3_5*TblTech[[#This Row],[3-5]] + tech_5_3*TblTech[[#This Row],[5-3]] + tech_5_5*TblTech[[#This Row],[5-5]]))*spec_op_ore,0)</f>
        <v>0</v>
      </c>
      <c r="BK11" s="97">
        <f ca="1">ROUNDUP((1-MIN(TblMili[[#This Row],[Smithies]]*smithy_bonus,smithy_bonus_cap) + tech_3_5*TblTech[[#This Row],[3-5]] + tech_5_3*TblTech[[#This Row],[5-3]] + tech_5_5*TblTech[[#This Row],[5-5]])*spec_dp_plat,0)</f>
        <v>300</v>
      </c>
      <c r="BL11" s="97">
        <f ca="1">ROUNDUP(IF(race="Gnome",1,(1-MIN(TblMili[[#This Row],[Smithies]]*smithy_bonus,smithy_bonus_cap) + tech_3_5*TblTech[[#This Row],[3-5]] + tech_5_3*TblTech[[#This Row],[5-3]] + tech_5_5*TblTech[[#This Row],[5-5]]))*spec_dp_ore,0)</f>
        <v>0</v>
      </c>
      <c r="BM11" s="97">
        <f ca="1">ROUNDUP((1-MIN(TblMili[[#This Row],[Smithies]]*smithy_bonus,smithy_bonus_cap) + tech_3_5*TblTech[[#This Row],[3-5]] + tech_5_3*TblTech[[#This Row],[5-3]] + tech_5_5*TblTech[[#This Row],[5-5]])*elite1_plat,0)</f>
        <v>925</v>
      </c>
      <c r="BN11" s="97">
        <f ca="1">ROUNDUP(IF(race="Gnome",1,(1-MIN(TblMili[[#This Row],[Smithies]]*smithy_bonus,smithy_bonus_cap) + tech_3_5*TblTech[[#This Row],[3-5]] + tech_5_3*TblTech[[#This Row],[5-3]] + tech_5_5*TblTech[[#This Row],[5-5]]))*elite1_ore,0)</f>
        <v>0</v>
      </c>
      <c r="BO11" s="97">
        <f ca="1">ROUNDUP((1-MIN(TblMili[[#This Row],[Smithies]]*smithy_bonus,smithy_bonus_cap) + tech_3_5*TblTech[[#This Row],[3-5]] + tech_5_3*TblTech[[#This Row],[5-3]] + tech_5_5*TblTech[[#This Row],[5-5]])*elite2_plat,0)</f>
        <v>950</v>
      </c>
      <c r="BP11" s="97">
        <f ca="1">ROUNDUP(IF(race="Gnome",1,(1-MIN(TblMili[[#This Row],[Smithies]]*smithy_bonus,smithy_bonus_cap) + tech_3_5*TblTech[[#This Row],[3-5]] + tech_5_3*TblTech[[#This Row],[5-3]] + tech_5_5*TblTech[[#This Row],[5-5]]))*elite2_ore,0)</f>
        <v>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0.12</v>
      </c>
      <c r="BW11" s="160">
        <f ca="1">TblMili[[#This Row],[WG''s]]</f>
        <v>0</v>
      </c>
      <c r="BX11" s="266">
        <f ca="1">IF(mystic_cap="none",TblMili[[#This Row],[Hill]]/mystic_bonus,MIN(mystic_cap,TblMili[[#This Row],[Hill]]/mystic_bonus))</f>
        <v>0.6</v>
      </c>
      <c r="BY11" s="266">
        <f ca="1">IF(druid_op_cap="none",TblMili[[#This Row],[Hill]]/druid_op_bonus,MIN(druid_op_cap,TblMili[[#This Row],[Hill]]/druid_op_bonus))</f>
        <v>0.6</v>
      </c>
      <c r="BZ11" s="266">
        <f ca="1">IF(druid_dp_cap="none",TblMili[[#This Row],[Hill]]/druid_dp_bonus,MIN(druid_dp_cap,TblMili[[#This Row],[Hill]]/druid_dp_bonus))</f>
        <v>0.6</v>
      </c>
      <c r="CA11" s="266">
        <f ca="1">MIN(dryad_cap,TblMili[[#This Row],[Hill]]/dryad_bonus)</f>
        <v>0.6</v>
      </c>
      <c r="CB11" s="266">
        <f ca="1">MIN(rocka_cap,TblMili[[#This Row],[Hill]]/rocka_bonus)</f>
        <v>0.6</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0.6</v>
      </c>
      <c r="CH11" s="45">
        <f ca="1">MIN(ice_elem_cap,TblMili[[#This Row],[Raw (2)]]*ice_elem_bonus)</f>
        <v>0</v>
      </c>
      <c r="CI11" s="266">
        <f t="shared" si="0"/>
        <v>0.83333333333333337</v>
      </c>
      <c r="CJ11" s="266">
        <f ca="1">MIN(nox_nightshade_cap,TblConstr[[#This Row],[Homeland]]/TblConstr[[#This Row],[Land]]/nox_nightshade_swamp_bonus)</f>
        <v>1.2</v>
      </c>
      <c r="CK11" s="267" t="s">
        <v>143</v>
      </c>
      <c r="CL11" s="267" t="b">
        <f t="shared" si="1"/>
        <v>0</v>
      </c>
      <c r="CM11" s="267"/>
      <c r="CN11" s="266">
        <f ca="1">MIN(6,TblMili[[#This Row],[Mystic]]+Races!$F$19)*1.8 +  IF(TblMili[[#This Row],[Mystic]]+Races!$F$19&gt;6,(TblMili[[#This Row],[Mystic]]+Races!$F$19-6)*0.2,0) - Races!$I$19</f>
        <v>1.0799999999999992</v>
      </c>
      <c r="CO11"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1" s="97">
        <f ca="1">TblMili[[#This Row],[Mystic bonus]]*TblMili[[#This Row],[Unit 3]]+TblMili[[#This Row],[Druid bonus]]*TblMili[[#This Row],[Unit 4]]</f>
        <v>0</v>
      </c>
      <c r="CQ11" s="158">
        <f ca="1">MIN(6,TblMili[[#This Row],[Dryad]]+Races!$F$35)*1.8 +  IF(TblMili[[#This Row],[Dryad]]+Races!$F$35&gt;6,(TblMili[[#This Row],[Dryad]]+Races!$F$35-6)*0.2,0) - Races!$I$19</f>
        <v>-0.71999999999999975</v>
      </c>
      <c r="CR11" s="97">
        <f ca="1">sylvan*(TblMili[[#This Row],[Mystic bonus]]*TblMili[[#This Row],[Unit 3]])</f>
        <v>0</v>
      </c>
      <c r="CS11" s="158">
        <f ca="1">1.8 * MIN(MAX(Races!$E$27,TblMili[[#This Row],[Rockapult]]+Races!$F$27),6)  +  0.45 * MIN(MIN(Races!$E$27,TblMili[[#This Row],[Rockapult]]+Races!$F$27),6)  +  0.2 * ( MAX(Races!$E$27-6,0) + MAX(TblMili[[#This Row],[Rockapult]]+Races!$F$27-6,0) )  -  Races!$I$20</f>
        <v>3.3299999999999992</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1.08</v>
      </c>
      <c r="CX11" s="158">
        <f ca="1">1.8 * MIN(MAX(TblMili[[#This Row],[Ice Elemental]]+Races!$E$71,Races!$F$71),6)  +  0.45 * MIN(MIN(TblMili[[#This Row],[Ice Elemental]]+Races!$E$71,Races!$F$71),6)  +  0.2 * ( MAX(TblMili[[#This Row],[Ice Elemental]]+Races!$E$71-6,0) + MAX(Races!$F$71-6,0) )  -  Races!$I$71</f>
        <v>0</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1" s="145"/>
      <c r="DE11" s="269">
        <f ca="1">(TblMili[[#This Row],[Wizards]]+2*TblMili[[#This Row],[Archmages]])/TblConstr[[#This Row],[Land]]</f>
        <v>0</v>
      </c>
      <c r="DF11" s="269">
        <f ca="1">TblMili[[#This Row],[Raw (2)]]*(1+race_wizard_strength+IF(TblMili[[#This Row],[Hour]]&gt;72,tech_magical_weaponry_wiz*TblTech[[#This Row],[3-5]],0))</f>
        <v>0</v>
      </c>
    </row>
    <row r="12" spans="1:110" x14ac:dyDescent="0.2">
      <c r="A12" s="140">
        <f>TblRezone[[#This Row],[Hour]]</f>
        <v>9</v>
      </c>
      <c r="B12" s="261">
        <f ca="1">SUM(TblMili[[#This Row],[Unit 1]:[Archmages]])+SUM(OFFSET(TblMili[[#This Row],[Train Unit 1]],-8,0):TblMili[[#This Row],[Train Unit 4]])+TblMili[[#This Row],[Draftees]]</f>
        <v>304</v>
      </c>
      <c r="C12" s="160">
        <f ca="1">TblPop[[#This Row],[Military%]]</f>
        <v>0.16675809105869446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5"/>
      <c r="N12" s="97">
        <f ca="1">TblProd[[#This Row],[Networth]]</f>
        <v>5450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304</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304</v>
      </c>
      <c r="X12" s="262">
        <f ca="1">TblConstr[[#This Row],[Land]]</f>
        <v>250</v>
      </c>
      <c r="Y12" s="265"/>
      <c r="Z12" s="270">
        <f ca="1">IF(TblMili[[#This Row],[Set]]&lt;&gt;"",TblMili[[#This Row],[Set]],OFFSET(TblMili[[#This Row],[Draftrate]],-1,0))</f>
        <v>0.9</v>
      </c>
      <c r="AA12" s="97">
        <f ca="1">OFFSET(TblMili[[#This Row],[Draftees]],-1,0)+OFFSET(TblPop[[#This Row],[Draft Growth]],-1,0) - SUM(TblMili[[#This Row],[Train Unit 1]:[Train Spies]],TblMili[[#This Row],[Train Wiz]]) - TblMili[[#This Row],[Release Draft]] + SUM(TblMili[[#This Row],[Release Unit 1]:[Release AM]]) - TblExplore[[#This Row],[Draftees (2)]]</f>
        <v>304</v>
      </c>
      <c r="AB12" s="157"/>
      <c r="AC12" s="183">
        <f ca="1">(TblConstr[[#This Row],[Tot Smi]]+TblConstr[[#This Row],[Dest Smi]])/(TblConstr[[#This Row],[Land]]-TblExplore[[#This Row],[Land Bonus]]*20)</f>
        <v>0</v>
      </c>
      <c r="AD12" s="140"/>
      <c r="AE12" s="261">
        <f>TblMili[[#This Row],[Hour]]</f>
        <v>9</v>
      </c>
      <c r="AF12" s="141">
        <f ca="1">TblExplore[[#This Row],[Time]]</f>
        <v>45430.083333333314</v>
      </c>
      <c r="AG12" s="182"/>
      <c r="AH12" s="182"/>
      <c r="AI12" s="182"/>
      <c r="AJ12" s="182"/>
      <c r="AK12" s="182"/>
      <c r="AL12" s="182"/>
      <c r="AM12" s="182"/>
      <c r="AN12" s="182"/>
      <c r="AO12" s="145"/>
      <c r="AP12" s="97">
        <f ca="1">TblProd[[#This Row],[Platinum]]</f>
        <v>31372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45430.083333333314</v>
      </c>
      <c r="AV12" s="97">
        <f ca="1">TblMili[[#This Row],[Draftees]]</f>
        <v>304</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300</v>
      </c>
      <c r="BJ12" s="97">
        <f ca="1">ROUNDUP(IF(race="Gnome",1,(1-MIN(TblMili[[#This Row],[Smithies]]*smithy_bonus,smithy_bonus_cap) + tech_3_5*TblTech[[#This Row],[3-5]] + tech_5_3*TblTech[[#This Row],[5-3]] + tech_5_5*TblTech[[#This Row],[5-5]]))*spec_op_ore,0)</f>
        <v>0</v>
      </c>
      <c r="BK12" s="97">
        <f ca="1">ROUNDUP((1-MIN(TblMili[[#This Row],[Smithies]]*smithy_bonus,smithy_bonus_cap) + tech_3_5*TblTech[[#This Row],[3-5]] + tech_5_3*TblTech[[#This Row],[5-3]] + tech_5_5*TblTech[[#This Row],[5-5]])*spec_dp_plat,0)</f>
        <v>300</v>
      </c>
      <c r="BL12" s="97">
        <f ca="1">ROUNDUP(IF(race="Gnome",1,(1-MIN(TblMili[[#This Row],[Smithies]]*smithy_bonus,smithy_bonus_cap) + tech_3_5*TblTech[[#This Row],[3-5]] + tech_5_3*TblTech[[#This Row],[5-3]] + tech_5_5*TblTech[[#This Row],[5-5]]))*spec_dp_ore,0)</f>
        <v>0</v>
      </c>
      <c r="BM12" s="97">
        <f ca="1">ROUNDUP((1-MIN(TblMili[[#This Row],[Smithies]]*smithy_bonus,smithy_bonus_cap) + tech_3_5*TblTech[[#This Row],[3-5]] + tech_5_3*TblTech[[#This Row],[5-3]] + tech_5_5*TblTech[[#This Row],[5-5]])*elite1_plat,0)</f>
        <v>925</v>
      </c>
      <c r="BN12" s="97">
        <f ca="1">ROUNDUP(IF(race="Gnome",1,(1-MIN(TblMili[[#This Row],[Smithies]]*smithy_bonus,smithy_bonus_cap) + tech_3_5*TblTech[[#This Row],[3-5]] + tech_5_3*TblTech[[#This Row],[5-3]] + tech_5_5*TblTech[[#This Row],[5-5]]))*elite1_ore,0)</f>
        <v>0</v>
      </c>
      <c r="BO12" s="97">
        <f ca="1">ROUNDUP((1-MIN(TblMili[[#This Row],[Smithies]]*smithy_bonus,smithy_bonus_cap) + tech_3_5*TblTech[[#This Row],[3-5]] + tech_5_3*TblTech[[#This Row],[5-3]] + tech_5_5*TblTech[[#This Row],[5-5]])*elite2_plat,0)</f>
        <v>950</v>
      </c>
      <c r="BP12" s="97">
        <f ca="1">ROUNDUP(IF(race="Gnome",1,(1-MIN(TblMili[[#This Row],[Smithies]]*smithy_bonus,smithy_bonus_cap) + tech_3_5*TblTech[[#This Row],[3-5]] + tech_5_3*TblTech[[#This Row],[5-3]] + tech_5_5*TblTech[[#This Row],[5-5]]))*elite2_ore,0)</f>
        <v>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0.12</v>
      </c>
      <c r="BW12" s="160">
        <f ca="1">TblMili[[#This Row],[WG''s]]</f>
        <v>0</v>
      </c>
      <c r="BX12" s="266">
        <f ca="1">IF(mystic_cap="none",TblMili[[#This Row],[Hill]]/mystic_bonus,MIN(mystic_cap,TblMili[[#This Row],[Hill]]/mystic_bonus))</f>
        <v>0.6</v>
      </c>
      <c r="BY12" s="266">
        <f ca="1">IF(druid_op_cap="none",TblMili[[#This Row],[Hill]]/druid_op_bonus,MIN(druid_op_cap,TblMili[[#This Row],[Hill]]/druid_op_bonus))</f>
        <v>0.6</v>
      </c>
      <c r="BZ12" s="266">
        <f ca="1">IF(druid_dp_cap="none",TblMili[[#This Row],[Hill]]/druid_dp_bonus,MIN(druid_dp_cap,TblMili[[#This Row],[Hill]]/druid_dp_bonus))</f>
        <v>0.6</v>
      </c>
      <c r="CA12" s="266">
        <f ca="1">MIN(dryad_cap,TblMili[[#This Row],[Hill]]/dryad_bonus)</f>
        <v>0.6</v>
      </c>
      <c r="CB12" s="266">
        <f ca="1">MIN(rocka_cap,TblMili[[#This Row],[Hill]]/rocka_bonus)</f>
        <v>0.6</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0.6</v>
      </c>
      <c r="CH12" s="45">
        <f ca="1">MIN(ice_elem_cap,TblMili[[#This Row],[Raw (2)]]*ice_elem_bonus)</f>
        <v>0</v>
      </c>
      <c r="CI12" s="266">
        <f t="shared" si="0"/>
        <v>0.83333333333333337</v>
      </c>
      <c r="CJ12" s="266">
        <f ca="1">MIN(nox_nightshade_cap,TblConstr[[#This Row],[Homeland]]/TblConstr[[#This Row],[Land]]/nox_nightshade_swamp_bonus)</f>
        <v>1.2</v>
      </c>
      <c r="CK12" s="267" t="s">
        <v>500</v>
      </c>
      <c r="CL12" s="267" t="b">
        <f t="shared" si="1"/>
        <v>0</v>
      </c>
      <c r="CM12" s="267"/>
      <c r="CN12" s="266">
        <f ca="1">MIN(6,TblMili[[#This Row],[Mystic]]+Races!$F$19)*1.8 +  IF(TblMili[[#This Row],[Mystic]]+Races!$F$19&gt;6,(TblMili[[#This Row],[Mystic]]+Races!$F$19-6)*0.2,0) - Races!$I$19</f>
        <v>1.0799999999999992</v>
      </c>
      <c r="CO12"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2" s="97">
        <f ca="1">TblMili[[#This Row],[Mystic bonus]]*TblMili[[#This Row],[Unit 3]]+TblMili[[#This Row],[Druid bonus]]*TblMili[[#This Row],[Unit 4]]</f>
        <v>0</v>
      </c>
      <c r="CQ12" s="158">
        <f ca="1">MIN(6,TblMili[[#This Row],[Dryad]]+Races!$F$35)*1.8 +  IF(TblMili[[#This Row],[Dryad]]+Races!$F$35&gt;6,(TblMili[[#This Row],[Dryad]]+Races!$F$35-6)*0.2,0) - Races!$I$19</f>
        <v>-0.71999999999999975</v>
      </c>
      <c r="CR12" s="97">
        <f ca="1">sylvan*(TblMili[[#This Row],[Mystic bonus]]*TblMili[[#This Row],[Unit 3]])</f>
        <v>0</v>
      </c>
      <c r="CS12" s="158">
        <f ca="1">1.8 * MIN(MAX(Races!$E$27,TblMili[[#This Row],[Rockapult]]+Races!$F$27),6)  +  0.45 * MIN(MIN(Races!$E$27,TblMili[[#This Row],[Rockapult]]+Races!$F$27),6)  +  0.2 * ( MAX(Races!$E$27-6,0) + MAX(TblMili[[#This Row],[Rockapult]]+Races!$F$27-6,0) )  -  Races!$I$20</f>
        <v>3.3299999999999992</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1.08</v>
      </c>
      <c r="CX12" s="158">
        <f ca="1">1.8 * MIN(MAX(TblMili[[#This Row],[Ice Elemental]]+Races!$E$71,Races!$F$71),6)  +  0.45 * MIN(MIN(TblMili[[#This Row],[Ice Elemental]]+Races!$E$71,Races!$F$71),6)  +  0.2 * ( MAX(TblMili[[#This Row],[Ice Elemental]]+Races!$E$71-6,0) + MAX(Races!$F$71-6,0) )  -  Races!$I$71</f>
        <v>0</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2" s="145"/>
      <c r="DE12" s="269">
        <f ca="1">(TblMili[[#This Row],[Wizards]]+2*TblMili[[#This Row],[Archmages]])/TblConstr[[#This Row],[Land]]</f>
        <v>0</v>
      </c>
      <c r="DF12" s="269">
        <f ca="1">TblMili[[#This Row],[Raw (2)]]*(1+race_wizard_strength+IF(TblMili[[#This Row],[Hour]]&gt;72,tech_magical_weaponry_wiz*TblTech[[#This Row],[3-5]],0))</f>
        <v>0</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315</v>
      </c>
      <c r="C13" s="160">
        <f ca="1">TblPop[[#This Row],[Military%]]</f>
        <v>0.16899141630901288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5"/>
      <c r="N13" s="97">
        <f ca="1">TblProd[[#This Row],[Networth]]</f>
        <v>5450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315</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315</v>
      </c>
      <c r="X13" s="262">
        <f ca="1">TblConstr[[#This Row],[Land]]</f>
        <v>250</v>
      </c>
      <c r="Y13" s="265"/>
      <c r="Z13" s="270">
        <f ca="1">IF(TblMili[[#This Row],[Set]]&lt;&gt;"",TblMili[[#This Row],[Set]],OFFSET(TblMili[[#This Row],[Draftrate]],-1,0))</f>
        <v>0.9</v>
      </c>
      <c r="AA13" s="97">
        <f ca="1">OFFSET(TblMili[[#This Row],[Draftees]],-1,0)+OFFSET(TblPop[[#This Row],[Draft Growth]],-1,0) - SUM(TblMili[[#This Row],[Train Unit 1]:[Train Spies]],TblMili[[#This Row],[Train Wiz]]) - TblMili[[#This Row],[Release Draft]] + SUM(TblMili[[#This Row],[Release Unit 1]:[Release AM]]) - TblExplore[[#This Row],[Draftees (2)]]</f>
        <v>315</v>
      </c>
      <c r="AB13" s="157"/>
      <c r="AC13" s="183">
        <f ca="1">(TblConstr[[#This Row],[Tot Smi]]+TblConstr[[#This Row],[Dest Smi]])/(TblConstr[[#This Row],[Land]]-TblExplore[[#This Row],[Land Bonus]]*20)</f>
        <v>0</v>
      </c>
      <c r="AD13" s="140"/>
      <c r="AE13" s="261">
        <f>TblMili[[#This Row],[Hour]]</f>
        <v>10</v>
      </c>
      <c r="AF13" s="141">
        <f ca="1">TblExplore[[#This Row],[Time]]</f>
        <v>45430.124999999978</v>
      </c>
      <c r="AG13" s="182"/>
      <c r="AH13" s="182"/>
      <c r="AI13" s="182"/>
      <c r="AJ13" s="182"/>
      <c r="AK13" s="182"/>
      <c r="AL13" s="182"/>
      <c r="AM13" s="182"/>
      <c r="AN13" s="182"/>
      <c r="AO13" s="145"/>
      <c r="AP13" s="97">
        <f ca="1">TblProd[[#This Row],[Platinum]]</f>
        <v>36323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45430.124999999978</v>
      </c>
      <c r="AV13" s="97">
        <f ca="1">TblMili[[#This Row],[Draftees]]</f>
        <v>315</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300</v>
      </c>
      <c r="BJ13" s="97">
        <f ca="1">ROUNDUP(IF(race="Gnome",1,(1-MIN(TblMili[[#This Row],[Smithies]]*smithy_bonus,smithy_bonus_cap) + tech_3_5*TblTech[[#This Row],[3-5]] + tech_5_3*TblTech[[#This Row],[5-3]] + tech_5_5*TblTech[[#This Row],[5-5]]))*spec_op_ore,0)</f>
        <v>0</v>
      </c>
      <c r="BK13" s="97">
        <f ca="1">ROUNDUP((1-MIN(TblMili[[#This Row],[Smithies]]*smithy_bonus,smithy_bonus_cap) + tech_3_5*TblTech[[#This Row],[3-5]] + tech_5_3*TblTech[[#This Row],[5-3]] + tech_5_5*TblTech[[#This Row],[5-5]])*spec_dp_plat,0)</f>
        <v>300</v>
      </c>
      <c r="BL13" s="97">
        <f ca="1">ROUNDUP(IF(race="Gnome",1,(1-MIN(TblMili[[#This Row],[Smithies]]*smithy_bonus,smithy_bonus_cap) + tech_3_5*TblTech[[#This Row],[3-5]] + tech_5_3*TblTech[[#This Row],[5-3]] + tech_5_5*TblTech[[#This Row],[5-5]]))*spec_dp_ore,0)</f>
        <v>0</v>
      </c>
      <c r="BM13" s="97">
        <f ca="1">ROUNDUP((1-MIN(TblMili[[#This Row],[Smithies]]*smithy_bonus,smithy_bonus_cap) + tech_3_5*TblTech[[#This Row],[3-5]] + tech_5_3*TblTech[[#This Row],[5-3]] + tech_5_5*TblTech[[#This Row],[5-5]])*elite1_plat,0)</f>
        <v>925</v>
      </c>
      <c r="BN13" s="97">
        <f ca="1">ROUNDUP(IF(race="Gnome",1,(1-MIN(TblMili[[#This Row],[Smithies]]*smithy_bonus,smithy_bonus_cap) + tech_3_5*TblTech[[#This Row],[3-5]] + tech_5_3*TblTech[[#This Row],[5-3]] + tech_5_5*TblTech[[#This Row],[5-5]]))*elite1_ore,0)</f>
        <v>0</v>
      </c>
      <c r="BO13" s="97">
        <f ca="1">ROUNDUP((1-MIN(TblMili[[#This Row],[Smithies]]*smithy_bonus,smithy_bonus_cap) + tech_3_5*TblTech[[#This Row],[3-5]] + tech_5_3*TblTech[[#This Row],[5-3]] + tech_5_5*TblTech[[#This Row],[5-5]])*elite2_plat,0)</f>
        <v>950</v>
      </c>
      <c r="BP13" s="97">
        <f ca="1">ROUNDUP(IF(race="Gnome",1,(1-MIN(TblMili[[#This Row],[Smithies]]*smithy_bonus,smithy_bonus_cap) + tech_3_5*TblTech[[#This Row],[3-5]] + tech_5_3*TblTech[[#This Row],[5-3]] + tech_5_5*TblTech[[#This Row],[5-5]]))*elite2_ore,0)</f>
        <v>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0.12</v>
      </c>
      <c r="BW13" s="160">
        <f ca="1">TblMili[[#This Row],[WG''s]]</f>
        <v>0</v>
      </c>
      <c r="BX13" s="266">
        <f ca="1">IF(mystic_cap="none",TblMili[[#This Row],[Hill]]/mystic_bonus,MIN(mystic_cap,TblMili[[#This Row],[Hill]]/mystic_bonus))</f>
        <v>0.6</v>
      </c>
      <c r="BY13" s="266">
        <f ca="1">IF(druid_op_cap="none",TblMili[[#This Row],[Hill]]/druid_op_bonus,MIN(druid_op_cap,TblMili[[#This Row],[Hill]]/druid_op_bonus))</f>
        <v>0.6</v>
      </c>
      <c r="BZ13" s="266">
        <f ca="1">IF(druid_dp_cap="none",TblMili[[#This Row],[Hill]]/druid_dp_bonus,MIN(druid_dp_cap,TblMili[[#This Row],[Hill]]/druid_dp_bonus))</f>
        <v>0.6</v>
      </c>
      <c r="CA13" s="266">
        <f ca="1">MIN(dryad_cap,TblMili[[#This Row],[Hill]]/dryad_bonus)</f>
        <v>0.6</v>
      </c>
      <c r="CB13" s="266">
        <f ca="1">MIN(rocka_cap,TblMili[[#This Row],[Hill]]/rocka_bonus)</f>
        <v>0.6</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0.6</v>
      </c>
      <c r="CH13" s="45">
        <f ca="1">MIN(ice_elem_cap,TblMili[[#This Row],[Raw (2)]]*ice_elem_bonus)</f>
        <v>0</v>
      </c>
      <c r="CI13" s="266">
        <f t="shared" si="0"/>
        <v>0.83333333333333337</v>
      </c>
      <c r="CJ13" s="266">
        <f ca="1">MIN(nox_nightshade_cap,TblConstr[[#This Row],[Homeland]]/TblConstr[[#This Row],[Land]]/nox_nightshade_swamp_bonus)</f>
        <v>1.2</v>
      </c>
      <c r="CK13" s="267"/>
      <c r="CL13" s="267"/>
      <c r="CM13" s="267"/>
      <c r="CN13" s="266">
        <f ca="1">MIN(6,TblMili[[#This Row],[Mystic]]+Races!$F$19)*1.8 +  IF(TblMili[[#This Row],[Mystic]]+Races!$F$19&gt;6,(TblMili[[#This Row],[Mystic]]+Races!$F$19-6)*0.2,0) - Races!$I$19</f>
        <v>1.0799999999999992</v>
      </c>
      <c r="CO13"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3" s="97">
        <f ca="1">TblMili[[#This Row],[Mystic bonus]]*TblMili[[#This Row],[Unit 3]]+TblMili[[#This Row],[Druid bonus]]*TblMili[[#This Row],[Unit 4]]</f>
        <v>0</v>
      </c>
      <c r="CQ13" s="158">
        <f ca="1">MIN(6,TblMili[[#This Row],[Dryad]]+Races!$F$35)*1.8 +  IF(TblMili[[#This Row],[Dryad]]+Races!$F$35&gt;6,(TblMili[[#This Row],[Dryad]]+Races!$F$35-6)*0.2,0) - Races!$I$19</f>
        <v>-0.71999999999999975</v>
      </c>
      <c r="CR13" s="97">
        <f ca="1">sylvan*(TblMili[[#This Row],[Mystic bonus]]*TblMili[[#This Row],[Unit 3]])</f>
        <v>0</v>
      </c>
      <c r="CS13" s="158">
        <f ca="1">1.8 * MIN(MAX(Races!$E$27,TblMili[[#This Row],[Rockapult]]+Races!$F$27),6)  +  0.45 * MIN(MIN(Races!$E$27,TblMili[[#This Row],[Rockapult]]+Races!$F$27),6)  +  0.2 * ( MAX(Races!$E$27-6,0) + MAX(TblMili[[#This Row],[Rockapult]]+Races!$F$27-6,0) )  -  Races!$I$20</f>
        <v>3.3299999999999992</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1.08</v>
      </c>
      <c r="CX13" s="158">
        <f ca="1">1.8 * MIN(MAX(TblMili[[#This Row],[Ice Elemental]]+Races!$E$71,Races!$F$71),6)  +  0.45 * MIN(MIN(TblMili[[#This Row],[Ice Elemental]]+Races!$E$71,Races!$F$71),6)  +  0.2 * ( MAX(TblMili[[#This Row],[Ice Elemental]]+Races!$E$71-6,0) + MAX(Races!$F$71-6,0) )  -  Races!$I$71</f>
        <v>0</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3" s="145"/>
      <c r="DE13" s="269">
        <f ca="1">(TblMili[[#This Row],[Wizards]]+2*TblMili[[#This Row],[Archmages]])/TblConstr[[#This Row],[Land]]</f>
        <v>0</v>
      </c>
      <c r="DF13" s="269">
        <f ca="1">TblMili[[#This Row],[Raw (2)]]*(1+race_wizard_strength+IF(TblMili[[#This Row],[Hour]]&gt;72,tech_magical_weaponry_wiz*TblTech[[#This Row],[3-5]],0))</f>
        <v>0</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326</v>
      </c>
      <c r="C14" s="160">
        <f ca="1">TblPop[[#This Row],[Military%]]</f>
        <v>0.17103882476390347</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5"/>
      <c r="N14" s="97">
        <f ca="1">TblProd[[#This Row],[Networth]]</f>
        <v>5450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326</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326</v>
      </c>
      <c r="X14" s="262">
        <f ca="1">TblConstr[[#This Row],[Land]]</f>
        <v>250</v>
      </c>
      <c r="Y14" s="265"/>
      <c r="Z14" s="270">
        <f ca="1">IF(TblMili[[#This Row],[Set]]&lt;&gt;"",TblMili[[#This Row],[Set]],OFFSET(TblMili[[#This Row],[Draftrate]],-1,0))</f>
        <v>0.9</v>
      </c>
      <c r="AA14" s="97">
        <f ca="1">OFFSET(TblMili[[#This Row],[Draftees]],-1,0)+OFFSET(TblPop[[#This Row],[Draft Growth]],-1,0) - SUM(TblMili[[#This Row],[Train Unit 1]:[Train Spies]],TblMili[[#This Row],[Train Wiz]]) - TblMili[[#This Row],[Release Draft]] + SUM(TblMili[[#This Row],[Release Unit 1]:[Release AM]]) - TblExplore[[#This Row],[Draftees (2)]]</f>
        <v>326</v>
      </c>
      <c r="AB14" s="157"/>
      <c r="AC14" s="183">
        <f ca="1">(TblConstr[[#This Row],[Tot Smi]]+TblConstr[[#This Row],[Dest Smi]])/(TblConstr[[#This Row],[Land]]-TblExplore[[#This Row],[Land Bonus]]*20)</f>
        <v>0</v>
      </c>
      <c r="AD14" s="140"/>
      <c r="AE14" s="261">
        <f>TblMili[[#This Row],[Hour]]</f>
        <v>11</v>
      </c>
      <c r="AF14" s="141">
        <f ca="1">TblExplore[[#This Row],[Time]]</f>
        <v>45430.166666666642</v>
      </c>
      <c r="AG14" s="182"/>
      <c r="AH14" s="182"/>
      <c r="AI14" s="182"/>
      <c r="AJ14" s="182"/>
      <c r="AK14" s="182"/>
      <c r="AL14" s="182"/>
      <c r="AM14" s="182"/>
      <c r="AN14" s="182"/>
      <c r="AO14" s="145"/>
      <c r="AP14" s="97">
        <f ca="1">TblProd[[#This Row],[Platinum]]</f>
        <v>41005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45430.166666666642</v>
      </c>
      <c r="AV14" s="97">
        <f ca="1">TblMili[[#This Row],[Draftees]]</f>
        <v>326</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300</v>
      </c>
      <c r="BJ14" s="97">
        <f ca="1">ROUNDUP(IF(race="Gnome",1,(1-MIN(TblMili[[#This Row],[Smithies]]*smithy_bonus,smithy_bonus_cap) + tech_3_5*TblTech[[#This Row],[3-5]] + tech_5_3*TblTech[[#This Row],[5-3]] + tech_5_5*TblTech[[#This Row],[5-5]]))*spec_op_ore,0)</f>
        <v>0</v>
      </c>
      <c r="BK14" s="97">
        <f ca="1">ROUNDUP((1-MIN(TblMili[[#This Row],[Smithies]]*smithy_bonus,smithy_bonus_cap) + tech_3_5*TblTech[[#This Row],[3-5]] + tech_5_3*TblTech[[#This Row],[5-3]] + tech_5_5*TblTech[[#This Row],[5-5]])*spec_dp_plat,0)</f>
        <v>300</v>
      </c>
      <c r="BL14" s="97">
        <f ca="1">ROUNDUP(IF(race="Gnome",1,(1-MIN(TblMili[[#This Row],[Smithies]]*smithy_bonus,smithy_bonus_cap) + tech_3_5*TblTech[[#This Row],[3-5]] + tech_5_3*TblTech[[#This Row],[5-3]] + tech_5_5*TblTech[[#This Row],[5-5]]))*spec_dp_ore,0)</f>
        <v>0</v>
      </c>
      <c r="BM14" s="97">
        <f ca="1">ROUNDUP((1-MIN(TblMili[[#This Row],[Smithies]]*smithy_bonus,smithy_bonus_cap) + tech_3_5*TblTech[[#This Row],[3-5]] + tech_5_3*TblTech[[#This Row],[5-3]] + tech_5_5*TblTech[[#This Row],[5-5]])*elite1_plat,0)</f>
        <v>925</v>
      </c>
      <c r="BN14" s="97">
        <f ca="1">ROUNDUP(IF(race="Gnome",1,(1-MIN(TblMili[[#This Row],[Smithies]]*smithy_bonus,smithy_bonus_cap) + tech_3_5*TblTech[[#This Row],[3-5]] + tech_5_3*TblTech[[#This Row],[5-3]] + tech_5_5*TblTech[[#This Row],[5-5]]))*elite1_ore,0)</f>
        <v>0</v>
      </c>
      <c r="BO14" s="97">
        <f ca="1">ROUNDUP((1-MIN(TblMili[[#This Row],[Smithies]]*smithy_bonus,smithy_bonus_cap) + tech_3_5*TblTech[[#This Row],[3-5]] + tech_5_3*TblTech[[#This Row],[5-3]] + tech_5_5*TblTech[[#This Row],[5-5]])*elite2_plat,0)</f>
        <v>950</v>
      </c>
      <c r="BP14" s="97">
        <f ca="1">ROUNDUP(IF(race="Gnome",1,(1-MIN(TblMili[[#This Row],[Smithies]]*smithy_bonus,smithy_bonus_cap) + tech_3_5*TblTech[[#This Row],[3-5]] + tech_5_3*TblTech[[#This Row],[5-3]] + tech_5_5*TblTech[[#This Row],[5-5]]))*elite2_ore,0)</f>
        <v>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0.12</v>
      </c>
      <c r="BW14" s="160">
        <f ca="1">TblMili[[#This Row],[WG''s]]</f>
        <v>0</v>
      </c>
      <c r="BX14" s="266">
        <f ca="1">IF(mystic_cap="none",TblMili[[#This Row],[Hill]]/mystic_bonus,MIN(mystic_cap,TblMili[[#This Row],[Hill]]/mystic_bonus))</f>
        <v>0.6</v>
      </c>
      <c r="BY14" s="266">
        <f ca="1">IF(druid_op_cap="none",TblMili[[#This Row],[Hill]]/druid_op_bonus,MIN(druid_op_cap,TblMili[[#This Row],[Hill]]/druid_op_bonus))</f>
        <v>0.6</v>
      </c>
      <c r="BZ14" s="266">
        <f ca="1">IF(druid_dp_cap="none",TblMili[[#This Row],[Hill]]/druid_dp_bonus,MIN(druid_dp_cap,TblMili[[#This Row],[Hill]]/druid_dp_bonus))</f>
        <v>0.6</v>
      </c>
      <c r="CA14" s="266">
        <f ca="1">MIN(dryad_cap,TblMili[[#This Row],[Hill]]/dryad_bonus)</f>
        <v>0.6</v>
      </c>
      <c r="CB14" s="266">
        <f ca="1">MIN(rocka_cap,TblMili[[#This Row],[Hill]]/rocka_bonus)</f>
        <v>0.6</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0.6</v>
      </c>
      <c r="CH14" s="45">
        <f ca="1">MIN(ice_elem_cap,TblMili[[#This Row],[Raw (2)]]*ice_elem_bonus)</f>
        <v>0</v>
      </c>
      <c r="CI14" s="266">
        <f t="shared" si="0"/>
        <v>0.83333333333333337</v>
      </c>
      <c r="CJ14" s="266">
        <f ca="1">MIN(nox_nightshade_cap,TblConstr[[#This Row],[Homeland]]/TblConstr[[#This Row],[Land]]/nox_nightshade_swamp_bonus)</f>
        <v>1.2</v>
      </c>
      <c r="CK14" s="267"/>
      <c r="CL14" s="267"/>
      <c r="CM14" s="267"/>
      <c r="CN14" s="266">
        <f ca="1">MIN(6,TblMili[[#This Row],[Mystic]]+Races!$F$19)*1.8 +  IF(TblMili[[#This Row],[Mystic]]+Races!$F$19&gt;6,(TblMili[[#This Row],[Mystic]]+Races!$F$19-6)*0.2,0) - Races!$I$19</f>
        <v>1.0799999999999992</v>
      </c>
      <c r="CO14"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4" s="97">
        <f ca="1">TblMili[[#This Row],[Mystic bonus]]*TblMili[[#This Row],[Unit 3]]+TblMili[[#This Row],[Druid bonus]]*TblMili[[#This Row],[Unit 4]]</f>
        <v>0</v>
      </c>
      <c r="CQ14" s="158">
        <f ca="1">MIN(6,TblMili[[#This Row],[Dryad]]+Races!$F$35)*1.8 +  IF(TblMili[[#This Row],[Dryad]]+Races!$F$35&gt;6,(TblMili[[#This Row],[Dryad]]+Races!$F$35-6)*0.2,0) - Races!$I$19</f>
        <v>-0.71999999999999975</v>
      </c>
      <c r="CR14" s="97">
        <f ca="1">sylvan*(TblMili[[#This Row],[Mystic bonus]]*TblMili[[#This Row],[Unit 3]])</f>
        <v>0</v>
      </c>
      <c r="CS14" s="158">
        <f ca="1">1.8 * MIN(MAX(Races!$E$27,TblMili[[#This Row],[Rockapult]]+Races!$F$27),6)  +  0.45 * MIN(MIN(Races!$E$27,TblMili[[#This Row],[Rockapult]]+Races!$F$27),6)  +  0.2 * ( MAX(Races!$E$27-6,0) + MAX(TblMili[[#This Row],[Rockapult]]+Races!$F$27-6,0) )  -  Races!$I$20</f>
        <v>3.3299999999999992</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1.08</v>
      </c>
      <c r="CX14" s="158">
        <f ca="1">1.8 * MIN(MAX(TblMili[[#This Row],[Ice Elemental]]+Races!$E$71,Races!$F$71),6)  +  0.45 * MIN(MIN(TblMili[[#This Row],[Ice Elemental]]+Races!$E$71,Races!$F$71),6)  +  0.2 * ( MAX(TblMili[[#This Row],[Ice Elemental]]+Races!$E$71-6,0) + MAX(Races!$F$71-6,0) )  -  Races!$I$71</f>
        <v>0</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4" s="145"/>
      <c r="DE14" s="269">
        <f ca="1">(TblMili[[#This Row],[Wizards]]+2*TblMili[[#This Row],[Archmages]])/TblConstr[[#This Row],[Land]]</f>
        <v>0</v>
      </c>
      <c r="DF14" s="269">
        <f ca="1">TblMili[[#This Row],[Raw (2)]]*(1+race_wizard_strength+IF(TblMili[[#This Row],[Hour]]&gt;72,tech_magical_weaponry_wiz*TblTech[[#This Row],[3-5]],0))</f>
        <v>0</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342</v>
      </c>
      <c r="C15" s="160">
        <f ca="1">TblPop[[#This Row],[Military%]]</f>
        <v>0.17511520737327188</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5"/>
      <c r="N15" s="97">
        <f ca="1">TblProd[[#This Row],[Networth]]</f>
        <v>5450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342</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342</v>
      </c>
      <c r="X15" s="262">
        <f ca="1">TblConstr[[#This Row],[Land]]</f>
        <v>250</v>
      </c>
      <c r="Y15" s="265"/>
      <c r="Z15" s="270">
        <f ca="1">IF(TblMili[[#This Row],[Set]]&lt;&gt;"",TblMili[[#This Row],[Set]],OFFSET(TblMili[[#This Row],[Draftrate]],-1,0))</f>
        <v>0.9</v>
      </c>
      <c r="AA15" s="97">
        <f ca="1">OFFSET(TblMili[[#This Row],[Draftees]],-1,0)+OFFSET(TblPop[[#This Row],[Draft Growth]],-1,0) - SUM(TblMili[[#This Row],[Train Unit 1]:[Train Spies]],TblMili[[#This Row],[Train Wiz]]) - TblMili[[#This Row],[Release Draft]] + SUM(TblMili[[#This Row],[Release Unit 1]:[Release AM]]) - TblExplore[[#This Row],[Draftees (2)]]</f>
        <v>342</v>
      </c>
      <c r="AB15" s="157"/>
      <c r="AC15" s="183">
        <f ca="1">(TblConstr[[#This Row],[Tot Smi]]+TblConstr[[#This Row],[Dest Smi]])/(TblConstr[[#This Row],[Land]]-TblExplore[[#This Row],[Land Bonus]]*20)</f>
        <v>0</v>
      </c>
      <c r="AD15" s="140"/>
      <c r="AE15" s="261">
        <f>TblMili[[#This Row],[Hour]]</f>
        <v>12</v>
      </c>
      <c r="AF15" s="141">
        <f ca="1">TblExplore[[#This Row],[Time]]</f>
        <v>45430.208333333307</v>
      </c>
      <c r="AG15" s="182"/>
      <c r="AH15" s="182"/>
      <c r="AI15" s="182"/>
      <c r="AJ15" s="182"/>
      <c r="AK15" s="182"/>
      <c r="AL15" s="182"/>
      <c r="AM15" s="182"/>
      <c r="AN15" s="182"/>
      <c r="AO15" s="145"/>
      <c r="AP15" s="97">
        <f ca="1">TblProd[[#This Row],[Platinum]]</f>
        <v>46621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45430.208333333307</v>
      </c>
      <c r="AV15" s="97">
        <f ca="1">TblMili[[#This Row],[Draftees]]</f>
        <v>342</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300</v>
      </c>
      <c r="BJ15" s="97">
        <f ca="1">ROUNDUP(IF(race="Gnome",1,(1-MIN(TblMili[[#This Row],[Smithies]]*smithy_bonus,smithy_bonus_cap) + tech_3_5*TblTech[[#This Row],[3-5]] + tech_5_3*TblTech[[#This Row],[5-3]] + tech_5_5*TblTech[[#This Row],[5-5]]))*spec_op_ore,0)</f>
        <v>0</v>
      </c>
      <c r="BK15" s="97">
        <f ca="1">ROUNDUP((1-MIN(TblMili[[#This Row],[Smithies]]*smithy_bonus,smithy_bonus_cap) + tech_3_5*TblTech[[#This Row],[3-5]] + tech_5_3*TblTech[[#This Row],[5-3]] + tech_5_5*TblTech[[#This Row],[5-5]])*spec_dp_plat,0)</f>
        <v>300</v>
      </c>
      <c r="BL15" s="97">
        <f ca="1">ROUNDUP(IF(race="Gnome",1,(1-MIN(TblMili[[#This Row],[Smithies]]*smithy_bonus,smithy_bonus_cap) + tech_3_5*TblTech[[#This Row],[3-5]] + tech_5_3*TblTech[[#This Row],[5-3]] + tech_5_5*TblTech[[#This Row],[5-5]]))*spec_dp_ore,0)</f>
        <v>0</v>
      </c>
      <c r="BM15" s="97">
        <f ca="1">ROUNDUP((1-MIN(TblMili[[#This Row],[Smithies]]*smithy_bonus,smithy_bonus_cap) + tech_3_5*TblTech[[#This Row],[3-5]] + tech_5_3*TblTech[[#This Row],[5-3]] + tech_5_5*TblTech[[#This Row],[5-5]])*elite1_plat,0)</f>
        <v>925</v>
      </c>
      <c r="BN15" s="97">
        <f ca="1">ROUNDUP(IF(race="Gnome",1,(1-MIN(TblMili[[#This Row],[Smithies]]*smithy_bonus,smithy_bonus_cap) + tech_3_5*TblTech[[#This Row],[3-5]] + tech_5_3*TblTech[[#This Row],[5-3]] + tech_5_5*TblTech[[#This Row],[5-5]]))*elite1_ore,0)</f>
        <v>0</v>
      </c>
      <c r="BO15" s="97">
        <f ca="1">ROUNDUP((1-MIN(TblMili[[#This Row],[Smithies]]*smithy_bonus,smithy_bonus_cap) + tech_3_5*TblTech[[#This Row],[3-5]] + tech_5_3*TblTech[[#This Row],[5-3]] + tech_5_5*TblTech[[#This Row],[5-5]])*elite2_plat,0)</f>
        <v>950</v>
      </c>
      <c r="BP15" s="97">
        <f ca="1">ROUNDUP(IF(race="Gnome",1,(1-MIN(TblMili[[#This Row],[Smithies]]*smithy_bonus,smithy_bonus_cap) + tech_3_5*TblTech[[#This Row],[3-5]] + tech_5_3*TblTech[[#This Row],[5-3]] + tech_5_5*TblTech[[#This Row],[5-5]]))*elite2_ore,0)</f>
        <v>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0.12</v>
      </c>
      <c r="BW15" s="160">
        <f ca="1">TblMili[[#This Row],[WG''s]]</f>
        <v>0</v>
      </c>
      <c r="BX15" s="266">
        <f ca="1">IF(mystic_cap="none",TblMili[[#This Row],[Hill]]/mystic_bonus,MIN(mystic_cap,TblMili[[#This Row],[Hill]]/mystic_bonus))</f>
        <v>0.6</v>
      </c>
      <c r="BY15" s="266">
        <f ca="1">IF(druid_op_cap="none",TblMili[[#This Row],[Hill]]/druid_op_bonus,MIN(druid_op_cap,TblMili[[#This Row],[Hill]]/druid_op_bonus))</f>
        <v>0.6</v>
      </c>
      <c r="BZ15" s="266">
        <f ca="1">IF(druid_dp_cap="none",TblMili[[#This Row],[Hill]]/druid_dp_bonus,MIN(druid_dp_cap,TblMili[[#This Row],[Hill]]/druid_dp_bonus))</f>
        <v>0.6</v>
      </c>
      <c r="CA15" s="266">
        <f ca="1">MIN(dryad_cap,TblMili[[#This Row],[Hill]]/dryad_bonus)</f>
        <v>0.6</v>
      </c>
      <c r="CB15" s="266">
        <f ca="1">MIN(rocka_cap,TblMili[[#This Row],[Hill]]/rocka_bonus)</f>
        <v>0.6</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0.6</v>
      </c>
      <c r="CH15" s="45">
        <f ca="1">MIN(ice_elem_cap,TblMili[[#This Row],[Raw (2)]]*ice_elem_bonus)</f>
        <v>0</v>
      </c>
      <c r="CI15" s="266">
        <f t="shared" si="0"/>
        <v>0.83333333333333337</v>
      </c>
      <c r="CJ15" s="266">
        <f ca="1">MIN(nox_nightshade_cap,TblConstr[[#This Row],[Homeland]]/TblConstr[[#This Row],[Land]]/nox_nightshade_swamp_bonus)</f>
        <v>1.2</v>
      </c>
      <c r="CK15" s="267"/>
      <c r="CL15" s="267"/>
      <c r="CM15" s="267"/>
      <c r="CN15" s="266">
        <f ca="1">MIN(6,TblMili[[#This Row],[Mystic]]+Races!$F$19)*1.8 +  IF(TblMili[[#This Row],[Mystic]]+Races!$F$19&gt;6,(TblMili[[#This Row],[Mystic]]+Races!$F$19-6)*0.2,0) - Races!$I$19</f>
        <v>1.0799999999999992</v>
      </c>
      <c r="CO15" s="266">
        <f ca="1">1.8 * MIN(MAX(TblMili[[#This Row],[Druid (op)]]+Races!$E$20,TblMili[[#This Row],[Druid (dp)]]+Races!$F$20),6)  +  0.45 * MIN(MIN(TblMili[[#This Row],[Druid (op)]]+Races!$E$20,TblMili[[#This Row],[Druid (dp)]]+Races!$F$20),6)  +  0.2 * ( MAX(TblMili[[#This Row],[Druid (op)]]+Races!$E$20-6,0) + MAX(TblMili[[#This Row],[Druid (dp)]]+Races!$F$20-6,0) )  -  Races!$I$20</f>
        <v>1.3499999999999996</v>
      </c>
      <c r="CP15" s="97">
        <f ca="1">TblMili[[#This Row],[Mystic bonus]]*TblMili[[#This Row],[Unit 3]]+TblMili[[#This Row],[Druid bonus]]*TblMili[[#This Row],[Unit 4]]</f>
        <v>0</v>
      </c>
      <c r="CQ15" s="158">
        <f ca="1">MIN(6,TblMili[[#This Row],[Dryad]]+Races!$F$35)*1.8 +  IF(TblMili[[#This Row],[Dryad]]+Races!$F$35&gt;6,(TblMili[[#This Row],[Dryad]]+Races!$F$35-6)*0.2,0) - Races!$I$19</f>
        <v>-0.71999999999999975</v>
      </c>
      <c r="CR15" s="97">
        <f ca="1">sylvan*(TblMili[[#This Row],[Mystic bonus]]*TblMili[[#This Row],[Unit 3]])</f>
        <v>0</v>
      </c>
      <c r="CS15" s="158">
        <f ca="1">1.8 * MIN(MAX(Races!$E$27,TblMili[[#This Row],[Rockapult]]+Races!$F$27),6)  +  0.45 * MIN(MIN(Races!$E$27,TblMili[[#This Row],[Rockapult]]+Races!$F$27),6)  +  0.2 * ( MAX(Races!$E$27-6,0) + MAX(TblMili[[#This Row],[Rockapult]]+Races!$F$27-6,0) )  -  Races!$I$20</f>
        <v>3.3299999999999992</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1.08</v>
      </c>
      <c r="CX15" s="158">
        <f ca="1">1.8 * MIN(MAX(TblMili[[#This Row],[Ice Elemental]]+Races!$E$71,Races!$F$71),6)  +  0.45 * MIN(MIN(TblMili[[#This Row],[Ice Elemental]]+Races!$E$71,Races!$F$71),6)  +  0.2 * ( MAX(TblMili[[#This Row],[Ice Elemental]]+Races!$E$71-6,0) + MAX(Races!$F$71-6,0) )  -  Races!$I$71</f>
        <v>0</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5450</v>
      </c>
      <c r="DD15" s="145"/>
      <c r="DE15" s="269">
        <f ca="1">(TblMili[[#This Row],[Wizards]]+2*TblMili[[#This Row],[Archmages]])/TblConstr[[#This Row],[Land]]</f>
        <v>0</v>
      </c>
      <c r="DF15" s="269">
        <f ca="1">TblMili[[#This Row],[Raw (2)]]*(1+race_wizard_strength+IF(TblMili[[#This Row],[Hour]]&gt;72,tech_magical_weaponry_wiz*TblTech[[#This Row],[3-5]],0))</f>
        <v>0</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358</v>
      </c>
      <c r="C16" s="160">
        <f ca="1">TblPop[[#This Row],[Military%]]</f>
        <v>0.17420924574209246</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5"/>
      <c r="N16" s="97">
        <f ca="1">TblProd[[#This Row],[Networth]]</f>
        <v>5925</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358</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358</v>
      </c>
      <c r="X16" s="262">
        <f ca="1">TblConstr[[#This Row],[Land]]</f>
        <v>250</v>
      </c>
      <c r="Y16" s="265"/>
      <c r="Z16" s="270">
        <f ca="1">IF(TblMili[[#This Row],[Set]]&lt;&gt;"",TblMili[[#This Row],[Set]],OFFSET(TblMili[[#This Row],[Draftrate]],-1,0))</f>
        <v>0.9</v>
      </c>
      <c r="AA16" s="97">
        <f ca="1">OFFSET(TblMili[[#This Row],[Draftees]],-1,0)+OFFSET(TblPop[[#This Row],[Draft Growth]],-1,0) - SUM(TblMili[[#This Row],[Train Unit 1]:[Train Spies]],TblMili[[#This Row],[Train Wiz]]) - TblMili[[#This Row],[Release Draft]] + SUM(TblMili[[#This Row],[Release Unit 1]:[Release AM]]) - TblExplore[[#This Row],[Draftees (2)]]</f>
        <v>358</v>
      </c>
      <c r="AB16" s="157"/>
      <c r="AC16" s="183">
        <f ca="1">(TblConstr[[#This Row],[Tot Smi]]+TblConstr[[#This Row],[Dest Smi]])/(TblConstr[[#This Row],[Land]]-TblExplore[[#This Row],[Land Bonus]]*20)</f>
        <v>0</v>
      </c>
      <c r="AD16" s="261"/>
      <c r="AE16" s="261">
        <f>TblMili[[#This Row],[Hour]]</f>
        <v>13</v>
      </c>
      <c r="AF16" s="141">
        <f ca="1">TblExplore[[#This Row],[Time]]</f>
        <v>45430.249999999971</v>
      </c>
      <c r="AG16" s="182"/>
      <c r="AH16" s="182"/>
      <c r="AI16" s="182"/>
      <c r="AJ16" s="182"/>
      <c r="AK16" s="182"/>
      <c r="AL16" s="182"/>
      <c r="AM16" s="182"/>
      <c r="AN16" s="182"/>
      <c r="AO16" s="145"/>
      <c r="AP16" s="97">
        <f ca="1">TblProd[[#This Row],[Platinum]]</f>
        <v>27645</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45430.249999999971</v>
      </c>
      <c r="AV16" s="97">
        <f ca="1">TblMili[[#This Row],[Draftees]]</f>
        <v>358</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300</v>
      </c>
      <c r="BJ16" s="97">
        <f ca="1">ROUNDUP(IF(race="Gnome",1,(1-MIN(TblMili[[#This Row],[Smithies]]*smithy_bonus,smithy_bonus_cap) + tech_3_5*TblTech[[#This Row],[3-5]] + tech_5_3*TblTech[[#This Row],[5-3]] + tech_5_5*TblTech[[#This Row],[5-5]]))*spec_op_ore,0)</f>
        <v>0</v>
      </c>
      <c r="BK16" s="97">
        <f ca="1">ROUNDUP((1-MIN(TblMili[[#This Row],[Smithies]]*smithy_bonus,smithy_bonus_cap) + tech_3_5*TblTech[[#This Row],[3-5]] + tech_5_3*TblTech[[#This Row],[5-3]] + tech_5_5*TblTech[[#This Row],[5-5]])*spec_dp_plat,0)</f>
        <v>300</v>
      </c>
      <c r="BL16" s="97">
        <f ca="1">ROUNDUP(IF(race="Gnome",1,(1-MIN(TblMili[[#This Row],[Smithies]]*smithy_bonus,smithy_bonus_cap) + tech_3_5*TblTech[[#This Row],[3-5]] + tech_5_3*TblTech[[#This Row],[5-3]] + tech_5_5*TblTech[[#This Row],[5-5]]))*spec_dp_ore,0)</f>
        <v>0</v>
      </c>
      <c r="BM16" s="97">
        <f ca="1">ROUNDUP((1-MIN(TblMili[[#This Row],[Smithies]]*smithy_bonus,smithy_bonus_cap) + tech_3_5*TblTech[[#This Row],[3-5]] + tech_5_3*TblTech[[#This Row],[5-3]] + tech_5_5*TblTech[[#This Row],[5-5]])*elite1_plat,0)</f>
        <v>925</v>
      </c>
      <c r="BN16" s="97">
        <f ca="1">ROUNDUP(IF(race="Gnome",1,(1-MIN(TblMili[[#This Row],[Smithies]]*smithy_bonus,smithy_bonus_cap) + tech_3_5*TblTech[[#This Row],[3-5]] + tech_5_3*TblTech[[#This Row],[5-3]] + tech_5_5*TblTech[[#This Row],[5-5]]))*elite1_ore,0)</f>
        <v>0</v>
      </c>
      <c r="BO16" s="97">
        <f ca="1">ROUNDUP((1-MIN(TblMili[[#This Row],[Smithies]]*smithy_bonus,smithy_bonus_cap) + tech_3_5*TblTech[[#This Row],[3-5]] + tech_5_3*TblTech[[#This Row],[5-3]] + tech_5_5*TblTech[[#This Row],[5-5]])*elite2_plat,0)</f>
        <v>950</v>
      </c>
      <c r="BP16" s="97">
        <f ca="1">ROUNDUP(IF(race="Gnome",1,(1-MIN(TblMili[[#This Row],[Smithies]]*smithy_bonus,smithy_bonus_cap) + tech_3_5*TblTech[[#This Row],[3-5]] + tech_5_3*TblTech[[#This Row],[5-3]] + tech_5_5*TblTech[[#This Row],[5-5]]))*elite2_ore,0)</f>
        <v>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v>
      </c>
      <c r="BW16" s="160">
        <f ca="1">TblMili[[#This Row],[WG''s]]</f>
        <v>0</v>
      </c>
      <c r="BX16" s="266">
        <f ca="1">IF(mystic_cap="none",TblMili[[#This Row],[Hill]]/mystic_bonus,MIN(mystic_cap,TblMili[[#This Row],[Hill]]/mystic_bonus))</f>
        <v>0</v>
      </c>
      <c r="BY16" s="266">
        <f ca="1">IF(druid_op_cap="none",TblMili[[#This Row],[Hill]]/druid_op_bonus,MIN(druid_op_cap,TblMili[[#This Row],[Hill]]/druid_op_bonus))</f>
        <v>0</v>
      </c>
      <c r="BZ16" s="266">
        <f ca="1">IF(druid_dp_cap="none",TblMili[[#This Row],[Hill]]/druid_dp_bonus,MIN(druid_dp_cap,TblMili[[#This Row],[Hill]]/druid_dp_bonus))</f>
        <v>0</v>
      </c>
      <c r="CA16" s="266">
        <f ca="1">MIN(dryad_cap,TblMili[[#This Row],[Hill]]/dryad_bonus)</f>
        <v>0</v>
      </c>
      <c r="CB16" s="266">
        <f ca="1">MIN(rocka_cap,TblMili[[#This Row],[Hill]]/rocka_bonus)</f>
        <v>0</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0</v>
      </c>
      <c r="CH16" s="45">
        <f ca="1">MIN(ice_elem_cap,TblMili[[#This Row],[Raw (2)]]*ice_elem_bonus)</f>
        <v>0</v>
      </c>
      <c r="CI16" s="266">
        <f t="shared" si="0"/>
        <v>0.83333333333333337</v>
      </c>
      <c r="CJ16" s="266">
        <f ca="1">MIN(nox_nightshade_cap,TblConstr[[#This Row],[Homeland]]/TblConstr[[#This Row],[Land]]/nox_nightshade_swamp_bonus)</f>
        <v>0</v>
      </c>
      <c r="CK16" s="267"/>
      <c r="CL16" s="267"/>
      <c r="CM16" s="267"/>
      <c r="CN16" s="266">
        <f ca="1">MIN(6,TblMili[[#This Row],[Mystic]]+Races!$F$19)*1.8 +  IF(TblMili[[#This Row],[Mystic]]+Races!$F$19&gt;6,(TblMili[[#This Row],[Mystic]]+Races!$F$19-6)*0.2,0) - Races!$I$19</f>
        <v>0</v>
      </c>
      <c r="CO16" s="266">
        <f ca="1">1.8 * MIN(MAX(TblMili[[#This Row],[Druid (op)]]+Races!$E$20,TblMili[[#This Row],[Druid (dp)]]+Races!$F$20),6)  +  0.45 * MIN(MIN(TblMili[[#This Row],[Druid (op)]]+Races!$E$20,TblMili[[#This Row],[Druid (dp)]]+Races!$F$20),6)  +  0.2 * ( MAX(TblMili[[#This Row],[Druid (op)]]+Races!$E$20-6,0) + MAX(TblMili[[#This Row],[Druid (dp)]]+Races!$F$20-6,0) )  -  Races!$I$20</f>
        <v>0</v>
      </c>
      <c r="CP16" s="97">
        <f ca="1">TblMili[[#This Row],[Mystic bonus]]*TblMili[[#This Row],[Unit 3]]+TblMili[[#This Row],[Druid bonus]]*TblMili[[#This Row],[Unit 4]]</f>
        <v>0</v>
      </c>
      <c r="CQ16" s="158">
        <f ca="1">MIN(6,TblMili[[#This Row],[Dryad]]+Races!$F$35)*1.8 +  IF(TblMili[[#This Row],[Dryad]]+Races!$F$35&gt;6,(TblMili[[#This Row],[Dryad]]+Races!$F$35-6)*0.2,0) - Races!$I$19</f>
        <v>-1.7999999999999998</v>
      </c>
      <c r="CR16" s="97">
        <f ca="1">sylvan*(TblMili[[#This Row],[Mystic bonus]]*TblMili[[#This Row],[Unit 3]])</f>
        <v>0</v>
      </c>
      <c r="CS16" s="158">
        <f ca="1">1.8 * MIN(MAX(Races!$E$27,TblMili[[#This Row],[Rockapult]]+Races!$F$27),6)  +  0.45 * MIN(MIN(Races!$E$27,TblMili[[#This Row],[Rockapult]]+Races!$F$27),6)  +  0.2 * ( MAX(Races!$E$27-6,0) + MAX(TblMili[[#This Row],[Rockapult]]+Races!$F$27-6,0) )  -  Races!$I$20</f>
        <v>2.2499999999999991</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0</v>
      </c>
      <c r="CX16" s="158">
        <f ca="1">1.8 * MIN(MAX(TblMili[[#This Row],[Ice Elemental]]+Races!$E$71,Races!$F$71),6)  +  0.45 * MIN(MIN(TblMili[[#This Row],[Ice Elemental]]+Races!$E$71,Races!$F$71),6)  +  0.2 * ( MAX(TblMili[[#This Row],[Ice Elemental]]+Races!$E$71-6,0) + MAX(Races!$F$71-6,0) )  -  Races!$I$71</f>
        <v>0</v>
      </c>
      <c r="CY16" s="97">
        <f ca="1">TblMili[[#This Row],[Frost Mage bonus]]*TblMili[[#This Row],[Unit 3]]+TblMili[[#This Row],[Ice Elemental bonus]]*TblMili[[#This Row],[Unit 4]]</f>
        <v>0</v>
      </c>
      <c r="CZ16" s="268"/>
      <c r="DA16" s="146">
        <f ca="1">MIN(SUM(TblConstr[[#This Row],[Plain]:[Water]])/TblMili[[#This Row],[Land]]/favorable_terrain_bonus/100,favorable_terrain_max)</f>
        <v>0</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5925</v>
      </c>
      <c r="DD16" s="145"/>
      <c r="DE16" s="269">
        <f ca="1">(TblMili[[#This Row],[Wizards]]+2*TblMili[[#This Row],[Archmages]])/TblConstr[[#This Row],[Land]]</f>
        <v>0</v>
      </c>
      <c r="DF16" s="269">
        <f ca="1">TblMili[[#This Row],[Raw (2)]]*(1+race_wizard_strength+IF(TblMili[[#This Row],[Hour]]&gt;72,tech_magical_weaponry_wiz*TblTech[[#This Row],[3-5]],0))</f>
        <v>0</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375</v>
      </c>
      <c r="C17" s="160">
        <f ca="1">TblPop[[#This Row],[Military%]]</f>
        <v>0.17345050878815912</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5"/>
      <c r="N17" s="97">
        <f ca="1">TblProd[[#This Row],[Networth]]</f>
        <v>5925</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375</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375</v>
      </c>
      <c r="X17" s="262">
        <f ca="1">TblConstr[[#This Row],[Land]]</f>
        <v>250</v>
      </c>
      <c r="Y17" s="265"/>
      <c r="Z17" s="270">
        <f ca="1">IF(TblMili[[#This Row],[Set]]&lt;&gt;"",TblMili[[#This Row],[Set]],OFFSET(TblMili[[#This Row],[Draftrate]],-1,0))</f>
        <v>0.9</v>
      </c>
      <c r="AA17" s="97">
        <f ca="1">OFFSET(TblMili[[#This Row],[Draftees]],-1,0)+OFFSET(TblPop[[#This Row],[Draft Growth]],-1,0) - SUM(TblMili[[#This Row],[Train Unit 1]:[Train Spies]],TblMili[[#This Row],[Train Wiz]]) - TblMili[[#This Row],[Release Draft]] + SUM(TblMili[[#This Row],[Release Unit 1]:[Release AM]]) - TblExplore[[#This Row],[Draftees (2)]]</f>
        <v>375</v>
      </c>
      <c r="AB17" s="157"/>
      <c r="AC17" s="183">
        <f ca="1">(TblConstr[[#This Row],[Tot Smi]]+TblConstr[[#This Row],[Dest Smi]])/(TblConstr[[#This Row],[Land]]-TblExplore[[#This Row],[Land Bonus]]*20)</f>
        <v>0</v>
      </c>
      <c r="AD17" s="140"/>
      <c r="AE17" s="261">
        <f>TblMili[[#This Row],[Hour]]</f>
        <v>14</v>
      </c>
      <c r="AF17" s="141">
        <f ca="1">TblExplore[[#This Row],[Time]]</f>
        <v>45430.291666666635</v>
      </c>
      <c r="AG17" s="182"/>
      <c r="AH17" s="182"/>
      <c r="AI17" s="182"/>
      <c r="AJ17" s="182"/>
      <c r="AK17" s="182"/>
      <c r="AL17" s="182"/>
      <c r="AM17" s="182"/>
      <c r="AN17" s="182"/>
      <c r="AO17" s="145"/>
      <c r="AP17" s="97">
        <f ca="1">TblProd[[#This Row],[Platinum]]</f>
        <v>35376</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45430.291666666635</v>
      </c>
      <c r="AV17" s="97">
        <f ca="1">TblMili[[#This Row],[Draftees]]</f>
        <v>375</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300</v>
      </c>
      <c r="BJ17" s="97">
        <f ca="1">ROUNDUP(IF(race="Gnome",1,(1-MIN(TblMili[[#This Row],[Smithies]]*smithy_bonus,smithy_bonus_cap) + tech_3_5*TblTech[[#This Row],[3-5]] + tech_5_3*TblTech[[#This Row],[5-3]] + tech_5_5*TblTech[[#This Row],[5-5]]))*spec_op_ore,0)</f>
        <v>0</v>
      </c>
      <c r="BK17" s="97">
        <f ca="1">ROUNDUP((1-MIN(TblMili[[#This Row],[Smithies]]*smithy_bonus,smithy_bonus_cap) + tech_3_5*TblTech[[#This Row],[3-5]] + tech_5_3*TblTech[[#This Row],[5-3]] + tech_5_5*TblTech[[#This Row],[5-5]])*spec_dp_plat,0)</f>
        <v>300</v>
      </c>
      <c r="BL17" s="97">
        <f ca="1">ROUNDUP(IF(race="Gnome",1,(1-MIN(TblMili[[#This Row],[Smithies]]*smithy_bonus,smithy_bonus_cap) + tech_3_5*TblTech[[#This Row],[3-5]] + tech_5_3*TblTech[[#This Row],[5-3]] + tech_5_5*TblTech[[#This Row],[5-5]]))*spec_dp_ore,0)</f>
        <v>0</v>
      </c>
      <c r="BM17" s="97">
        <f ca="1">ROUNDUP((1-MIN(TblMili[[#This Row],[Smithies]]*smithy_bonus,smithy_bonus_cap) + tech_3_5*TblTech[[#This Row],[3-5]] + tech_5_3*TblTech[[#This Row],[5-3]] + tech_5_5*TblTech[[#This Row],[5-5]])*elite1_plat,0)</f>
        <v>925</v>
      </c>
      <c r="BN17" s="97">
        <f ca="1">ROUNDUP(IF(race="Gnome",1,(1-MIN(TblMili[[#This Row],[Smithies]]*smithy_bonus,smithy_bonus_cap) + tech_3_5*TblTech[[#This Row],[3-5]] + tech_5_3*TblTech[[#This Row],[5-3]] + tech_5_5*TblTech[[#This Row],[5-5]]))*elite1_ore,0)</f>
        <v>0</v>
      </c>
      <c r="BO17" s="97">
        <f ca="1">ROUNDUP((1-MIN(TblMili[[#This Row],[Smithies]]*smithy_bonus,smithy_bonus_cap) + tech_3_5*TblTech[[#This Row],[3-5]] + tech_5_3*TblTech[[#This Row],[5-3]] + tech_5_5*TblTech[[#This Row],[5-5]])*elite2_plat,0)</f>
        <v>950</v>
      </c>
      <c r="BP17" s="97">
        <f ca="1">ROUNDUP(IF(race="Gnome",1,(1-MIN(TblMili[[#This Row],[Smithies]]*smithy_bonus,smithy_bonus_cap) + tech_3_5*TblTech[[#This Row],[3-5]] + tech_5_3*TblTech[[#This Row],[5-3]] + tech_5_5*TblTech[[#This Row],[5-5]]))*elite2_ore,0)</f>
        <v>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v>
      </c>
      <c r="BW17" s="160">
        <f ca="1">TblMili[[#This Row],[WG''s]]</f>
        <v>0</v>
      </c>
      <c r="BX17" s="266">
        <f ca="1">IF(mystic_cap="none",TblMili[[#This Row],[Hill]]/mystic_bonus,MIN(mystic_cap,TblMili[[#This Row],[Hill]]/mystic_bonus))</f>
        <v>0</v>
      </c>
      <c r="BY17" s="266">
        <f ca="1">IF(druid_op_cap="none",TblMili[[#This Row],[Hill]]/druid_op_bonus,MIN(druid_op_cap,TblMili[[#This Row],[Hill]]/druid_op_bonus))</f>
        <v>0</v>
      </c>
      <c r="BZ17" s="266">
        <f ca="1">IF(druid_dp_cap="none",TblMili[[#This Row],[Hill]]/druid_dp_bonus,MIN(druid_dp_cap,TblMili[[#This Row],[Hill]]/druid_dp_bonus))</f>
        <v>0</v>
      </c>
      <c r="CA17" s="266">
        <f ca="1">MIN(dryad_cap,TblMili[[#This Row],[Hill]]/dryad_bonus)</f>
        <v>0</v>
      </c>
      <c r="CB17" s="266">
        <f ca="1">MIN(rocka_cap,TblMili[[#This Row],[Hill]]/rocka_bonus)</f>
        <v>0</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0</v>
      </c>
      <c r="CH17" s="45">
        <f ca="1">MIN(ice_elem_cap,TblMili[[#This Row],[Raw (2)]]*ice_elem_bonus)</f>
        <v>0</v>
      </c>
      <c r="CI17" s="266">
        <f t="shared" si="0"/>
        <v>0.83333333333333337</v>
      </c>
      <c r="CJ17" s="266">
        <f ca="1">MIN(nox_nightshade_cap,TblConstr[[#This Row],[Homeland]]/TblConstr[[#This Row],[Land]]/nox_nightshade_swamp_bonus)</f>
        <v>0</v>
      </c>
      <c r="CK17" s="267" t="s">
        <v>521</v>
      </c>
      <c r="CL17" s="267"/>
      <c r="CM17" s="267"/>
      <c r="CN17" s="266">
        <f ca="1">MIN(6,TblMili[[#This Row],[Mystic]]+Races!$F$19)*1.8 +  IF(TblMili[[#This Row],[Mystic]]+Races!$F$19&gt;6,(TblMili[[#This Row],[Mystic]]+Races!$F$19-6)*0.2,0) - Races!$I$19</f>
        <v>0</v>
      </c>
      <c r="CO17" s="266">
        <f ca="1">1.8 * MIN(MAX(TblMili[[#This Row],[Druid (op)]]+Races!$E$20,TblMili[[#This Row],[Druid (dp)]]+Races!$F$20),6)  +  0.45 * MIN(MIN(TblMili[[#This Row],[Druid (op)]]+Races!$E$20,TblMili[[#This Row],[Druid (dp)]]+Races!$F$20),6)  +  0.2 * ( MAX(TblMili[[#This Row],[Druid (op)]]+Races!$E$20-6,0) + MAX(TblMili[[#This Row],[Druid (dp)]]+Races!$F$20-6,0) )  -  Races!$I$20</f>
        <v>0</v>
      </c>
      <c r="CP17" s="97">
        <f ca="1">TblMili[[#This Row],[Mystic bonus]]*TblMili[[#This Row],[Unit 3]]+TblMili[[#This Row],[Druid bonus]]*TblMili[[#This Row],[Unit 4]]</f>
        <v>0</v>
      </c>
      <c r="CQ17" s="158">
        <f ca="1">MIN(6,TblMili[[#This Row],[Dryad]]+Races!$F$35)*1.8 +  IF(TblMili[[#This Row],[Dryad]]+Races!$F$35&gt;6,(TblMili[[#This Row],[Dryad]]+Races!$F$35-6)*0.2,0) - Races!$I$19</f>
        <v>-1.7999999999999998</v>
      </c>
      <c r="CR17" s="97">
        <f ca="1">sylvan*(TblMili[[#This Row],[Mystic bonus]]*TblMili[[#This Row],[Unit 3]])</f>
        <v>0</v>
      </c>
      <c r="CS17" s="158">
        <f ca="1">1.8 * MIN(MAX(Races!$E$27,TblMili[[#This Row],[Rockapult]]+Races!$F$27),6)  +  0.45 * MIN(MIN(Races!$E$27,TblMili[[#This Row],[Rockapult]]+Races!$F$27),6)  +  0.2 * ( MAX(Races!$E$27-6,0) + MAX(TblMili[[#This Row],[Rockapult]]+Races!$F$27-6,0) )  -  Races!$I$20</f>
        <v>2.2499999999999991</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0</v>
      </c>
      <c r="CX17" s="158">
        <f ca="1">1.8 * MIN(MAX(TblMili[[#This Row],[Ice Elemental]]+Races!$E$71,Races!$F$71),6)  +  0.45 * MIN(MIN(TblMili[[#This Row],[Ice Elemental]]+Races!$E$71,Races!$F$71),6)  +  0.2 * ( MAX(TblMili[[#This Row],[Ice Elemental]]+Races!$E$71-6,0) + MAX(Races!$F$71-6,0) )  -  Races!$I$71</f>
        <v>0</v>
      </c>
      <c r="CY17" s="97">
        <f ca="1">TblMili[[#This Row],[Frost Mage bonus]]*TblMili[[#This Row],[Unit 3]]+TblMili[[#This Row],[Ice Elemental bonus]]*TblMili[[#This Row],[Unit 4]]</f>
        <v>0</v>
      </c>
      <c r="CZ17" s="268"/>
      <c r="DA17" s="146">
        <f ca="1">MIN(SUM(TblConstr[[#This Row],[Plain]:[Water]])/TblMili[[#This Row],[Land]]/favorable_terrain_bonus/100,favorable_terrain_max)</f>
        <v>0</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5925</v>
      </c>
      <c r="DD17" s="145"/>
      <c r="DE17" s="269">
        <f ca="1">(TblMili[[#This Row],[Wizards]]+2*TblMili[[#This Row],[Archmages]])/TblConstr[[#This Row],[Land]]</f>
        <v>0</v>
      </c>
      <c r="DF17" s="269">
        <f ca="1">TblMili[[#This Row],[Raw (2)]]*(1+race_wizard_strength+IF(TblMili[[#This Row],[Hour]]&gt;72,tech_magical_weaponry_wiz*TblTech[[#This Row],[3-5]],0))</f>
        <v>0</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393</v>
      </c>
      <c r="C18" s="160">
        <f ca="1">TblPop[[#This Row],[Military%]]</f>
        <v>0.17079530638852672</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5"/>
      <c r="N18" s="97">
        <f ca="1">TblProd[[#This Row],[Networth]]</f>
        <v>5925</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393</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393</v>
      </c>
      <c r="X18" s="262">
        <f ca="1">TblConstr[[#This Row],[Land]]</f>
        <v>250</v>
      </c>
      <c r="Y18" s="265"/>
      <c r="Z18" s="270">
        <f ca="1">IF(TblMili[[#This Row],[Set]]&lt;&gt;"",TblMili[[#This Row],[Set]],OFFSET(TblMili[[#This Row],[Draftrate]],-1,0))</f>
        <v>0.9</v>
      </c>
      <c r="AA18" s="97">
        <f ca="1">OFFSET(TblMili[[#This Row],[Draftees]],-1,0)+OFFSET(TblPop[[#This Row],[Draft Growth]],-1,0) - SUM(TblMili[[#This Row],[Train Unit 1]:[Train Spies]],TblMili[[#This Row],[Train Wiz]]) - TblMili[[#This Row],[Release Draft]] + SUM(TblMili[[#This Row],[Release Unit 1]:[Release AM]]) - TblExplore[[#This Row],[Draftees (2)]]</f>
        <v>393</v>
      </c>
      <c r="AB18" s="157"/>
      <c r="AC18" s="183">
        <f ca="1">(TblConstr[[#This Row],[Tot Smi]]+TblConstr[[#This Row],[Dest Smi]])/(TblConstr[[#This Row],[Land]]-TblExplore[[#This Row],[Land Bonus]]*20)</f>
        <v>0</v>
      </c>
      <c r="AD18" s="140"/>
      <c r="AE18" s="261">
        <f>TblMili[[#This Row],[Hour]]</f>
        <v>15</v>
      </c>
      <c r="AF18" s="141">
        <f ca="1">TblExplore[[#This Row],[Time]]</f>
        <v>45430.333333333299</v>
      </c>
      <c r="AG18" s="182"/>
      <c r="AH18" s="182"/>
      <c r="AI18" s="182"/>
      <c r="AJ18" s="182"/>
      <c r="AK18" s="182"/>
      <c r="AL18" s="182"/>
      <c r="AM18" s="182"/>
      <c r="AN18" s="182"/>
      <c r="AO18" s="145"/>
      <c r="AP18" s="97">
        <f ca="1">TblProd[[#This Row],[Platinum]]</f>
        <v>43350</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45430.333333333299</v>
      </c>
      <c r="AV18" s="97">
        <f ca="1">TblMili[[#This Row],[Draftees]]</f>
        <v>393</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300</v>
      </c>
      <c r="BJ18" s="97">
        <f ca="1">ROUNDUP(IF(race="Gnome",1,(1-MIN(TblMili[[#This Row],[Smithies]]*smithy_bonus,smithy_bonus_cap) + tech_3_5*TblTech[[#This Row],[3-5]] + tech_5_3*TblTech[[#This Row],[5-3]] + tech_5_5*TblTech[[#This Row],[5-5]]))*spec_op_ore,0)</f>
        <v>0</v>
      </c>
      <c r="BK18" s="97">
        <f ca="1">ROUNDUP((1-MIN(TblMili[[#This Row],[Smithies]]*smithy_bonus,smithy_bonus_cap) + tech_3_5*TblTech[[#This Row],[3-5]] + tech_5_3*TblTech[[#This Row],[5-3]] + tech_5_5*TblTech[[#This Row],[5-5]])*spec_dp_plat,0)</f>
        <v>300</v>
      </c>
      <c r="BL18" s="97">
        <f ca="1">ROUNDUP(IF(race="Gnome",1,(1-MIN(TblMili[[#This Row],[Smithies]]*smithy_bonus,smithy_bonus_cap) + tech_3_5*TblTech[[#This Row],[3-5]] + tech_5_3*TblTech[[#This Row],[5-3]] + tech_5_5*TblTech[[#This Row],[5-5]]))*spec_dp_ore,0)</f>
        <v>0</v>
      </c>
      <c r="BM18" s="97">
        <f ca="1">ROUNDUP((1-MIN(TblMili[[#This Row],[Smithies]]*smithy_bonus,smithy_bonus_cap) + tech_3_5*TblTech[[#This Row],[3-5]] + tech_5_3*TblTech[[#This Row],[5-3]] + tech_5_5*TblTech[[#This Row],[5-5]])*elite1_plat,0)</f>
        <v>925</v>
      </c>
      <c r="BN18" s="97">
        <f ca="1">ROUNDUP(IF(race="Gnome",1,(1-MIN(TblMili[[#This Row],[Smithies]]*smithy_bonus,smithy_bonus_cap) + tech_3_5*TblTech[[#This Row],[3-5]] + tech_5_3*TblTech[[#This Row],[5-3]] + tech_5_5*TblTech[[#This Row],[5-5]]))*elite1_ore,0)</f>
        <v>0</v>
      </c>
      <c r="BO18" s="97">
        <f ca="1">ROUNDUP((1-MIN(TblMili[[#This Row],[Smithies]]*smithy_bonus,smithy_bonus_cap) + tech_3_5*TblTech[[#This Row],[3-5]] + tech_5_3*TblTech[[#This Row],[5-3]] + tech_5_5*TblTech[[#This Row],[5-5]])*elite2_plat,0)</f>
        <v>950</v>
      </c>
      <c r="BP18" s="97">
        <f ca="1">ROUNDUP(IF(race="Gnome",1,(1-MIN(TblMili[[#This Row],[Smithies]]*smithy_bonus,smithy_bonus_cap) + tech_3_5*TblTech[[#This Row],[3-5]] + tech_5_3*TblTech[[#This Row],[5-3]] + tech_5_5*TblTech[[#This Row],[5-5]]))*elite2_ore,0)</f>
        <v>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v>
      </c>
      <c r="BW18" s="160">
        <f ca="1">TblMili[[#This Row],[WG''s]]</f>
        <v>0</v>
      </c>
      <c r="BX18" s="266">
        <f ca="1">IF(mystic_cap="none",TblMili[[#This Row],[Hill]]/mystic_bonus,MIN(mystic_cap,TblMili[[#This Row],[Hill]]/mystic_bonus))</f>
        <v>0</v>
      </c>
      <c r="BY18" s="266">
        <f ca="1">IF(druid_op_cap="none",TblMili[[#This Row],[Hill]]/druid_op_bonus,MIN(druid_op_cap,TblMili[[#This Row],[Hill]]/druid_op_bonus))</f>
        <v>0</v>
      </c>
      <c r="BZ18" s="266">
        <f ca="1">IF(druid_dp_cap="none",TblMili[[#This Row],[Hill]]/druid_dp_bonus,MIN(druid_dp_cap,TblMili[[#This Row],[Hill]]/druid_dp_bonus))</f>
        <v>0</v>
      </c>
      <c r="CA18" s="266">
        <f ca="1">MIN(dryad_cap,TblMili[[#This Row],[Hill]]/dryad_bonus)</f>
        <v>0</v>
      </c>
      <c r="CB18" s="266">
        <f ca="1">MIN(rocka_cap,TblMili[[#This Row],[Hill]]/rocka_bonus)</f>
        <v>0</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0</v>
      </c>
      <c r="CH18" s="45">
        <f ca="1">MIN(ice_elem_cap,TblMili[[#This Row],[Raw (2)]]*ice_elem_bonus)</f>
        <v>0</v>
      </c>
      <c r="CI18" s="266">
        <f t="shared" si="0"/>
        <v>0.83333333333333337</v>
      </c>
      <c r="CJ18" s="266">
        <f ca="1">MIN(nox_nightshade_cap,TblConstr[[#This Row],[Homeland]]/TblConstr[[#This Row],[Land]]/nox_nightshade_swamp_bonus)</f>
        <v>0</v>
      </c>
      <c r="CK18" s="267" t="s">
        <v>522</v>
      </c>
      <c r="CL18" s="267">
        <f>VLOOKUP(Overview!$A24,Races!$D$4:$H$116,2,FALSE)</f>
        <v>0</v>
      </c>
      <c r="CM18" s="267"/>
      <c r="CN18" s="266">
        <f ca="1">MIN(6,TblMili[[#This Row],[Mystic]]+Races!$F$19)*1.8 +  IF(TblMili[[#This Row],[Mystic]]+Races!$F$19&gt;6,(TblMili[[#This Row],[Mystic]]+Races!$F$19-6)*0.2,0) - Races!$I$19</f>
        <v>0</v>
      </c>
      <c r="CO18" s="266">
        <f ca="1">1.8 * MIN(MAX(TblMili[[#This Row],[Druid (op)]]+Races!$E$20,TblMili[[#This Row],[Druid (dp)]]+Races!$F$20),6)  +  0.45 * MIN(MIN(TblMili[[#This Row],[Druid (op)]]+Races!$E$20,TblMili[[#This Row],[Druid (dp)]]+Races!$F$20),6)  +  0.2 * ( MAX(TblMili[[#This Row],[Druid (op)]]+Races!$E$20-6,0) + MAX(TblMili[[#This Row],[Druid (dp)]]+Races!$F$20-6,0) )  -  Races!$I$20</f>
        <v>0</v>
      </c>
      <c r="CP18" s="97">
        <f ca="1">TblMili[[#This Row],[Mystic bonus]]*TblMili[[#This Row],[Unit 3]]+TblMili[[#This Row],[Druid bonus]]*TblMili[[#This Row],[Unit 4]]</f>
        <v>0</v>
      </c>
      <c r="CQ18" s="158">
        <f ca="1">MIN(6,TblMili[[#This Row],[Dryad]]+Races!$F$35)*1.8 +  IF(TblMili[[#This Row],[Dryad]]+Races!$F$35&gt;6,(TblMili[[#This Row],[Dryad]]+Races!$F$35-6)*0.2,0) - Races!$I$19</f>
        <v>-1.7999999999999998</v>
      </c>
      <c r="CR18" s="97">
        <f ca="1">sylvan*(TblMili[[#This Row],[Mystic bonus]]*TblMili[[#This Row],[Unit 3]])</f>
        <v>0</v>
      </c>
      <c r="CS18" s="158">
        <f ca="1">1.8 * MIN(MAX(Races!$E$27,TblMili[[#This Row],[Rockapult]]+Races!$F$27),6)  +  0.45 * MIN(MIN(Races!$E$27,TblMili[[#This Row],[Rockapult]]+Races!$F$27),6)  +  0.2 * ( MAX(Races!$E$27-6,0) + MAX(TblMili[[#This Row],[Rockapult]]+Races!$F$27-6,0) )  -  Races!$I$20</f>
        <v>2.2499999999999991</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0</v>
      </c>
      <c r="CX18" s="158">
        <f ca="1">1.8 * MIN(MAX(TblMili[[#This Row],[Ice Elemental]]+Races!$E$71,Races!$F$71),6)  +  0.45 * MIN(MIN(TblMili[[#This Row],[Ice Elemental]]+Races!$E$71,Races!$F$71),6)  +  0.2 * ( MAX(TblMili[[#This Row],[Ice Elemental]]+Races!$E$71-6,0) + MAX(Races!$F$71-6,0) )  -  Races!$I$71</f>
        <v>0</v>
      </c>
      <c r="CY18" s="97">
        <f ca="1">TblMili[[#This Row],[Frost Mage bonus]]*TblMili[[#This Row],[Unit 3]]+TblMili[[#This Row],[Ice Elemental bonus]]*TblMili[[#This Row],[Unit 4]]</f>
        <v>0</v>
      </c>
      <c r="CZ18" s="268"/>
      <c r="DA18" s="146">
        <f ca="1">MIN(SUM(TblConstr[[#This Row],[Plain]:[Water]])/TblMili[[#This Row],[Land]]/favorable_terrain_bonus/100,favorable_terrain_max)</f>
        <v>0</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5925</v>
      </c>
      <c r="DD18" s="145"/>
      <c r="DE18" s="269">
        <f ca="1">(TblMili[[#This Row],[Wizards]]+2*TblMili[[#This Row],[Archmages]])/TblConstr[[#This Row],[Land]]</f>
        <v>0</v>
      </c>
      <c r="DF18" s="269">
        <f ca="1">TblMili[[#This Row],[Raw (2)]]*(1+race_wizard_strength+IF(TblMili[[#This Row],[Hour]]&gt;72,tech_magical_weaponry_wiz*TblTech[[#This Row],[3-5]],0))</f>
        <v>0</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412</v>
      </c>
      <c r="C19" s="160">
        <f ca="1">TblPop[[#This Row],[Military%]]</f>
        <v>0.16816326530612244</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5"/>
      <c r="N19" s="97">
        <f ca="1">TblProd[[#This Row],[Networth]]</f>
        <v>5925</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412</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412</v>
      </c>
      <c r="X19" s="262">
        <f ca="1">TblConstr[[#This Row],[Land]]</f>
        <v>250</v>
      </c>
      <c r="Y19" s="265"/>
      <c r="Z19" s="270">
        <f ca="1">IF(TblMili[[#This Row],[Set]]&lt;&gt;"",TblMili[[#This Row],[Set]],OFFSET(TblMili[[#This Row],[Draftrate]],-1,0))</f>
        <v>0.9</v>
      </c>
      <c r="AA19" s="97">
        <f ca="1">OFFSET(TblMili[[#This Row],[Draftees]],-1,0)+OFFSET(TblPop[[#This Row],[Draft Growth]],-1,0) - SUM(TblMili[[#This Row],[Train Unit 1]:[Train Spies]],TblMili[[#This Row],[Train Wiz]]) - TblMili[[#This Row],[Release Draft]] + SUM(TblMili[[#This Row],[Release Unit 1]:[Release AM]]) - TblExplore[[#This Row],[Draftees (2)]]</f>
        <v>412</v>
      </c>
      <c r="AB19" s="157"/>
      <c r="AC19" s="183">
        <f ca="1">(TblConstr[[#This Row],[Tot Smi]]+TblConstr[[#This Row],[Dest Smi]])/(TblConstr[[#This Row],[Land]]-TblExplore[[#This Row],[Land Bonus]]*20)</f>
        <v>0</v>
      </c>
      <c r="AD19" s="140"/>
      <c r="AE19" s="261">
        <f>TblMili[[#This Row],[Hour]]</f>
        <v>16</v>
      </c>
      <c r="AF19" s="141">
        <f ca="1">TblExplore[[#This Row],[Time]]</f>
        <v>45430.374999999964</v>
      </c>
      <c r="AG19" s="182"/>
      <c r="AH19" s="182"/>
      <c r="AI19" s="182"/>
      <c r="AJ19" s="182"/>
      <c r="AK19" s="182"/>
      <c r="AL19" s="182"/>
      <c r="AM19" s="182"/>
      <c r="AN19" s="182"/>
      <c r="AO19" s="145"/>
      <c r="AP19" s="97">
        <f ca="1">TblProd[[#This Row],[Platinum]]</f>
        <v>51651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45430.374999999964</v>
      </c>
      <c r="AV19" s="97">
        <f ca="1">TblMili[[#This Row],[Draftees]]</f>
        <v>412</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300</v>
      </c>
      <c r="BJ19" s="97">
        <f ca="1">ROUNDUP(IF(race="Gnome",1,(1-MIN(TblMili[[#This Row],[Smithies]]*smithy_bonus,smithy_bonus_cap) + tech_3_5*TblTech[[#This Row],[3-5]] + tech_5_3*TblTech[[#This Row],[5-3]] + tech_5_5*TblTech[[#This Row],[5-5]]))*spec_op_ore,0)</f>
        <v>0</v>
      </c>
      <c r="BK19" s="97">
        <f ca="1">ROUNDUP((1-MIN(TblMili[[#This Row],[Smithies]]*smithy_bonus,smithy_bonus_cap) + tech_3_5*TblTech[[#This Row],[3-5]] + tech_5_3*TblTech[[#This Row],[5-3]] + tech_5_5*TblTech[[#This Row],[5-5]])*spec_dp_plat,0)</f>
        <v>300</v>
      </c>
      <c r="BL19" s="97">
        <f ca="1">ROUNDUP(IF(race="Gnome",1,(1-MIN(TblMili[[#This Row],[Smithies]]*smithy_bonus,smithy_bonus_cap) + tech_3_5*TblTech[[#This Row],[3-5]] + tech_5_3*TblTech[[#This Row],[5-3]] + tech_5_5*TblTech[[#This Row],[5-5]]))*spec_dp_ore,0)</f>
        <v>0</v>
      </c>
      <c r="BM19" s="97">
        <f ca="1">ROUNDUP((1-MIN(TblMili[[#This Row],[Smithies]]*smithy_bonus,smithy_bonus_cap) + tech_3_5*TblTech[[#This Row],[3-5]] + tech_5_3*TblTech[[#This Row],[5-3]] + tech_5_5*TblTech[[#This Row],[5-5]])*elite1_plat,0)</f>
        <v>925</v>
      </c>
      <c r="BN19" s="97">
        <f ca="1">ROUNDUP(IF(race="Gnome",1,(1-MIN(TblMili[[#This Row],[Smithies]]*smithy_bonus,smithy_bonus_cap) + tech_3_5*TblTech[[#This Row],[3-5]] + tech_5_3*TblTech[[#This Row],[5-3]] + tech_5_5*TblTech[[#This Row],[5-5]]))*elite1_ore,0)</f>
        <v>0</v>
      </c>
      <c r="BO19" s="97">
        <f ca="1">ROUNDUP((1-MIN(TblMili[[#This Row],[Smithies]]*smithy_bonus,smithy_bonus_cap) + tech_3_5*TblTech[[#This Row],[3-5]] + tech_5_3*TblTech[[#This Row],[5-3]] + tech_5_5*TblTech[[#This Row],[5-5]])*elite2_plat,0)</f>
        <v>950</v>
      </c>
      <c r="BP19" s="97">
        <f ca="1">ROUNDUP(IF(race="Gnome",1,(1-MIN(TblMili[[#This Row],[Smithies]]*smithy_bonus,smithy_bonus_cap) + tech_3_5*TblTech[[#This Row],[3-5]] + tech_5_3*TblTech[[#This Row],[5-3]] + tech_5_5*TblTech[[#This Row],[5-5]]))*elite2_ore,0)</f>
        <v>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v>
      </c>
      <c r="BW19" s="160">
        <f ca="1">TblMili[[#This Row],[WG''s]]</f>
        <v>0</v>
      </c>
      <c r="BX19" s="266">
        <f ca="1">IF(mystic_cap="none",TblMili[[#This Row],[Hill]]/mystic_bonus,MIN(mystic_cap,TblMili[[#This Row],[Hill]]/mystic_bonus))</f>
        <v>0</v>
      </c>
      <c r="BY19" s="266">
        <f ca="1">IF(druid_op_cap="none",TblMili[[#This Row],[Hill]]/druid_op_bonus,MIN(druid_op_cap,TblMili[[#This Row],[Hill]]/druid_op_bonus))</f>
        <v>0</v>
      </c>
      <c r="BZ19" s="266">
        <f ca="1">IF(druid_dp_cap="none",TblMili[[#This Row],[Hill]]/druid_dp_bonus,MIN(druid_dp_cap,TblMili[[#This Row],[Hill]]/druid_dp_bonus))</f>
        <v>0</v>
      </c>
      <c r="CA19" s="266">
        <f ca="1">MIN(dryad_cap,TblMili[[#This Row],[Hill]]/dryad_bonus)</f>
        <v>0</v>
      </c>
      <c r="CB19" s="266">
        <f ca="1">MIN(rocka_cap,TblMili[[#This Row],[Hill]]/rocka_bonus)</f>
        <v>0</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0</v>
      </c>
      <c r="CH19" s="45">
        <f ca="1">MIN(ice_elem_cap,TblMili[[#This Row],[Raw (2)]]*ice_elem_bonus)</f>
        <v>0</v>
      </c>
      <c r="CI19" s="266">
        <f t="shared" si="0"/>
        <v>0.83333333333333337</v>
      </c>
      <c r="CJ19" s="266">
        <f ca="1">MIN(nox_nightshade_cap,TblConstr[[#This Row],[Homeland]]/TblConstr[[#This Row],[Land]]/nox_nightshade_swamp_bonus)</f>
        <v>0</v>
      </c>
      <c r="CK19" s="267" t="s">
        <v>523</v>
      </c>
      <c r="CL19" s="267">
        <f>VLOOKUP(Overview!$A24,Races!$D$4:$H$116,3,FALSE)</f>
        <v>4.5</v>
      </c>
      <c r="CM19" s="267"/>
      <c r="CN19" s="266">
        <f ca="1">MIN(6,TblMili[[#This Row],[Mystic]]+Races!$F$19)*1.8 +  IF(TblMili[[#This Row],[Mystic]]+Races!$F$19&gt;6,(TblMili[[#This Row],[Mystic]]+Races!$F$19-6)*0.2,0) - Races!$I$19</f>
        <v>0</v>
      </c>
      <c r="CO19" s="266">
        <f ca="1">1.8 * MIN(MAX(TblMili[[#This Row],[Druid (op)]]+Races!$E$20,TblMili[[#This Row],[Druid (dp)]]+Races!$F$20),6)  +  0.45 * MIN(MIN(TblMili[[#This Row],[Druid (op)]]+Races!$E$20,TblMili[[#This Row],[Druid (dp)]]+Races!$F$20),6)  +  0.2 * ( MAX(TblMili[[#This Row],[Druid (op)]]+Races!$E$20-6,0) + MAX(TblMili[[#This Row],[Druid (dp)]]+Races!$F$20-6,0) )  -  Races!$I$20</f>
        <v>0</v>
      </c>
      <c r="CP19" s="97">
        <f ca="1">TblMili[[#This Row],[Mystic bonus]]*TblMili[[#This Row],[Unit 3]]+TblMili[[#This Row],[Druid bonus]]*TblMili[[#This Row],[Unit 4]]</f>
        <v>0</v>
      </c>
      <c r="CQ19" s="158">
        <f ca="1">MIN(6,TblMili[[#This Row],[Dryad]]+Races!$F$35)*1.8 +  IF(TblMili[[#This Row],[Dryad]]+Races!$F$35&gt;6,(TblMili[[#This Row],[Dryad]]+Races!$F$35-6)*0.2,0) - Races!$I$19</f>
        <v>-1.7999999999999998</v>
      </c>
      <c r="CR19" s="97">
        <f ca="1">sylvan*(TblMili[[#This Row],[Mystic bonus]]*TblMili[[#This Row],[Unit 3]])</f>
        <v>0</v>
      </c>
      <c r="CS19" s="158">
        <f ca="1">1.8 * MIN(MAX(Races!$E$27,TblMili[[#This Row],[Rockapult]]+Races!$F$27),6)  +  0.45 * MIN(MIN(Races!$E$27,TblMili[[#This Row],[Rockapult]]+Races!$F$27),6)  +  0.2 * ( MAX(Races!$E$27-6,0) + MAX(TblMili[[#This Row],[Rockapult]]+Races!$F$27-6,0) )  -  Races!$I$20</f>
        <v>2.2499999999999991</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0</v>
      </c>
      <c r="CX19" s="158">
        <f ca="1">1.8 * MIN(MAX(TblMili[[#This Row],[Ice Elemental]]+Races!$E$71,Races!$F$71),6)  +  0.45 * MIN(MIN(TblMili[[#This Row],[Ice Elemental]]+Races!$E$71,Races!$F$71),6)  +  0.2 * ( MAX(TblMili[[#This Row],[Ice Elemental]]+Races!$E$71-6,0) + MAX(Races!$F$71-6,0) )  -  Races!$I$71</f>
        <v>0</v>
      </c>
      <c r="CY19" s="97">
        <f ca="1">TblMili[[#This Row],[Frost Mage bonus]]*TblMili[[#This Row],[Unit 3]]+TblMili[[#This Row],[Ice Elemental bonus]]*TblMili[[#This Row],[Unit 4]]</f>
        <v>0</v>
      </c>
      <c r="CZ19" s="268"/>
      <c r="DA19" s="146">
        <f ca="1">MIN(SUM(TblConstr[[#This Row],[Plain]:[Water]])/TblMili[[#This Row],[Land]]/favorable_terrain_bonus/100,favorable_terrain_max)</f>
        <v>0</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5925</v>
      </c>
      <c r="DD19" s="145"/>
      <c r="DE19" s="269">
        <f ca="1">(TblMili[[#This Row],[Wizards]]+2*TblMili[[#This Row],[Archmages]])/TblConstr[[#This Row],[Land]]</f>
        <v>0</v>
      </c>
      <c r="DF19" s="269">
        <f ca="1">TblMili[[#This Row],[Raw (2)]]*(1+race_wizard_strength+IF(TblMili[[#This Row],[Hour]]&gt;72,tech_magical_weaponry_wiz*TblTech[[#This Row],[3-5]],0))</f>
        <v>0</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432</v>
      </c>
      <c r="C20" s="160">
        <f ca="1">TblPop[[#This Row],[Military%]]</f>
        <v>0.16558068225373707</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5"/>
      <c r="N20" s="97">
        <f ca="1">TblProd[[#This Row],[Networth]]</f>
        <v>5925</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432</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432</v>
      </c>
      <c r="X20" s="262">
        <f ca="1">TblConstr[[#This Row],[Land]]</f>
        <v>250</v>
      </c>
      <c r="Y20" s="265"/>
      <c r="Z20" s="270">
        <f ca="1">IF(TblMili[[#This Row],[Set]]&lt;&gt;"",TblMili[[#This Row],[Set]],OFFSET(TblMili[[#This Row],[Draftrate]],-1,0))</f>
        <v>0.9</v>
      </c>
      <c r="AA20" s="97">
        <f ca="1">OFFSET(TblMili[[#This Row],[Draftees]],-1,0)+OFFSET(TblPop[[#This Row],[Draft Growth]],-1,0) - SUM(TblMili[[#This Row],[Train Unit 1]:[Train Spies]],TblMili[[#This Row],[Train Wiz]]) - TblMili[[#This Row],[Release Draft]] + SUM(TblMili[[#This Row],[Release Unit 1]:[Release AM]]) - TblExplore[[#This Row],[Draftees (2)]]</f>
        <v>432</v>
      </c>
      <c r="AB20" s="157"/>
      <c r="AC20" s="183">
        <f ca="1">(TblConstr[[#This Row],[Tot Smi]]+TblConstr[[#This Row],[Dest Smi]])/(TblConstr[[#This Row],[Land]]-TblExplore[[#This Row],[Land Bonus]]*20)</f>
        <v>0</v>
      </c>
      <c r="AD20" s="140"/>
      <c r="AE20" s="261">
        <f>TblMili[[#This Row],[Hour]]</f>
        <v>17</v>
      </c>
      <c r="AF20" s="141">
        <f ca="1">TblExplore[[#This Row],[Time]]</f>
        <v>45430.416666666628</v>
      </c>
      <c r="AG20" s="182"/>
      <c r="AH20" s="182"/>
      <c r="AI20" s="182"/>
      <c r="AJ20" s="182"/>
      <c r="AK20" s="182"/>
      <c r="AL20" s="182"/>
      <c r="AM20" s="182"/>
      <c r="AN20" s="182"/>
      <c r="AO20" s="145"/>
      <c r="AP20" s="97">
        <f ca="1">TblProd[[#This Row],[Platinum]]</f>
        <v>61168</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45430.416666666628</v>
      </c>
      <c r="AV20" s="97">
        <f ca="1">TblMili[[#This Row],[Draftees]]</f>
        <v>432</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300</v>
      </c>
      <c r="BJ20" s="97">
        <f ca="1">ROUNDUP(IF(race="Gnome",1,(1-MIN(TblMili[[#This Row],[Smithies]]*smithy_bonus,smithy_bonus_cap) + tech_3_5*TblTech[[#This Row],[3-5]] + tech_5_3*TblTech[[#This Row],[5-3]] + tech_5_5*TblTech[[#This Row],[5-5]]))*spec_op_ore,0)</f>
        <v>0</v>
      </c>
      <c r="BK20" s="97">
        <f ca="1">ROUNDUP((1-MIN(TblMili[[#This Row],[Smithies]]*smithy_bonus,smithy_bonus_cap) + tech_3_5*TblTech[[#This Row],[3-5]] + tech_5_3*TblTech[[#This Row],[5-3]] + tech_5_5*TblTech[[#This Row],[5-5]])*spec_dp_plat,0)</f>
        <v>300</v>
      </c>
      <c r="BL20" s="97">
        <f ca="1">ROUNDUP(IF(race="Gnome",1,(1-MIN(TblMili[[#This Row],[Smithies]]*smithy_bonus,smithy_bonus_cap) + tech_3_5*TblTech[[#This Row],[3-5]] + tech_5_3*TblTech[[#This Row],[5-3]] + tech_5_5*TblTech[[#This Row],[5-5]]))*spec_dp_ore,0)</f>
        <v>0</v>
      </c>
      <c r="BM20" s="97">
        <f ca="1">ROUNDUP((1-MIN(TblMili[[#This Row],[Smithies]]*smithy_bonus,smithy_bonus_cap) + tech_3_5*TblTech[[#This Row],[3-5]] + tech_5_3*TblTech[[#This Row],[5-3]] + tech_5_5*TblTech[[#This Row],[5-5]])*elite1_plat,0)</f>
        <v>925</v>
      </c>
      <c r="BN20" s="97">
        <f ca="1">ROUNDUP(IF(race="Gnome",1,(1-MIN(TblMili[[#This Row],[Smithies]]*smithy_bonus,smithy_bonus_cap) + tech_3_5*TblTech[[#This Row],[3-5]] + tech_5_3*TblTech[[#This Row],[5-3]] + tech_5_5*TblTech[[#This Row],[5-5]]))*elite1_ore,0)</f>
        <v>0</v>
      </c>
      <c r="BO20" s="97">
        <f ca="1">ROUNDUP((1-MIN(TblMili[[#This Row],[Smithies]]*smithy_bonus,smithy_bonus_cap) + tech_3_5*TblTech[[#This Row],[3-5]] + tech_5_3*TblTech[[#This Row],[5-3]] + tech_5_5*TblTech[[#This Row],[5-5]])*elite2_plat,0)</f>
        <v>950</v>
      </c>
      <c r="BP20" s="97">
        <f ca="1">ROUNDUP(IF(race="Gnome",1,(1-MIN(TblMili[[#This Row],[Smithies]]*smithy_bonus,smithy_bonus_cap) + tech_3_5*TblTech[[#This Row],[3-5]] + tech_5_3*TblTech[[#This Row],[5-3]] + tech_5_5*TblTech[[#This Row],[5-5]]))*elite2_ore,0)</f>
        <v>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v>
      </c>
      <c r="BW20" s="160">
        <f ca="1">TblMili[[#This Row],[WG''s]]</f>
        <v>0</v>
      </c>
      <c r="BX20" s="266">
        <f ca="1">IF(mystic_cap="none",TblMili[[#This Row],[Hill]]/mystic_bonus,MIN(mystic_cap,TblMili[[#This Row],[Hill]]/mystic_bonus))</f>
        <v>0</v>
      </c>
      <c r="BY20" s="266">
        <f ca="1">IF(druid_op_cap="none",TblMili[[#This Row],[Hill]]/druid_op_bonus,MIN(druid_op_cap,TblMili[[#This Row],[Hill]]/druid_op_bonus))</f>
        <v>0</v>
      </c>
      <c r="BZ20" s="266">
        <f ca="1">IF(druid_dp_cap="none",TblMili[[#This Row],[Hill]]/druid_dp_bonus,MIN(druid_dp_cap,TblMili[[#This Row],[Hill]]/druid_dp_bonus))</f>
        <v>0</v>
      </c>
      <c r="CA20" s="266">
        <f ca="1">MIN(dryad_cap,TblMili[[#This Row],[Hill]]/dryad_bonus)</f>
        <v>0</v>
      </c>
      <c r="CB20" s="266">
        <f ca="1">MIN(rocka_cap,TblMili[[#This Row],[Hill]]/rocka_bonus)</f>
        <v>0</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0</v>
      </c>
      <c r="CH20" s="45">
        <f ca="1">MIN(ice_elem_cap,TblMili[[#This Row],[Raw (2)]]*ice_elem_bonus)</f>
        <v>0</v>
      </c>
      <c r="CI20" s="266">
        <f t="shared" si="0"/>
        <v>0.83333333333333337</v>
      </c>
      <c r="CJ20" s="266">
        <f ca="1">MIN(nox_nightshade_cap,TblConstr[[#This Row],[Homeland]]/TblConstr[[#This Row],[Land]]/nox_nightshade_swamp_bonus)</f>
        <v>0</v>
      </c>
      <c r="CK20" s="267" t="s">
        <v>525</v>
      </c>
      <c r="CL20" s="267">
        <f>VLOOKUP(Overview!$A25,Races!$D$4:$H$116,2,FALSE)</f>
        <v>5</v>
      </c>
      <c r="CM20" s="267"/>
      <c r="CN20" s="266">
        <f ca="1">MIN(6,TblMili[[#This Row],[Mystic]]+Races!$F$19)*1.8 +  IF(TblMili[[#This Row],[Mystic]]+Races!$F$19&gt;6,(TblMili[[#This Row],[Mystic]]+Races!$F$19-6)*0.2,0) - Races!$I$19</f>
        <v>0</v>
      </c>
      <c r="CO20" s="266">
        <f ca="1">1.8 * MIN(MAX(TblMili[[#This Row],[Druid (op)]]+Races!$E$20,TblMili[[#This Row],[Druid (dp)]]+Races!$F$20),6)  +  0.45 * MIN(MIN(TblMili[[#This Row],[Druid (op)]]+Races!$E$20,TblMili[[#This Row],[Druid (dp)]]+Races!$F$20),6)  +  0.2 * ( MAX(TblMili[[#This Row],[Druid (op)]]+Races!$E$20-6,0) + MAX(TblMili[[#This Row],[Druid (dp)]]+Races!$F$20-6,0) )  -  Races!$I$20</f>
        <v>0</v>
      </c>
      <c r="CP20" s="97">
        <f ca="1">TblMili[[#This Row],[Mystic bonus]]*TblMili[[#This Row],[Unit 3]]+TblMili[[#This Row],[Druid bonus]]*TblMili[[#This Row],[Unit 4]]</f>
        <v>0</v>
      </c>
      <c r="CQ20" s="158">
        <f ca="1">MIN(6,TblMili[[#This Row],[Dryad]]+Races!$F$35)*1.8 +  IF(TblMili[[#This Row],[Dryad]]+Races!$F$35&gt;6,(TblMili[[#This Row],[Dryad]]+Races!$F$35-6)*0.2,0) - Races!$I$19</f>
        <v>-1.7999999999999998</v>
      </c>
      <c r="CR20" s="97">
        <f ca="1">sylvan*(TblMili[[#This Row],[Mystic bonus]]*TblMili[[#This Row],[Unit 3]])</f>
        <v>0</v>
      </c>
      <c r="CS20" s="158">
        <f ca="1">1.8 * MIN(MAX(Races!$E$27,TblMili[[#This Row],[Rockapult]]+Races!$F$27),6)  +  0.45 * MIN(MIN(Races!$E$27,TblMili[[#This Row],[Rockapult]]+Races!$F$27),6)  +  0.2 * ( MAX(Races!$E$27-6,0) + MAX(TblMili[[#This Row],[Rockapult]]+Races!$F$27-6,0) )  -  Races!$I$20</f>
        <v>2.2499999999999991</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0</v>
      </c>
      <c r="CX20" s="158">
        <f ca="1">1.8 * MIN(MAX(TblMili[[#This Row],[Ice Elemental]]+Races!$E$71,Races!$F$71),6)  +  0.45 * MIN(MIN(TblMili[[#This Row],[Ice Elemental]]+Races!$E$71,Races!$F$71),6)  +  0.2 * ( MAX(TblMili[[#This Row],[Ice Elemental]]+Races!$E$71-6,0) + MAX(Races!$F$71-6,0) )  -  Races!$I$71</f>
        <v>0</v>
      </c>
      <c r="CY20" s="97">
        <f ca="1">TblMili[[#This Row],[Frost Mage bonus]]*TblMili[[#This Row],[Unit 3]]+TblMili[[#This Row],[Ice Elemental bonus]]*TblMili[[#This Row],[Unit 4]]</f>
        <v>0</v>
      </c>
      <c r="CZ20" s="268"/>
      <c r="DA20" s="146">
        <f ca="1">MIN(SUM(TblConstr[[#This Row],[Plain]:[Water]])/TblMili[[#This Row],[Land]]/favorable_terrain_bonus/100,favorable_terrain_max)</f>
        <v>0</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5925</v>
      </c>
      <c r="DD20" s="145"/>
      <c r="DE20" s="269">
        <f ca="1">(TblMili[[#This Row],[Wizards]]+2*TblMili[[#This Row],[Archmages]])/TblConstr[[#This Row],[Land]]</f>
        <v>0</v>
      </c>
      <c r="DF20" s="269">
        <f ca="1">TblMili[[#This Row],[Raw (2)]]*(1+race_wizard_strength+IF(TblMili[[#This Row],[Hour]]&gt;72,tech_magical_weaponry_wiz*TblTech[[#This Row],[3-5]],0))</f>
        <v>0</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174</v>
      </c>
      <c r="C21" s="160">
        <f ca="1">TblPop[[#This Row],[Military%]]</f>
        <v>6.9795427196149215E-2</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5"/>
      <c r="N21" s="97">
        <f ca="1">TblProd[[#This Row],[Networth]]</f>
        <v>6405</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174</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174</v>
      </c>
      <c r="X21" s="262">
        <f ca="1">TblConstr[[#This Row],[Land]]</f>
        <v>274</v>
      </c>
      <c r="Y21" s="265"/>
      <c r="Z21" s="270">
        <f ca="1">IF(TblMili[[#This Row],[Set]]&lt;&gt;"",TblMili[[#This Row],[Set]],OFFSET(TblMili[[#This Row],[Draftrate]],-1,0))</f>
        <v>0.9</v>
      </c>
      <c r="AA21" s="97">
        <f ca="1">OFFSET(TblMili[[#This Row],[Draftees]],-1,0)+OFFSET(TblPop[[#This Row],[Draft Growth]],-1,0) - SUM(TblMili[[#This Row],[Train Unit 1]:[Train Spies]],TblMili[[#This Row],[Train Wiz]]) - TblMili[[#This Row],[Release Draft]] + SUM(TblMili[[#This Row],[Release Unit 1]:[Release AM]]) - TblExplore[[#This Row],[Draftees (2)]]</f>
        <v>174</v>
      </c>
      <c r="AB21" s="157"/>
      <c r="AC21" s="183">
        <f ca="1">(TblConstr[[#This Row],[Tot Smi]]+TblConstr[[#This Row],[Dest Smi]])/(TblConstr[[#This Row],[Land]]-TblExplore[[#This Row],[Land Bonus]]*20)</f>
        <v>0</v>
      </c>
      <c r="AD21" s="140"/>
      <c r="AE21" s="261">
        <f>TblMili[[#This Row],[Hour]]</f>
        <v>18</v>
      </c>
      <c r="AF21" s="141">
        <f ca="1">TblExplore[[#This Row],[Time]]</f>
        <v>45430.458333333292</v>
      </c>
      <c r="AG21" s="182"/>
      <c r="AH21" s="182"/>
      <c r="AI21" s="182"/>
      <c r="AJ21" s="182"/>
      <c r="AK21" s="182"/>
      <c r="AL21" s="182"/>
      <c r="AM21" s="182"/>
      <c r="AN21" s="182"/>
      <c r="AO21" s="145"/>
      <c r="AP21" s="97">
        <f ca="1">TblProd[[#This Row],[Platinum]]</f>
        <v>980</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45430.458333333292</v>
      </c>
      <c r="AV21" s="97">
        <f ca="1">TblMili[[#This Row],[Draftees]]</f>
        <v>174</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300</v>
      </c>
      <c r="BJ21" s="97">
        <f ca="1">ROUNDUP(IF(race="Gnome",1,(1-MIN(TblMili[[#This Row],[Smithies]]*smithy_bonus,smithy_bonus_cap) + tech_3_5*TblTech[[#This Row],[3-5]] + tech_5_3*TblTech[[#This Row],[5-3]] + tech_5_5*TblTech[[#This Row],[5-5]]))*spec_op_ore,0)</f>
        <v>0</v>
      </c>
      <c r="BK21" s="97">
        <f ca="1">ROUNDUP((1-MIN(TblMili[[#This Row],[Smithies]]*smithy_bonus,smithy_bonus_cap) + tech_3_5*TblTech[[#This Row],[3-5]] + tech_5_3*TblTech[[#This Row],[5-3]] + tech_5_5*TblTech[[#This Row],[5-5]])*spec_dp_plat,0)</f>
        <v>300</v>
      </c>
      <c r="BL21" s="97">
        <f ca="1">ROUNDUP(IF(race="Gnome",1,(1-MIN(TblMili[[#This Row],[Smithies]]*smithy_bonus,smithy_bonus_cap) + tech_3_5*TblTech[[#This Row],[3-5]] + tech_5_3*TblTech[[#This Row],[5-3]] + tech_5_5*TblTech[[#This Row],[5-5]]))*spec_dp_ore,0)</f>
        <v>0</v>
      </c>
      <c r="BM21" s="97">
        <f ca="1">ROUNDUP((1-MIN(TblMili[[#This Row],[Smithies]]*smithy_bonus,smithy_bonus_cap) + tech_3_5*TblTech[[#This Row],[3-5]] + tech_5_3*TblTech[[#This Row],[5-3]] + tech_5_5*TblTech[[#This Row],[5-5]])*elite1_plat,0)</f>
        <v>925</v>
      </c>
      <c r="BN21" s="97">
        <f ca="1">ROUNDUP(IF(race="Gnome",1,(1-MIN(TblMili[[#This Row],[Smithies]]*smithy_bonus,smithy_bonus_cap) + tech_3_5*TblTech[[#This Row],[3-5]] + tech_5_3*TblTech[[#This Row],[5-3]] + tech_5_5*TblTech[[#This Row],[5-5]]))*elite1_ore,0)</f>
        <v>0</v>
      </c>
      <c r="BO21" s="97">
        <f ca="1">ROUNDUP((1-MIN(TblMili[[#This Row],[Smithies]]*smithy_bonus,smithy_bonus_cap) + tech_3_5*TblTech[[#This Row],[3-5]] + tech_5_3*TblTech[[#This Row],[5-3]] + tech_5_5*TblTech[[#This Row],[5-5]])*elite2_plat,0)</f>
        <v>950</v>
      </c>
      <c r="BP21" s="97">
        <f ca="1">ROUNDUP(IF(race="Gnome",1,(1-MIN(TblMili[[#This Row],[Smithies]]*smithy_bonus,smithy_bonus_cap) + tech_3_5*TblTech[[#This Row],[3-5]] + tech_5_3*TblTech[[#This Row],[5-3]] + tech_5_5*TblTech[[#This Row],[5-5]]))*elite2_ore,0)</f>
        <v>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v>
      </c>
      <c r="BW21" s="160">
        <f ca="1">TblMili[[#This Row],[WG''s]]</f>
        <v>0</v>
      </c>
      <c r="BX21" s="266">
        <f ca="1">IF(mystic_cap="none",TblMili[[#This Row],[Hill]]/mystic_bonus,MIN(mystic_cap,TblMili[[#This Row],[Hill]]/mystic_bonus))</f>
        <v>0</v>
      </c>
      <c r="BY21" s="266">
        <f ca="1">IF(druid_op_cap="none",TblMili[[#This Row],[Hill]]/druid_op_bonus,MIN(druid_op_cap,TblMili[[#This Row],[Hill]]/druid_op_bonus))</f>
        <v>0</v>
      </c>
      <c r="BZ21" s="266">
        <f ca="1">IF(druid_dp_cap="none",TblMili[[#This Row],[Hill]]/druid_dp_bonus,MIN(druid_dp_cap,TblMili[[#This Row],[Hill]]/druid_dp_bonus))</f>
        <v>0</v>
      </c>
      <c r="CA21" s="266">
        <f ca="1">MIN(dryad_cap,TblMili[[#This Row],[Hill]]/dryad_bonus)</f>
        <v>0</v>
      </c>
      <c r="CB21" s="266">
        <f ca="1">MIN(rocka_cap,TblMili[[#This Row],[Hill]]/rocka_bonus)</f>
        <v>0</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0</v>
      </c>
      <c r="CH21" s="45">
        <f ca="1">MIN(ice_elem_cap,TblMili[[#This Row],[Raw (2)]]*ice_elem_bonus)</f>
        <v>0</v>
      </c>
      <c r="CI21" s="266">
        <f t="shared" si="0"/>
        <v>0.83333333333333337</v>
      </c>
      <c r="CJ21" s="266">
        <f ca="1">MIN(nox_nightshade_cap,TblConstr[[#This Row],[Homeland]]/TblConstr[[#This Row],[Land]]/nox_nightshade_swamp_bonus)</f>
        <v>0</v>
      </c>
      <c r="CK21" s="267" t="s">
        <v>524</v>
      </c>
      <c r="CL21" s="267">
        <f>VLOOKUP(Overview!$A25,Races!$D$4:$H$116,3,FALSE)</f>
        <v>3</v>
      </c>
      <c r="CM21" s="267"/>
      <c r="CN21" s="266">
        <f ca="1">MIN(6,TblMili[[#This Row],[Mystic]]+Races!$F$19)*1.8 +  IF(TblMili[[#This Row],[Mystic]]+Races!$F$19&gt;6,(TblMili[[#This Row],[Mystic]]+Races!$F$19-6)*0.2,0) - Races!$I$19</f>
        <v>0</v>
      </c>
      <c r="CO21" s="266">
        <f ca="1">1.8 * MIN(MAX(TblMili[[#This Row],[Druid (op)]]+Races!$E$20,TblMili[[#This Row],[Druid (dp)]]+Races!$F$20),6)  +  0.45 * MIN(MIN(TblMili[[#This Row],[Druid (op)]]+Races!$E$20,TblMili[[#This Row],[Druid (dp)]]+Races!$F$20),6)  +  0.2 * ( MAX(TblMili[[#This Row],[Druid (op)]]+Races!$E$20-6,0) + MAX(TblMili[[#This Row],[Druid (dp)]]+Races!$F$20-6,0) )  -  Races!$I$20</f>
        <v>0</v>
      </c>
      <c r="CP21" s="97">
        <f ca="1">TblMili[[#This Row],[Mystic bonus]]*TblMili[[#This Row],[Unit 3]]+TblMili[[#This Row],[Druid bonus]]*TblMili[[#This Row],[Unit 4]]</f>
        <v>0</v>
      </c>
      <c r="CQ21" s="158">
        <f ca="1">MIN(6,TblMili[[#This Row],[Dryad]]+Races!$F$35)*1.8 +  IF(TblMili[[#This Row],[Dryad]]+Races!$F$35&gt;6,(TblMili[[#This Row],[Dryad]]+Races!$F$35-6)*0.2,0) - Races!$I$19</f>
        <v>-1.7999999999999998</v>
      </c>
      <c r="CR21" s="97">
        <f ca="1">sylvan*(TblMili[[#This Row],[Mystic bonus]]*TblMili[[#This Row],[Unit 3]])</f>
        <v>0</v>
      </c>
      <c r="CS21" s="158">
        <f ca="1">1.8 * MIN(MAX(Races!$E$27,TblMili[[#This Row],[Rockapult]]+Races!$F$27),6)  +  0.45 * MIN(MIN(Races!$E$27,TblMili[[#This Row],[Rockapult]]+Races!$F$27),6)  +  0.2 * ( MAX(Races!$E$27-6,0) + MAX(TblMili[[#This Row],[Rockapult]]+Races!$F$27-6,0) )  -  Races!$I$20</f>
        <v>2.2499999999999991</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0</v>
      </c>
      <c r="CX21" s="158">
        <f ca="1">1.8 * MIN(MAX(TblMili[[#This Row],[Ice Elemental]]+Races!$E$71,Races!$F$71),6)  +  0.45 * MIN(MIN(TblMili[[#This Row],[Ice Elemental]]+Races!$E$71,Races!$F$71),6)  +  0.2 * ( MAX(TblMili[[#This Row],[Ice Elemental]]+Races!$E$71-6,0) + MAX(Races!$F$71-6,0) )  -  Races!$I$71</f>
        <v>0</v>
      </c>
      <c r="CY21" s="97">
        <f ca="1">TblMili[[#This Row],[Frost Mage bonus]]*TblMili[[#This Row],[Unit 3]]+TblMili[[#This Row],[Ice Elemental bonus]]*TblMili[[#This Row],[Unit 4]]</f>
        <v>0</v>
      </c>
      <c r="CZ21" s="268"/>
      <c r="DA21" s="146">
        <f ca="1">MIN(SUM(TblConstr[[#This Row],[Plain]:[Water]])/TblMili[[#This Row],[Land]]/favorable_terrain_bonus/100,favorable_terrain_max)</f>
        <v>0</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6405</v>
      </c>
      <c r="DD21" s="145"/>
      <c r="DE21" s="269">
        <f ca="1">(TblMili[[#This Row],[Wizards]]+2*TblMili[[#This Row],[Archmages]])/TblConstr[[#This Row],[Land]]</f>
        <v>0</v>
      </c>
      <c r="DF21" s="269">
        <f ca="1">TblMili[[#This Row],[Raw (2)]]*(1+race_wizard_strength+IF(TblMili[[#This Row],[Hour]]&gt;72,tech_magical_weaponry_wiz*TblTech[[#This Row],[3-5]],0))</f>
        <v>0</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153</v>
      </c>
      <c r="C22" s="160">
        <f ca="1">TblPop[[#This Row],[Military%]]</f>
        <v>5.8330156309569198E-2</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5"/>
      <c r="N22" s="97">
        <f ca="1">TblProd[[#This Row],[Networth]]</f>
        <v>6425</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153</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153</v>
      </c>
      <c r="X22" s="262">
        <f ca="1">TblConstr[[#This Row],[Land]]</f>
        <v>275</v>
      </c>
      <c r="Y22" s="265"/>
      <c r="Z22" s="270">
        <f ca="1">IF(TblMili[[#This Row],[Set]]&lt;&gt;"",TblMili[[#This Row],[Set]],OFFSET(TblMili[[#This Row],[Draftrate]],-1,0))</f>
        <v>0.9</v>
      </c>
      <c r="AA22" s="97">
        <f ca="1">OFFSET(TblMili[[#This Row],[Draftees]],-1,0)+OFFSET(TblPop[[#This Row],[Draft Growth]],-1,0) - SUM(TblMili[[#This Row],[Train Unit 1]:[Train Spies]],TblMili[[#This Row],[Train Wiz]]) - TblMili[[#This Row],[Release Draft]] + SUM(TblMili[[#This Row],[Release Unit 1]:[Release AM]]) - TblExplore[[#This Row],[Draftees (2)]]</f>
        <v>153</v>
      </c>
      <c r="AB22" s="157"/>
      <c r="AC22" s="183">
        <f ca="1">(TblConstr[[#This Row],[Tot Smi]]+TblConstr[[#This Row],[Dest Smi]])/(TblConstr[[#This Row],[Land]]-TblExplore[[#This Row],[Land Bonus]]*20)</f>
        <v>0</v>
      </c>
      <c r="AD22" s="140"/>
      <c r="AE22" s="261">
        <f>TblMili[[#This Row],[Hour]]</f>
        <v>19</v>
      </c>
      <c r="AF22" s="141">
        <f ca="1">TblExplore[[#This Row],[Time]]</f>
        <v>45430.499999999956</v>
      </c>
      <c r="AG22" s="182"/>
      <c r="AH22" s="182"/>
      <c r="AI22" s="182"/>
      <c r="AJ22" s="182"/>
      <c r="AK22" s="182"/>
      <c r="AL22" s="182"/>
      <c r="AM22" s="182"/>
      <c r="AN22" s="182"/>
      <c r="AO22" s="145"/>
      <c r="AP22" s="97">
        <f ca="1">TblProd[[#This Row],[Platinum]]</f>
        <v>1245</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45430.499999999956</v>
      </c>
      <c r="AV22" s="97">
        <f ca="1">TblMili[[#This Row],[Draftees]]</f>
        <v>153</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300</v>
      </c>
      <c r="BJ22" s="97">
        <f ca="1">ROUNDUP(IF(race="Gnome",1,(1-MIN(TblMili[[#This Row],[Smithies]]*smithy_bonus,smithy_bonus_cap) + tech_3_5*TblTech[[#This Row],[3-5]] + tech_5_3*TblTech[[#This Row],[5-3]] + tech_5_5*TblTech[[#This Row],[5-5]]))*spec_op_ore,0)</f>
        <v>0</v>
      </c>
      <c r="BK22" s="97">
        <f ca="1">ROUNDUP((1-MIN(TblMili[[#This Row],[Smithies]]*smithy_bonus,smithy_bonus_cap) + tech_3_5*TblTech[[#This Row],[3-5]] + tech_5_3*TblTech[[#This Row],[5-3]] + tech_5_5*TblTech[[#This Row],[5-5]])*spec_dp_plat,0)</f>
        <v>300</v>
      </c>
      <c r="BL22" s="97">
        <f ca="1">ROUNDUP(IF(race="Gnome",1,(1-MIN(TblMili[[#This Row],[Smithies]]*smithy_bonus,smithy_bonus_cap) + tech_3_5*TblTech[[#This Row],[3-5]] + tech_5_3*TblTech[[#This Row],[5-3]] + tech_5_5*TblTech[[#This Row],[5-5]]))*spec_dp_ore,0)</f>
        <v>0</v>
      </c>
      <c r="BM22" s="97">
        <f ca="1">ROUNDUP((1-MIN(TblMili[[#This Row],[Smithies]]*smithy_bonus,smithy_bonus_cap) + tech_3_5*TblTech[[#This Row],[3-5]] + tech_5_3*TblTech[[#This Row],[5-3]] + tech_5_5*TblTech[[#This Row],[5-5]])*elite1_plat,0)</f>
        <v>925</v>
      </c>
      <c r="BN22" s="97">
        <f ca="1">ROUNDUP(IF(race="Gnome",1,(1-MIN(TblMili[[#This Row],[Smithies]]*smithy_bonus,smithy_bonus_cap) + tech_3_5*TblTech[[#This Row],[3-5]] + tech_5_3*TblTech[[#This Row],[5-3]] + tech_5_5*TblTech[[#This Row],[5-5]]))*elite1_ore,0)</f>
        <v>0</v>
      </c>
      <c r="BO22" s="97">
        <f ca="1">ROUNDUP((1-MIN(TblMili[[#This Row],[Smithies]]*smithy_bonus,smithy_bonus_cap) + tech_3_5*TblTech[[#This Row],[3-5]] + tech_5_3*TblTech[[#This Row],[5-3]] + tech_5_5*TblTech[[#This Row],[5-5]])*elite2_plat,0)</f>
        <v>950</v>
      </c>
      <c r="BP22" s="97">
        <f ca="1">ROUNDUP(IF(race="Gnome",1,(1-MIN(TblMili[[#This Row],[Smithies]]*smithy_bonus,smithy_bonus_cap) + tech_3_5*TblTech[[#This Row],[3-5]] + tech_5_3*TblTech[[#This Row],[5-3]] + tech_5_5*TblTech[[#This Row],[5-5]]))*elite2_ore,0)</f>
        <v>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v>
      </c>
      <c r="BW22" s="160">
        <f ca="1">TblMili[[#This Row],[WG''s]]</f>
        <v>0</v>
      </c>
      <c r="BX22" s="266">
        <f ca="1">IF(mystic_cap="none",TblMili[[#This Row],[Hill]]/mystic_bonus,MIN(mystic_cap,TblMili[[#This Row],[Hill]]/mystic_bonus))</f>
        <v>0</v>
      </c>
      <c r="BY22" s="266">
        <f ca="1">IF(druid_op_cap="none",TblMili[[#This Row],[Hill]]/druid_op_bonus,MIN(druid_op_cap,TblMili[[#This Row],[Hill]]/druid_op_bonus))</f>
        <v>0</v>
      </c>
      <c r="BZ22" s="266">
        <f ca="1">IF(druid_dp_cap="none",TblMili[[#This Row],[Hill]]/druid_dp_bonus,MIN(druid_dp_cap,TblMili[[#This Row],[Hill]]/druid_dp_bonus))</f>
        <v>0</v>
      </c>
      <c r="CA22" s="266">
        <f ca="1">MIN(dryad_cap,TblMili[[#This Row],[Hill]]/dryad_bonus)</f>
        <v>0</v>
      </c>
      <c r="CB22" s="266">
        <f ca="1">MIN(rocka_cap,TblMili[[#This Row],[Hill]]/rocka_bonus)</f>
        <v>0</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0</v>
      </c>
      <c r="CH22" s="45">
        <f ca="1">MIN(ice_elem_cap,TblMili[[#This Row],[Raw (2)]]*ice_elem_bonus)</f>
        <v>0</v>
      </c>
      <c r="CI22" s="266">
        <f t="shared" si="0"/>
        <v>0.83333333333333337</v>
      </c>
      <c r="CJ22" s="266">
        <f ca="1">MIN(nox_nightshade_cap,TblConstr[[#This Row],[Homeland]]/TblConstr[[#This Row],[Land]]/nox_nightshade_swamp_bonus)</f>
        <v>0</v>
      </c>
      <c r="CK22" s="267"/>
      <c r="CL22" s="267"/>
      <c r="CM22" s="267"/>
      <c r="CN22" s="266">
        <f ca="1">MIN(6,TblMili[[#This Row],[Mystic]]+Races!$F$19)*1.8 +  IF(TblMili[[#This Row],[Mystic]]+Races!$F$19&gt;6,(TblMili[[#This Row],[Mystic]]+Races!$F$19-6)*0.2,0) - Races!$I$19</f>
        <v>0</v>
      </c>
      <c r="CO22" s="266">
        <f ca="1">1.8 * MIN(MAX(TblMili[[#This Row],[Druid (op)]]+Races!$E$20,TblMili[[#This Row],[Druid (dp)]]+Races!$F$20),6)  +  0.45 * MIN(MIN(TblMili[[#This Row],[Druid (op)]]+Races!$E$20,TblMili[[#This Row],[Druid (dp)]]+Races!$F$20),6)  +  0.2 * ( MAX(TblMili[[#This Row],[Druid (op)]]+Races!$E$20-6,0) + MAX(TblMili[[#This Row],[Druid (dp)]]+Races!$F$20-6,0) )  -  Races!$I$20</f>
        <v>0</v>
      </c>
      <c r="CP22" s="97">
        <f ca="1">TblMili[[#This Row],[Mystic bonus]]*TblMili[[#This Row],[Unit 3]]+TblMili[[#This Row],[Druid bonus]]*TblMili[[#This Row],[Unit 4]]</f>
        <v>0</v>
      </c>
      <c r="CQ22" s="158">
        <f ca="1">MIN(6,TblMili[[#This Row],[Dryad]]+Races!$F$35)*1.8 +  IF(TblMili[[#This Row],[Dryad]]+Races!$F$35&gt;6,(TblMili[[#This Row],[Dryad]]+Races!$F$35-6)*0.2,0) - Races!$I$19</f>
        <v>-1.7999999999999998</v>
      </c>
      <c r="CR22" s="97">
        <f ca="1">sylvan*(TblMili[[#This Row],[Mystic bonus]]*TblMili[[#This Row],[Unit 3]])</f>
        <v>0</v>
      </c>
      <c r="CS22" s="158">
        <f ca="1">1.8 * MIN(MAX(Races!$E$27,TblMili[[#This Row],[Rockapult]]+Races!$F$27),6)  +  0.45 * MIN(MIN(Races!$E$27,TblMili[[#This Row],[Rockapult]]+Races!$F$27),6)  +  0.2 * ( MAX(Races!$E$27-6,0) + MAX(TblMili[[#This Row],[Rockapult]]+Races!$F$27-6,0) )  -  Races!$I$20</f>
        <v>2.2499999999999991</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0</v>
      </c>
      <c r="CX22" s="158">
        <f ca="1">1.8 * MIN(MAX(TblMili[[#This Row],[Ice Elemental]]+Races!$E$71,Races!$F$71),6)  +  0.45 * MIN(MIN(TblMili[[#This Row],[Ice Elemental]]+Races!$E$71,Races!$F$71),6)  +  0.2 * ( MAX(TblMili[[#This Row],[Ice Elemental]]+Races!$E$71-6,0) + MAX(Races!$F$71-6,0) )  -  Races!$I$71</f>
        <v>0</v>
      </c>
      <c r="CY22" s="97">
        <f ca="1">TblMili[[#This Row],[Frost Mage bonus]]*TblMili[[#This Row],[Unit 3]]+TblMili[[#This Row],[Ice Elemental bonus]]*TblMili[[#This Row],[Unit 4]]</f>
        <v>0</v>
      </c>
      <c r="CZ22" s="268"/>
      <c r="DA22" s="146">
        <f ca="1">MIN(SUM(TblConstr[[#This Row],[Plain]:[Water]])/TblMili[[#This Row],[Land]]/favorable_terrain_bonus/100,favorable_terrain_max)</f>
        <v>0</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6425</v>
      </c>
      <c r="DD22" s="145"/>
      <c r="DE22" s="269">
        <f ca="1">(TblMili[[#This Row],[Wizards]]+2*TblMili[[#This Row],[Archmages]])/TblConstr[[#This Row],[Land]]</f>
        <v>0</v>
      </c>
      <c r="DF22" s="269">
        <f ca="1">TblMili[[#This Row],[Raw (2)]]*(1+race_wizard_strength+IF(TblMili[[#This Row],[Hour]]&gt;72,tech_magical_weaponry_wiz*TblTech[[#This Row],[3-5]],0))</f>
        <v>0</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130</v>
      </c>
      <c r="C23" s="160">
        <f ca="1">TblPop[[#This Row],[Military%]]</f>
        <v>4.710144927536232E-2</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5"/>
      <c r="N23" s="97">
        <f ca="1">TblProd[[#This Row],[Networth]]</f>
        <v>6445</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130</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130</v>
      </c>
      <c r="X23" s="262">
        <f ca="1">TblConstr[[#This Row],[Land]]</f>
        <v>276</v>
      </c>
      <c r="Y23" s="265"/>
      <c r="Z23" s="270">
        <f ca="1">IF(TblMili[[#This Row],[Set]]&lt;&gt;"",TblMili[[#This Row],[Set]],OFFSET(TblMili[[#This Row],[Draftrate]],-1,0))</f>
        <v>0.9</v>
      </c>
      <c r="AA23" s="97">
        <f ca="1">OFFSET(TblMili[[#This Row],[Draftees]],-1,0)+OFFSET(TblPop[[#This Row],[Draft Growth]],-1,0) - SUM(TblMili[[#This Row],[Train Unit 1]:[Train Spies]],TblMili[[#This Row],[Train Wiz]]) - TblMili[[#This Row],[Release Draft]] + SUM(TblMili[[#This Row],[Release Unit 1]:[Release AM]]) - TblExplore[[#This Row],[Draftees (2)]]</f>
        <v>130</v>
      </c>
      <c r="AB23" s="157"/>
      <c r="AC23" s="183">
        <f ca="1">(TblConstr[[#This Row],[Tot Smi]]+TblConstr[[#This Row],[Dest Smi]])/(TblConstr[[#This Row],[Land]]-TblExplore[[#This Row],[Land Bonus]]*20)</f>
        <v>0</v>
      </c>
      <c r="AD23" s="140"/>
      <c r="AE23" s="261">
        <f>TblMili[[#This Row],[Hour]]</f>
        <v>20</v>
      </c>
      <c r="AF23" s="141">
        <f ca="1">TblExplore[[#This Row],[Time]]</f>
        <v>45430.541666666621</v>
      </c>
      <c r="AG23" s="182"/>
      <c r="AH23" s="182"/>
      <c r="AI23" s="182"/>
      <c r="AJ23" s="182"/>
      <c r="AK23" s="182"/>
      <c r="AL23" s="182"/>
      <c r="AM23" s="182"/>
      <c r="AN23" s="182"/>
      <c r="AO23" s="145"/>
      <c r="AP23" s="97">
        <f ca="1">TblProd[[#This Row],[Platinum]]</f>
        <v>1024</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45430.541666666621</v>
      </c>
      <c r="AV23" s="97">
        <f ca="1">TblMili[[#This Row],[Draftees]]</f>
        <v>130</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300</v>
      </c>
      <c r="BJ23" s="97">
        <f ca="1">ROUNDUP(IF(race="Gnome",1,(1-MIN(TblMili[[#This Row],[Smithies]]*smithy_bonus,smithy_bonus_cap) + tech_3_5*TblTech[[#This Row],[3-5]] + tech_5_3*TblTech[[#This Row],[5-3]] + tech_5_5*TblTech[[#This Row],[5-5]]))*spec_op_ore,0)</f>
        <v>0</v>
      </c>
      <c r="BK23" s="97">
        <f ca="1">ROUNDUP((1-MIN(TblMili[[#This Row],[Smithies]]*smithy_bonus,smithy_bonus_cap) + tech_3_5*TblTech[[#This Row],[3-5]] + tech_5_3*TblTech[[#This Row],[5-3]] + tech_5_5*TblTech[[#This Row],[5-5]])*spec_dp_plat,0)</f>
        <v>300</v>
      </c>
      <c r="BL23" s="97">
        <f ca="1">ROUNDUP(IF(race="Gnome",1,(1-MIN(TblMili[[#This Row],[Smithies]]*smithy_bonus,smithy_bonus_cap) + tech_3_5*TblTech[[#This Row],[3-5]] + tech_5_3*TblTech[[#This Row],[5-3]] + tech_5_5*TblTech[[#This Row],[5-5]]))*spec_dp_ore,0)</f>
        <v>0</v>
      </c>
      <c r="BM23" s="97">
        <f ca="1">ROUNDUP((1-MIN(TblMili[[#This Row],[Smithies]]*smithy_bonus,smithy_bonus_cap) + tech_3_5*TblTech[[#This Row],[3-5]] + tech_5_3*TblTech[[#This Row],[5-3]] + tech_5_5*TblTech[[#This Row],[5-5]])*elite1_plat,0)</f>
        <v>925</v>
      </c>
      <c r="BN23" s="97">
        <f ca="1">ROUNDUP(IF(race="Gnome",1,(1-MIN(TblMili[[#This Row],[Smithies]]*smithy_bonus,smithy_bonus_cap) + tech_3_5*TblTech[[#This Row],[3-5]] + tech_5_3*TblTech[[#This Row],[5-3]] + tech_5_5*TblTech[[#This Row],[5-5]]))*elite1_ore,0)</f>
        <v>0</v>
      </c>
      <c r="BO23" s="97">
        <f ca="1">ROUNDUP((1-MIN(TblMili[[#This Row],[Smithies]]*smithy_bonus,smithy_bonus_cap) + tech_3_5*TblTech[[#This Row],[3-5]] + tech_5_3*TblTech[[#This Row],[5-3]] + tech_5_5*TblTech[[#This Row],[5-5]])*elite2_plat,0)</f>
        <v>950</v>
      </c>
      <c r="BP23" s="97">
        <f ca="1">ROUNDUP(IF(race="Gnome",1,(1-MIN(TblMili[[#This Row],[Smithies]]*smithy_bonus,smithy_bonus_cap) + tech_3_5*TblTech[[#This Row],[3-5]] + tech_5_3*TblTech[[#This Row],[5-3]] + tech_5_5*TblTech[[#This Row],[5-5]]))*elite2_ore,0)</f>
        <v>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v>
      </c>
      <c r="BW23" s="160">
        <f ca="1">TblMili[[#This Row],[WG''s]]</f>
        <v>0</v>
      </c>
      <c r="BX23" s="266">
        <f ca="1">IF(mystic_cap="none",TblMili[[#This Row],[Hill]]/mystic_bonus,MIN(mystic_cap,TblMili[[#This Row],[Hill]]/mystic_bonus))</f>
        <v>0</v>
      </c>
      <c r="BY23" s="266">
        <f ca="1">IF(druid_op_cap="none",TblMili[[#This Row],[Hill]]/druid_op_bonus,MIN(druid_op_cap,TblMili[[#This Row],[Hill]]/druid_op_bonus))</f>
        <v>0</v>
      </c>
      <c r="BZ23" s="266">
        <f ca="1">IF(druid_dp_cap="none",TblMili[[#This Row],[Hill]]/druid_dp_bonus,MIN(druid_dp_cap,TblMili[[#This Row],[Hill]]/druid_dp_bonus))</f>
        <v>0</v>
      </c>
      <c r="CA23" s="266">
        <f ca="1">MIN(dryad_cap,TblMili[[#This Row],[Hill]]/dryad_bonus)</f>
        <v>0</v>
      </c>
      <c r="CB23" s="266">
        <f ca="1">MIN(rocka_cap,TblMili[[#This Row],[Hill]]/rocka_bonus)</f>
        <v>0</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0</v>
      </c>
      <c r="CH23" s="45">
        <f ca="1">MIN(ice_elem_cap,TblMili[[#This Row],[Raw (2)]]*ice_elem_bonus)</f>
        <v>0</v>
      </c>
      <c r="CI23" s="266">
        <f t="shared" si="0"/>
        <v>0.83333333333333337</v>
      </c>
      <c r="CJ23" s="266">
        <f ca="1">MIN(nox_nightshade_cap,TblConstr[[#This Row],[Homeland]]/TblConstr[[#This Row],[Land]]/nox_nightshade_swamp_bonus)</f>
        <v>0</v>
      </c>
      <c r="CK23" s="267"/>
      <c r="CL23" s="267"/>
      <c r="CM23" s="267"/>
      <c r="CN23" s="266">
        <f ca="1">MIN(6,TblMili[[#This Row],[Mystic]]+Races!$F$19)*1.8 +  IF(TblMili[[#This Row],[Mystic]]+Races!$F$19&gt;6,(TblMili[[#This Row],[Mystic]]+Races!$F$19-6)*0.2,0) - Races!$I$19</f>
        <v>0</v>
      </c>
      <c r="CO23" s="266">
        <f ca="1">1.8 * MIN(MAX(TblMili[[#This Row],[Druid (op)]]+Races!$E$20,TblMili[[#This Row],[Druid (dp)]]+Races!$F$20),6)  +  0.45 * MIN(MIN(TblMili[[#This Row],[Druid (op)]]+Races!$E$20,TblMili[[#This Row],[Druid (dp)]]+Races!$F$20),6)  +  0.2 * ( MAX(TblMili[[#This Row],[Druid (op)]]+Races!$E$20-6,0) + MAX(TblMili[[#This Row],[Druid (dp)]]+Races!$F$20-6,0) )  -  Races!$I$20</f>
        <v>0</v>
      </c>
      <c r="CP23" s="97">
        <f ca="1">TblMili[[#This Row],[Mystic bonus]]*TblMili[[#This Row],[Unit 3]]+TblMili[[#This Row],[Druid bonus]]*TblMili[[#This Row],[Unit 4]]</f>
        <v>0</v>
      </c>
      <c r="CQ23" s="158">
        <f ca="1">MIN(6,TblMili[[#This Row],[Dryad]]+Races!$F$35)*1.8 +  IF(TblMili[[#This Row],[Dryad]]+Races!$F$35&gt;6,(TblMili[[#This Row],[Dryad]]+Races!$F$35-6)*0.2,0) - Races!$I$19</f>
        <v>-1.7999999999999998</v>
      </c>
      <c r="CR23" s="97">
        <f ca="1">sylvan*(TblMili[[#This Row],[Mystic bonus]]*TblMili[[#This Row],[Unit 3]])</f>
        <v>0</v>
      </c>
      <c r="CS23" s="158">
        <f ca="1">1.8 * MIN(MAX(Races!$E$27,TblMili[[#This Row],[Rockapult]]+Races!$F$27),6)  +  0.45 * MIN(MIN(Races!$E$27,TblMili[[#This Row],[Rockapult]]+Races!$F$27),6)  +  0.2 * ( MAX(Races!$E$27-6,0) + MAX(TblMili[[#This Row],[Rockapult]]+Races!$F$27-6,0) )  -  Races!$I$20</f>
        <v>2.2499999999999991</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0</v>
      </c>
      <c r="CX23" s="158">
        <f ca="1">1.8 * MIN(MAX(TblMili[[#This Row],[Ice Elemental]]+Races!$E$71,Races!$F$71),6)  +  0.45 * MIN(MIN(TblMili[[#This Row],[Ice Elemental]]+Races!$E$71,Races!$F$71),6)  +  0.2 * ( MAX(TblMili[[#This Row],[Ice Elemental]]+Races!$E$71-6,0) + MAX(Races!$F$71-6,0) )  -  Races!$I$71</f>
        <v>0</v>
      </c>
      <c r="CY23" s="97">
        <f ca="1">TblMili[[#This Row],[Frost Mage bonus]]*TblMili[[#This Row],[Unit 3]]+TblMili[[#This Row],[Ice Elemental bonus]]*TblMili[[#This Row],[Unit 4]]</f>
        <v>0</v>
      </c>
      <c r="CZ23" s="268"/>
      <c r="DA23" s="146">
        <f ca="1">MIN(SUM(TblConstr[[#This Row],[Plain]:[Water]])/TblMili[[#This Row],[Land]]/favorable_terrain_bonus/100,favorable_terrain_max)</f>
        <v>0</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6445</v>
      </c>
      <c r="DD23" s="145"/>
      <c r="DE23" s="269">
        <f ca="1">(TblMili[[#This Row],[Wizards]]+2*TblMili[[#This Row],[Archmages]])/TblConstr[[#This Row],[Land]]</f>
        <v>0</v>
      </c>
      <c r="DF23" s="269">
        <f ca="1">TblMili[[#This Row],[Raw (2)]]*(1+race_wizard_strength+IF(TblMili[[#This Row],[Hour]]&gt;72,tech_magical_weaponry_wiz*TblTech[[#This Row],[3-5]],0))</f>
        <v>0</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108</v>
      </c>
      <c r="C24" s="160">
        <f ca="1">TblPop[[#This Row],[Military%]]</f>
        <v>3.7126160192506016E-2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5"/>
      <c r="N24" s="97">
        <f ca="1">TblProd[[#This Row],[Networth]]</f>
        <v>6465</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108</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108</v>
      </c>
      <c r="X24" s="262">
        <f ca="1">TblConstr[[#This Row],[Land]]</f>
        <v>277</v>
      </c>
      <c r="Y24" s="265"/>
      <c r="Z24" s="270">
        <f ca="1">IF(TblMili[[#This Row],[Set]]&lt;&gt;"",TblMili[[#This Row],[Set]],OFFSET(TblMili[[#This Row],[Draftrate]],-1,0))</f>
        <v>0.9</v>
      </c>
      <c r="AA24" s="97">
        <f ca="1">OFFSET(TblMili[[#This Row],[Draftees]],-1,0)+OFFSET(TblPop[[#This Row],[Draft Growth]],-1,0) - SUM(TblMili[[#This Row],[Train Unit 1]:[Train Spies]],TblMili[[#This Row],[Train Wiz]]) - TblMili[[#This Row],[Release Draft]] + SUM(TblMili[[#This Row],[Release Unit 1]:[Release AM]]) - TblExplore[[#This Row],[Draftees (2)]]</f>
        <v>108</v>
      </c>
      <c r="AB24" s="157"/>
      <c r="AC24" s="183">
        <f ca="1">(TblConstr[[#This Row],[Tot Smi]]+TblConstr[[#This Row],[Dest Smi]])/(TblConstr[[#This Row],[Land]]-TblExplore[[#This Row],[Land Bonus]]*20)</f>
        <v>0</v>
      </c>
      <c r="AD24" s="140"/>
      <c r="AE24" s="261">
        <f>TblMili[[#This Row],[Hour]]</f>
        <v>21</v>
      </c>
      <c r="AF24" s="141">
        <f ca="1">TblExplore[[#This Row],[Time]]</f>
        <v>45430.583333333285</v>
      </c>
      <c r="AG24" s="182"/>
      <c r="AH24" s="182"/>
      <c r="AI24" s="182"/>
      <c r="AJ24" s="182"/>
      <c r="AK24" s="182"/>
      <c r="AL24" s="182"/>
      <c r="AM24" s="182"/>
      <c r="AN24" s="182"/>
      <c r="AO24" s="145"/>
      <c r="AP24" s="97">
        <f ca="1">TblProd[[#This Row],[Platinum]]</f>
        <v>1231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45430.583333333285</v>
      </c>
      <c r="AV24" s="97">
        <f ca="1">TblMili[[#This Row],[Draftees]]</f>
        <v>108</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300</v>
      </c>
      <c r="BJ24" s="97">
        <f ca="1">ROUNDUP(IF(race="Gnome",1,(1-MIN(TblMili[[#This Row],[Smithies]]*smithy_bonus,smithy_bonus_cap) + tech_3_5*TblTech[[#This Row],[3-5]] + tech_5_3*TblTech[[#This Row],[5-3]] + tech_5_5*TblTech[[#This Row],[5-5]]))*spec_op_ore,0)</f>
        <v>0</v>
      </c>
      <c r="BK24" s="97">
        <f ca="1">ROUNDUP((1-MIN(TblMili[[#This Row],[Smithies]]*smithy_bonus,smithy_bonus_cap) + tech_3_5*TblTech[[#This Row],[3-5]] + tech_5_3*TblTech[[#This Row],[5-3]] + tech_5_5*TblTech[[#This Row],[5-5]])*spec_dp_plat,0)</f>
        <v>300</v>
      </c>
      <c r="BL24" s="97">
        <f ca="1">ROUNDUP(IF(race="Gnome",1,(1-MIN(TblMili[[#This Row],[Smithies]]*smithy_bonus,smithy_bonus_cap) + tech_3_5*TblTech[[#This Row],[3-5]] + tech_5_3*TblTech[[#This Row],[5-3]] + tech_5_5*TblTech[[#This Row],[5-5]]))*spec_dp_ore,0)</f>
        <v>0</v>
      </c>
      <c r="BM24" s="97">
        <f ca="1">ROUNDUP((1-MIN(TblMili[[#This Row],[Smithies]]*smithy_bonus,smithy_bonus_cap) + tech_3_5*TblTech[[#This Row],[3-5]] + tech_5_3*TblTech[[#This Row],[5-3]] + tech_5_5*TblTech[[#This Row],[5-5]])*elite1_plat,0)</f>
        <v>925</v>
      </c>
      <c r="BN24" s="97">
        <f ca="1">ROUNDUP(IF(race="Gnome",1,(1-MIN(TblMili[[#This Row],[Smithies]]*smithy_bonus,smithy_bonus_cap) + tech_3_5*TblTech[[#This Row],[3-5]] + tech_5_3*TblTech[[#This Row],[5-3]] + tech_5_5*TblTech[[#This Row],[5-5]]))*elite1_ore,0)</f>
        <v>0</v>
      </c>
      <c r="BO24" s="97">
        <f ca="1">ROUNDUP((1-MIN(TblMili[[#This Row],[Smithies]]*smithy_bonus,smithy_bonus_cap) + tech_3_5*TblTech[[#This Row],[3-5]] + tech_5_3*TblTech[[#This Row],[5-3]] + tech_5_5*TblTech[[#This Row],[5-5]])*elite2_plat,0)</f>
        <v>950</v>
      </c>
      <c r="BP24" s="97">
        <f ca="1">ROUNDUP(IF(race="Gnome",1,(1-MIN(TblMili[[#This Row],[Smithies]]*smithy_bonus,smithy_bonus_cap) + tech_3_5*TblTech[[#This Row],[3-5]] + tech_5_3*TblTech[[#This Row],[5-3]] + tech_5_5*TblTech[[#This Row],[5-5]]))*elite2_ore,0)</f>
        <v>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v>
      </c>
      <c r="BW24" s="160">
        <f ca="1">TblMili[[#This Row],[WG''s]]</f>
        <v>0</v>
      </c>
      <c r="BX24" s="266">
        <f ca="1">IF(mystic_cap="none",TblMili[[#This Row],[Hill]]/mystic_bonus,MIN(mystic_cap,TblMili[[#This Row],[Hill]]/mystic_bonus))</f>
        <v>0</v>
      </c>
      <c r="BY24" s="266">
        <f ca="1">IF(druid_op_cap="none",TblMili[[#This Row],[Hill]]/druid_op_bonus,MIN(druid_op_cap,TblMili[[#This Row],[Hill]]/druid_op_bonus))</f>
        <v>0</v>
      </c>
      <c r="BZ24" s="266">
        <f ca="1">IF(druid_dp_cap="none",TblMili[[#This Row],[Hill]]/druid_dp_bonus,MIN(druid_dp_cap,TblMili[[#This Row],[Hill]]/druid_dp_bonus))</f>
        <v>0</v>
      </c>
      <c r="CA24" s="266">
        <f ca="1">MIN(dryad_cap,TblMili[[#This Row],[Hill]]/dryad_bonus)</f>
        <v>0</v>
      </c>
      <c r="CB24" s="266">
        <f ca="1">MIN(rocka_cap,TblMili[[#This Row],[Hill]]/rocka_bonus)</f>
        <v>0</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0</v>
      </c>
      <c r="CH24" s="45">
        <f ca="1">MIN(ice_elem_cap,TblMili[[#This Row],[Raw (2)]]*ice_elem_bonus)</f>
        <v>0</v>
      </c>
      <c r="CI24" s="266">
        <f t="shared" si="0"/>
        <v>0.83333333333333337</v>
      </c>
      <c r="CJ24" s="266">
        <f ca="1">MIN(nox_nightshade_cap,TblConstr[[#This Row],[Homeland]]/TblConstr[[#This Row],[Land]]/nox_nightshade_swamp_bonus)</f>
        <v>0</v>
      </c>
      <c r="CK24" s="267" t="s">
        <v>3</v>
      </c>
      <c r="CL24" s="267" t="b">
        <f>CK24=secondary_resource</f>
        <v>1</v>
      </c>
      <c r="CM24" s="267"/>
      <c r="CN24" s="266">
        <f ca="1">MIN(6,TblMili[[#This Row],[Mystic]]+Races!$F$19)*1.8 +  IF(TblMili[[#This Row],[Mystic]]+Races!$F$19&gt;6,(TblMili[[#This Row],[Mystic]]+Races!$F$19-6)*0.2,0) - Races!$I$19</f>
        <v>0</v>
      </c>
      <c r="CO24" s="266">
        <f ca="1">1.8 * MIN(MAX(TblMili[[#This Row],[Druid (op)]]+Races!$E$20,TblMili[[#This Row],[Druid (dp)]]+Races!$F$20),6)  +  0.45 * MIN(MIN(TblMili[[#This Row],[Druid (op)]]+Races!$E$20,TblMili[[#This Row],[Druid (dp)]]+Races!$F$20),6)  +  0.2 * ( MAX(TblMili[[#This Row],[Druid (op)]]+Races!$E$20-6,0) + MAX(TblMili[[#This Row],[Druid (dp)]]+Races!$F$20-6,0) )  -  Races!$I$20</f>
        <v>0</v>
      </c>
      <c r="CP24" s="97">
        <f ca="1">TblMili[[#This Row],[Mystic bonus]]*TblMili[[#This Row],[Unit 3]]+TblMili[[#This Row],[Druid bonus]]*TblMili[[#This Row],[Unit 4]]</f>
        <v>0</v>
      </c>
      <c r="CQ24" s="158">
        <f ca="1">MIN(6,TblMili[[#This Row],[Dryad]]+Races!$F$35)*1.8 +  IF(TblMili[[#This Row],[Dryad]]+Races!$F$35&gt;6,(TblMili[[#This Row],[Dryad]]+Races!$F$35-6)*0.2,0) - Races!$I$19</f>
        <v>-1.7999999999999998</v>
      </c>
      <c r="CR24" s="97">
        <f ca="1">sylvan*(TblMili[[#This Row],[Mystic bonus]]*TblMili[[#This Row],[Unit 3]])</f>
        <v>0</v>
      </c>
      <c r="CS24" s="158">
        <f ca="1">1.8 * MIN(MAX(Races!$E$27,TblMili[[#This Row],[Rockapult]]+Races!$F$27),6)  +  0.45 * MIN(MIN(Races!$E$27,TblMili[[#This Row],[Rockapult]]+Races!$F$27),6)  +  0.2 * ( MAX(Races!$E$27-6,0) + MAX(TblMili[[#This Row],[Rockapult]]+Races!$F$27-6,0) )  -  Races!$I$20</f>
        <v>2.2499999999999991</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0</v>
      </c>
      <c r="CX24" s="158">
        <f ca="1">1.8 * MIN(MAX(TblMili[[#This Row],[Ice Elemental]]+Races!$E$71,Races!$F$71),6)  +  0.45 * MIN(MIN(TblMili[[#This Row],[Ice Elemental]]+Races!$E$71,Races!$F$71),6)  +  0.2 * ( MAX(TblMili[[#This Row],[Ice Elemental]]+Races!$E$71-6,0) + MAX(Races!$F$71-6,0) )  -  Races!$I$71</f>
        <v>0</v>
      </c>
      <c r="CY24" s="97">
        <f ca="1">TblMili[[#This Row],[Frost Mage bonus]]*TblMili[[#This Row],[Unit 3]]+TblMili[[#This Row],[Ice Elemental bonus]]*TblMili[[#This Row],[Unit 4]]</f>
        <v>0</v>
      </c>
      <c r="CZ24" s="268"/>
      <c r="DA24" s="146">
        <f ca="1">MIN(SUM(TblConstr[[#This Row],[Plain]:[Water]])/TblMili[[#This Row],[Land]]/favorable_terrain_bonus/100,favorable_terrain_max)</f>
        <v>0</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6465</v>
      </c>
      <c r="DD24" s="145"/>
      <c r="DE24" s="269">
        <f ca="1">(TblMili[[#This Row],[Wizards]]+2*TblMili[[#This Row],[Archmages]])/TblConstr[[#This Row],[Land]]</f>
        <v>0</v>
      </c>
      <c r="DF24" s="269">
        <f ca="1">TblMili[[#This Row],[Raw (2)]]*(1+race_wizard_strength+IF(TblMili[[#This Row],[Hour]]&gt;72,tech_magical_weaponry_wiz*TblTech[[#This Row],[3-5]],0))</f>
        <v>0</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124</v>
      </c>
      <c r="C25" s="160">
        <f ca="1">TblPop[[#This Row],[Military%]]</f>
        <v>3.9922730199613649E-2</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5"/>
      <c r="N25" s="97">
        <f ca="1">TblProd[[#This Row],[Networth]]</f>
        <v>6485</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124</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124</v>
      </c>
      <c r="X25" s="262">
        <f ca="1">TblConstr[[#This Row],[Land]]</f>
        <v>278</v>
      </c>
      <c r="Y25" s="265"/>
      <c r="Z25" s="270">
        <f ca="1">IF(TblMili[[#This Row],[Set]]&lt;&gt;"",TblMili[[#This Row],[Set]],OFFSET(TblMili[[#This Row],[Draftrate]],-1,0))</f>
        <v>0.9</v>
      </c>
      <c r="AA25" s="97">
        <f ca="1">OFFSET(TblMili[[#This Row],[Draftees]],-1,0)+OFFSET(TblPop[[#This Row],[Draft Growth]],-1,0) - SUM(TblMili[[#This Row],[Train Unit 1]:[Train Spies]],TblMili[[#This Row],[Train Wiz]]) - TblMili[[#This Row],[Release Draft]] + SUM(TblMili[[#This Row],[Release Unit 1]:[Release AM]]) - TblExplore[[#This Row],[Draftees (2)]]</f>
        <v>124</v>
      </c>
      <c r="AB25" s="157"/>
      <c r="AC25" s="183">
        <f ca="1">(TblConstr[[#This Row],[Tot Smi]]+TblConstr[[#This Row],[Dest Smi]])/(TblConstr[[#This Row],[Land]]-TblExplore[[#This Row],[Land Bonus]]*20)</f>
        <v>0</v>
      </c>
      <c r="AD25" s="140"/>
      <c r="AE25" s="261">
        <f>TblMili[[#This Row],[Hour]]</f>
        <v>22</v>
      </c>
      <c r="AF25" s="141">
        <f ca="1">TblExplore[[#This Row],[Time]]</f>
        <v>45430.624999999949</v>
      </c>
      <c r="AG25" s="182"/>
      <c r="AH25" s="182"/>
      <c r="AI25" s="182"/>
      <c r="AJ25" s="182"/>
      <c r="AK25" s="182"/>
      <c r="AL25" s="182"/>
      <c r="AM25" s="182"/>
      <c r="AN25" s="182"/>
      <c r="AO25" s="145"/>
      <c r="AP25" s="97">
        <f ca="1">TblProd[[#This Row],[Platinum]]</f>
        <v>9969</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45430.624999999949</v>
      </c>
      <c r="AV25" s="97">
        <f ca="1">TblMili[[#This Row],[Draftees]]</f>
        <v>124</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300</v>
      </c>
      <c r="BJ25" s="97">
        <f ca="1">ROUNDUP(IF(race="Gnome",1,(1-MIN(TblMili[[#This Row],[Smithies]]*smithy_bonus,smithy_bonus_cap) + tech_3_5*TblTech[[#This Row],[3-5]] + tech_5_3*TblTech[[#This Row],[5-3]] + tech_5_5*TblTech[[#This Row],[5-5]]))*spec_op_ore,0)</f>
        <v>0</v>
      </c>
      <c r="BK25" s="97">
        <f ca="1">ROUNDUP((1-MIN(TblMili[[#This Row],[Smithies]]*smithy_bonus,smithy_bonus_cap) + tech_3_5*TblTech[[#This Row],[3-5]] + tech_5_3*TblTech[[#This Row],[5-3]] + tech_5_5*TblTech[[#This Row],[5-5]])*spec_dp_plat,0)</f>
        <v>300</v>
      </c>
      <c r="BL25" s="97">
        <f ca="1">ROUNDUP(IF(race="Gnome",1,(1-MIN(TblMili[[#This Row],[Smithies]]*smithy_bonus,smithy_bonus_cap) + tech_3_5*TblTech[[#This Row],[3-5]] + tech_5_3*TblTech[[#This Row],[5-3]] + tech_5_5*TblTech[[#This Row],[5-5]]))*spec_dp_ore,0)</f>
        <v>0</v>
      </c>
      <c r="BM25" s="97">
        <f ca="1">ROUNDUP((1-MIN(TblMili[[#This Row],[Smithies]]*smithy_bonus,smithy_bonus_cap) + tech_3_5*TblTech[[#This Row],[3-5]] + tech_5_3*TblTech[[#This Row],[5-3]] + tech_5_5*TblTech[[#This Row],[5-5]])*elite1_plat,0)</f>
        <v>925</v>
      </c>
      <c r="BN25" s="97">
        <f ca="1">ROUNDUP(IF(race="Gnome",1,(1-MIN(TblMili[[#This Row],[Smithies]]*smithy_bonus,smithy_bonus_cap) + tech_3_5*TblTech[[#This Row],[3-5]] + tech_5_3*TblTech[[#This Row],[5-3]] + tech_5_5*TblTech[[#This Row],[5-5]]))*elite1_ore,0)</f>
        <v>0</v>
      </c>
      <c r="BO25" s="97">
        <f ca="1">ROUNDUP((1-MIN(TblMili[[#This Row],[Smithies]]*smithy_bonus,smithy_bonus_cap) + tech_3_5*TblTech[[#This Row],[3-5]] + tech_5_3*TblTech[[#This Row],[5-3]] + tech_5_5*TblTech[[#This Row],[5-5]])*elite2_plat,0)</f>
        <v>950</v>
      </c>
      <c r="BP25" s="97">
        <f ca="1">ROUNDUP(IF(race="Gnome",1,(1-MIN(TblMili[[#This Row],[Smithies]]*smithy_bonus,smithy_bonus_cap) + tech_3_5*TblTech[[#This Row],[3-5]] + tech_5_3*TblTech[[#This Row],[5-3]] + tech_5_5*TblTech[[#This Row],[5-5]]))*elite2_ore,0)</f>
        <v>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v>
      </c>
      <c r="BW25" s="160">
        <f ca="1">TblMili[[#This Row],[WG''s]]</f>
        <v>0</v>
      </c>
      <c r="BX25" s="266">
        <f ca="1">IF(mystic_cap="none",TblMili[[#This Row],[Hill]]/mystic_bonus,MIN(mystic_cap,TblMili[[#This Row],[Hill]]/mystic_bonus))</f>
        <v>0</v>
      </c>
      <c r="BY25" s="266">
        <f ca="1">IF(druid_op_cap="none",TblMili[[#This Row],[Hill]]/druid_op_bonus,MIN(druid_op_cap,TblMili[[#This Row],[Hill]]/druid_op_bonus))</f>
        <v>0</v>
      </c>
      <c r="BZ25" s="266">
        <f ca="1">IF(druid_dp_cap="none",TblMili[[#This Row],[Hill]]/druid_dp_bonus,MIN(druid_dp_cap,TblMili[[#This Row],[Hill]]/druid_dp_bonus))</f>
        <v>0</v>
      </c>
      <c r="CA25" s="266">
        <f ca="1">MIN(dryad_cap,TblMili[[#This Row],[Hill]]/dryad_bonus)</f>
        <v>0</v>
      </c>
      <c r="CB25" s="266">
        <f ca="1">MIN(rocka_cap,TblMili[[#This Row],[Hill]]/rocka_bonus)</f>
        <v>0</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0</v>
      </c>
      <c r="CH25" s="45">
        <f ca="1">MIN(ice_elem_cap,TblMili[[#This Row],[Raw (2)]]*ice_elem_bonus)</f>
        <v>0</v>
      </c>
      <c r="CI25" s="266">
        <f t="shared" si="0"/>
        <v>0.83333333333333337</v>
      </c>
      <c r="CJ25" s="266">
        <f ca="1">MIN(nox_nightshade_cap,TblConstr[[#This Row],[Homeland]]/TblConstr[[#This Row],[Land]]/nox_nightshade_swamp_bonus)</f>
        <v>0</v>
      </c>
      <c r="CK25" s="267" t="s">
        <v>7</v>
      </c>
      <c r="CL25" s="267" t="b">
        <f>CK25=secondary_resource</f>
        <v>0</v>
      </c>
      <c r="CM25" s="267"/>
      <c r="CN25" s="266">
        <f ca="1">MIN(6,TblMili[[#This Row],[Mystic]]+Races!$F$19)*1.8 +  IF(TblMili[[#This Row],[Mystic]]+Races!$F$19&gt;6,(TblMili[[#This Row],[Mystic]]+Races!$F$19-6)*0.2,0) - Races!$I$19</f>
        <v>0</v>
      </c>
      <c r="CO25" s="266">
        <f ca="1">1.8 * MIN(MAX(TblMili[[#This Row],[Druid (op)]]+Races!$E$20,TblMili[[#This Row],[Druid (dp)]]+Races!$F$20),6)  +  0.45 * MIN(MIN(TblMili[[#This Row],[Druid (op)]]+Races!$E$20,TblMili[[#This Row],[Druid (dp)]]+Races!$F$20),6)  +  0.2 * ( MAX(TblMili[[#This Row],[Druid (op)]]+Races!$E$20-6,0) + MAX(TblMili[[#This Row],[Druid (dp)]]+Races!$F$20-6,0) )  -  Races!$I$20</f>
        <v>0</v>
      </c>
      <c r="CP25" s="97">
        <f ca="1">TblMili[[#This Row],[Mystic bonus]]*TblMili[[#This Row],[Unit 3]]+TblMili[[#This Row],[Druid bonus]]*TblMili[[#This Row],[Unit 4]]</f>
        <v>0</v>
      </c>
      <c r="CQ25" s="158">
        <f ca="1">MIN(6,TblMili[[#This Row],[Dryad]]+Races!$F$35)*1.8 +  IF(TblMili[[#This Row],[Dryad]]+Races!$F$35&gt;6,(TblMili[[#This Row],[Dryad]]+Races!$F$35-6)*0.2,0) - Races!$I$19</f>
        <v>-1.7999999999999998</v>
      </c>
      <c r="CR25" s="97">
        <f ca="1">sylvan*(TblMili[[#This Row],[Mystic bonus]]*TblMili[[#This Row],[Unit 3]])</f>
        <v>0</v>
      </c>
      <c r="CS25" s="158">
        <f ca="1">1.8 * MIN(MAX(Races!$E$27,TblMili[[#This Row],[Rockapult]]+Races!$F$27),6)  +  0.45 * MIN(MIN(Races!$E$27,TblMili[[#This Row],[Rockapult]]+Races!$F$27),6)  +  0.2 * ( MAX(Races!$E$27-6,0) + MAX(TblMili[[#This Row],[Rockapult]]+Races!$F$27-6,0) )  -  Races!$I$20</f>
        <v>2.2499999999999991</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0</v>
      </c>
      <c r="CX25" s="158">
        <f ca="1">1.8 * MIN(MAX(TblMili[[#This Row],[Ice Elemental]]+Races!$E$71,Races!$F$71),6)  +  0.45 * MIN(MIN(TblMili[[#This Row],[Ice Elemental]]+Races!$E$71,Races!$F$71),6)  +  0.2 * ( MAX(TblMili[[#This Row],[Ice Elemental]]+Races!$E$71-6,0) + MAX(Races!$F$71-6,0) )  -  Races!$I$71</f>
        <v>0</v>
      </c>
      <c r="CY25" s="97">
        <f ca="1">TblMili[[#This Row],[Frost Mage bonus]]*TblMili[[#This Row],[Unit 3]]+TblMili[[#This Row],[Ice Elemental bonus]]*TblMili[[#This Row],[Unit 4]]</f>
        <v>0</v>
      </c>
      <c r="CZ25" s="268"/>
      <c r="DA25" s="146">
        <f ca="1">MIN(SUM(TblConstr[[#This Row],[Plain]:[Water]])/TblMili[[#This Row],[Land]]/favorable_terrain_bonus/100,favorable_terrain_max)</f>
        <v>0</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6485</v>
      </c>
      <c r="DD25" s="145"/>
      <c r="DE25" s="269">
        <f ca="1">(TblMili[[#This Row],[Wizards]]+2*TblMili[[#This Row],[Archmages]])/TblConstr[[#This Row],[Land]]</f>
        <v>0</v>
      </c>
      <c r="DF25" s="269">
        <f ca="1">TblMili[[#This Row],[Raw (2)]]*(1+race_wizard_strength+IF(TblMili[[#This Row],[Hour]]&gt;72,tech_magical_weaponry_wiz*TblTech[[#This Row],[3-5]],0))</f>
        <v>0</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146</v>
      </c>
      <c r="C26" s="160">
        <f ca="1">TblPop[[#This Row],[Military%]]</f>
        <v>4.3975903614457829E-2</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5"/>
      <c r="N26" s="97">
        <f ca="1">TblProd[[#This Row],[Networth]]</f>
        <v>6505</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146</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146</v>
      </c>
      <c r="X26" s="262">
        <f ca="1">TblConstr[[#This Row],[Land]]</f>
        <v>279</v>
      </c>
      <c r="Y26" s="265"/>
      <c r="Z26" s="270">
        <f ca="1">IF(TblMili[[#This Row],[Set]]&lt;&gt;"",TblMili[[#This Row],[Set]],OFFSET(TblMili[[#This Row],[Draftrate]],-1,0))</f>
        <v>0.9</v>
      </c>
      <c r="AA26" s="97">
        <f ca="1">OFFSET(TblMili[[#This Row],[Draftees]],-1,0)+OFFSET(TblPop[[#This Row],[Draft Growth]],-1,0) - SUM(TblMili[[#This Row],[Train Unit 1]:[Train Spies]],TblMili[[#This Row],[Train Wiz]]) - TblMili[[#This Row],[Release Draft]] + SUM(TblMili[[#This Row],[Release Unit 1]:[Release AM]]) - TblExplore[[#This Row],[Draftees (2)]]</f>
        <v>146</v>
      </c>
      <c r="AB26" s="157"/>
      <c r="AC26" s="183">
        <f ca="1">(TblConstr[[#This Row],[Tot Smi]]+TblConstr[[#This Row],[Dest Smi]])/(TblConstr[[#This Row],[Land]]-TblExplore[[#This Row],[Land Bonus]]*20)</f>
        <v>0</v>
      </c>
      <c r="AD26" s="140"/>
      <c r="AE26" s="261">
        <f>TblMili[[#This Row],[Hour]]</f>
        <v>23</v>
      </c>
      <c r="AF26" s="141">
        <f ca="1">TblExplore[[#This Row],[Time]]</f>
        <v>45430.666666666613</v>
      </c>
      <c r="AG26" s="182"/>
      <c r="AH26" s="182"/>
      <c r="AI26" s="182"/>
      <c r="AJ26" s="182"/>
      <c r="AK26" s="182"/>
      <c r="AL26" s="182"/>
      <c r="AM26" s="182"/>
      <c r="AN26" s="182"/>
      <c r="AO26" s="145"/>
      <c r="AP26" s="97">
        <f ca="1">TblProd[[#This Row],[Platinum]]</f>
        <v>20132</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45430.666666666613</v>
      </c>
      <c r="AV26" s="97">
        <f ca="1">TblMili[[#This Row],[Draftees]]</f>
        <v>146</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300</v>
      </c>
      <c r="BJ26" s="97">
        <f ca="1">ROUNDUP(IF(race="Gnome",1,(1-MIN(TblMili[[#This Row],[Smithies]]*smithy_bonus,smithy_bonus_cap) + tech_3_5*TblTech[[#This Row],[3-5]] + tech_5_3*TblTech[[#This Row],[5-3]] + tech_5_5*TblTech[[#This Row],[5-5]]))*spec_op_ore,0)</f>
        <v>0</v>
      </c>
      <c r="BK26" s="97">
        <f ca="1">ROUNDUP((1-MIN(TblMili[[#This Row],[Smithies]]*smithy_bonus,smithy_bonus_cap) + tech_3_5*TblTech[[#This Row],[3-5]] + tech_5_3*TblTech[[#This Row],[5-3]] + tech_5_5*TblTech[[#This Row],[5-5]])*spec_dp_plat,0)</f>
        <v>300</v>
      </c>
      <c r="BL26" s="97">
        <f ca="1">ROUNDUP(IF(race="Gnome",1,(1-MIN(TblMili[[#This Row],[Smithies]]*smithy_bonus,smithy_bonus_cap) + tech_3_5*TblTech[[#This Row],[3-5]] + tech_5_3*TblTech[[#This Row],[5-3]] + tech_5_5*TblTech[[#This Row],[5-5]]))*spec_dp_ore,0)</f>
        <v>0</v>
      </c>
      <c r="BM26" s="97">
        <f ca="1">ROUNDUP((1-MIN(TblMili[[#This Row],[Smithies]]*smithy_bonus,smithy_bonus_cap) + tech_3_5*TblTech[[#This Row],[3-5]] + tech_5_3*TblTech[[#This Row],[5-3]] + tech_5_5*TblTech[[#This Row],[5-5]])*elite1_plat,0)</f>
        <v>925</v>
      </c>
      <c r="BN26" s="97">
        <f ca="1">ROUNDUP(IF(race="Gnome",1,(1-MIN(TblMili[[#This Row],[Smithies]]*smithy_bonus,smithy_bonus_cap) + tech_3_5*TblTech[[#This Row],[3-5]] + tech_5_3*TblTech[[#This Row],[5-3]] + tech_5_5*TblTech[[#This Row],[5-5]]))*elite1_ore,0)</f>
        <v>0</v>
      </c>
      <c r="BO26" s="97">
        <f ca="1">ROUNDUP((1-MIN(TblMili[[#This Row],[Smithies]]*smithy_bonus,smithy_bonus_cap) + tech_3_5*TblTech[[#This Row],[3-5]] + tech_5_3*TblTech[[#This Row],[5-3]] + tech_5_5*TblTech[[#This Row],[5-5]])*elite2_plat,0)</f>
        <v>950</v>
      </c>
      <c r="BP26" s="97">
        <f ca="1">ROUNDUP(IF(race="Gnome",1,(1-MIN(TblMili[[#This Row],[Smithies]]*smithy_bonus,smithy_bonus_cap) + tech_3_5*TblTech[[#This Row],[3-5]] + tech_5_3*TblTech[[#This Row],[5-3]] + tech_5_5*TblTech[[#This Row],[5-5]]))*elite2_ore,0)</f>
        <v>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v>
      </c>
      <c r="BW26" s="160">
        <f ca="1">TblMili[[#This Row],[WG''s]]</f>
        <v>0</v>
      </c>
      <c r="BX26" s="266">
        <f ca="1">IF(mystic_cap="none",TblMili[[#This Row],[Hill]]/mystic_bonus,MIN(mystic_cap,TblMili[[#This Row],[Hill]]/mystic_bonus))</f>
        <v>0</v>
      </c>
      <c r="BY26" s="266">
        <f ca="1">IF(druid_op_cap="none",TblMili[[#This Row],[Hill]]/druid_op_bonus,MIN(druid_op_cap,TblMili[[#This Row],[Hill]]/druid_op_bonus))</f>
        <v>0</v>
      </c>
      <c r="BZ26" s="266">
        <f ca="1">IF(druid_dp_cap="none",TblMili[[#This Row],[Hill]]/druid_dp_bonus,MIN(druid_dp_cap,TblMili[[#This Row],[Hill]]/druid_dp_bonus))</f>
        <v>0</v>
      </c>
      <c r="CA26" s="266">
        <f ca="1">MIN(dryad_cap,TblMili[[#This Row],[Hill]]/dryad_bonus)</f>
        <v>0</v>
      </c>
      <c r="CB26" s="266">
        <f ca="1">MIN(rocka_cap,TblMili[[#This Row],[Hill]]/rocka_bonus)</f>
        <v>0</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0</v>
      </c>
      <c r="CH26" s="45">
        <f ca="1">MIN(ice_elem_cap,TblMili[[#This Row],[Raw (2)]]*ice_elem_bonus)</f>
        <v>0</v>
      </c>
      <c r="CI26" s="266">
        <f t="shared" si="0"/>
        <v>0.83333333333333337</v>
      </c>
      <c r="CJ26" s="266">
        <f ca="1">MIN(nox_nightshade_cap,TblConstr[[#This Row],[Homeland]]/TblConstr[[#This Row],[Land]]/nox_nightshade_swamp_bonus)</f>
        <v>0</v>
      </c>
      <c r="CK26" s="267" t="s">
        <v>12</v>
      </c>
      <c r="CL26" s="267" t="b">
        <f>CK26=secondary_resource</f>
        <v>0</v>
      </c>
      <c r="CM26" s="267"/>
      <c r="CN26" s="266">
        <f ca="1">MIN(6,TblMili[[#This Row],[Mystic]]+Races!$F$19)*1.8 +  IF(TblMili[[#This Row],[Mystic]]+Races!$F$19&gt;6,(TblMili[[#This Row],[Mystic]]+Races!$F$19-6)*0.2,0) - Races!$I$19</f>
        <v>0</v>
      </c>
      <c r="CO26" s="266">
        <f ca="1">1.8 * MIN(MAX(TblMili[[#This Row],[Druid (op)]]+Races!$E$20,TblMili[[#This Row],[Druid (dp)]]+Races!$F$20),6)  +  0.45 * MIN(MIN(TblMili[[#This Row],[Druid (op)]]+Races!$E$20,TblMili[[#This Row],[Druid (dp)]]+Races!$F$20),6)  +  0.2 * ( MAX(TblMili[[#This Row],[Druid (op)]]+Races!$E$20-6,0) + MAX(TblMili[[#This Row],[Druid (dp)]]+Races!$F$20-6,0) )  -  Races!$I$20</f>
        <v>0</v>
      </c>
      <c r="CP26" s="97">
        <f ca="1">TblMili[[#This Row],[Mystic bonus]]*TblMili[[#This Row],[Unit 3]]+TblMili[[#This Row],[Druid bonus]]*TblMili[[#This Row],[Unit 4]]</f>
        <v>0</v>
      </c>
      <c r="CQ26" s="158">
        <f ca="1">MIN(6,TblMili[[#This Row],[Dryad]]+Races!$F$35)*1.8 +  IF(TblMili[[#This Row],[Dryad]]+Races!$F$35&gt;6,(TblMili[[#This Row],[Dryad]]+Races!$F$35-6)*0.2,0) - Races!$I$19</f>
        <v>-1.7999999999999998</v>
      </c>
      <c r="CR26" s="97">
        <f ca="1">sylvan*(TblMili[[#This Row],[Mystic bonus]]*TblMili[[#This Row],[Unit 3]])</f>
        <v>0</v>
      </c>
      <c r="CS26" s="158">
        <f ca="1">1.8 * MIN(MAX(Races!$E$27,TblMili[[#This Row],[Rockapult]]+Races!$F$27),6)  +  0.45 * MIN(MIN(Races!$E$27,TblMili[[#This Row],[Rockapult]]+Races!$F$27),6)  +  0.2 * ( MAX(Races!$E$27-6,0) + MAX(TblMili[[#This Row],[Rockapult]]+Races!$F$27-6,0) )  -  Races!$I$20</f>
        <v>2.2499999999999991</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0</v>
      </c>
      <c r="CX26" s="158">
        <f ca="1">1.8 * MIN(MAX(TblMili[[#This Row],[Ice Elemental]]+Races!$E$71,Races!$F$71),6)  +  0.45 * MIN(MIN(TblMili[[#This Row],[Ice Elemental]]+Races!$E$71,Races!$F$71),6)  +  0.2 * ( MAX(TblMili[[#This Row],[Ice Elemental]]+Races!$E$71-6,0) + MAX(Races!$F$71-6,0) )  -  Races!$I$71</f>
        <v>0</v>
      </c>
      <c r="CY26" s="97">
        <f ca="1">TblMili[[#This Row],[Frost Mage bonus]]*TblMili[[#This Row],[Unit 3]]+TblMili[[#This Row],[Ice Elemental bonus]]*TblMili[[#This Row],[Unit 4]]</f>
        <v>0</v>
      </c>
      <c r="CZ26" s="268"/>
      <c r="DA26" s="146">
        <f ca="1">MIN(SUM(TblConstr[[#This Row],[Plain]:[Water]])/TblMili[[#This Row],[Land]]/favorable_terrain_bonus/100,favorable_terrain_max)</f>
        <v>0</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6505</v>
      </c>
      <c r="DD26" s="145"/>
      <c r="DE26" s="269">
        <f ca="1">(TblMili[[#This Row],[Wizards]]+2*TblMili[[#This Row],[Archmages]])/TblConstr[[#This Row],[Land]]</f>
        <v>0</v>
      </c>
      <c r="DF26" s="269">
        <f ca="1">TblMili[[#This Row],[Raw (2)]]*(1+race_wizard_strength+IF(TblMili[[#This Row],[Hour]]&gt;72,tech_magical_weaponry_wiz*TblTech[[#This Row],[3-5]],0))</f>
        <v>0</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138</v>
      </c>
      <c r="C27" s="160">
        <f ca="1">TblPop[[#This Row],[Military%]]</f>
        <v>3.9237986920671028E-2</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5"/>
      <c r="N27" s="97">
        <f ca="1">TblProd[[#This Row],[Networth]]</f>
        <v>6905</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138</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138</v>
      </c>
      <c r="X27" s="262">
        <f ca="1">TblConstr[[#This Row],[Land]]</f>
        <v>299</v>
      </c>
      <c r="Y27" s="265"/>
      <c r="Z27" s="270">
        <f ca="1">IF(TblMili[[#This Row],[Set]]&lt;&gt;"",TblMili[[#This Row],[Set]],OFFSET(TblMili[[#This Row],[Draftrate]],-1,0))</f>
        <v>0.9</v>
      </c>
      <c r="AA27" s="97">
        <f ca="1">OFFSET(TblMili[[#This Row],[Draftees]],-1,0)+OFFSET(TblPop[[#This Row],[Draft Growth]],-1,0) - SUM(TblMili[[#This Row],[Train Unit 1]:[Train Spies]],TblMili[[#This Row],[Train Wiz]]) - TblMili[[#This Row],[Release Draft]] + SUM(TblMili[[#This Row],[Release Unit 1]:[Release AM]]) - TblExplore[[#This Row],[Draftees (2)]]</f>
        <v>138</v>
      </c>
      <c r="AB27" s="157"/>
      <c r="AC27" s="183">
        <f ca="1">(TblConstr[[#This Row],[Tot Smi]]+TblConstr[[#This Row],[Dest Smi]])/(TblConstr[[#This Row],[Land]]-TblExplore[[#This Row],[Land Bonus]]*20)</f>
        <v>0</v>
      </c>
      <c r="AD27" s="140"/>
      <c r="AE27" s="261">
        <f>TblMili[[#This Row],[Hour]]</f>
        <v>24</v>
      </c>
      <c r="AF27" s="141">
        <f ca="1">TblExplore[[#This Row],[Time]]</f>
        <v>45430.708333333278</v>
      </c>
      <c r="AG27" s="182"/>
      <c r="AH27" s="182"/>
      <c r="AI27" s="182"/>
      <c r="AJ27" s="182"/>
      <c r="AK27" s="182"/>
      <c r="AL27" s="182"/>
      <c r="AM27" s="182"/>
      <c r="AN27" s="182"/>
      <c r="AO27" s="145"/>
      <c r="AP27" s="97">
        <f ca="1">TblProd[[#This Row],[Platinum]]</f>
        <v>26679</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45430.708333333278</v>
      </c>
      <c r="AV27" s="97">
        <f ca="1">TblMili[[#This Row],[Draftees]]</f>
        <v>138</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300</v>
      </c>
      <c r="BJ27" s="97">
        <f ca="1">ROUNDUP(IF(race="Gnome",1,(1-MIN(TblMili[[#This Row],[Smithies]]*smithy_bonus,smithy_bonus_cap) + tech_3_5*TblTech[[#This Row],[3-5]] + tech_5_3*TblTech[[#This Row],[5-3]] + tech_5_5*TblTech[[#This Row],[5-5]]))*spec_op_ore,0)</f>
        <v>0</v>
      </c>
      <c r="BK27" s="97">
        <f ca="1">ROUNDUP((1-MIN(TblMili[[#This Row],[Smithies]]*smithy_bonus,smithy_bonus_cap) + tech_3_5*TblTech[[#This Row],[3-5]] + tech_5_3*TblTech[[#This Row],[5-3]] + tech_5_5*TblTech[[#This Row],[5-5]])*spec_dp_plat,0)</f>
        <v>300</v>
      </c>
      <c r="BL27" s="97">
        <f ca="1">ROUNDUP(IF(race="Gnome",1,(1-MIN(TblMili[[#This Row],[Smithies]]*smithy_bonus,smithy_bonus_cap) + tech_3_5*TblTech[[#This Row],[3-5]] + tech_5_3*TblTech[[#This Row],[5-3]] + tech_5_5*TblTech[[#This Row],[5-5]]))*spec_dp_ore,0)</f>
        <v>0</v>
      </c>
      <c r="BM27" s="97">
        <f ca="1">ROUNDUP((1-MIN(TblMili[[#This Row],[Smithies]]*smithy_bonus,smithy_bonus_cap) + tech_3_5*TblTech[[#This Row],[3-5]] + tech_5_3*TblTech[[#This Row],[5-3]] + tech_5_5*TblTech[[#This Row],[5-5]])*elite1_plat,0)</f>
        <v>925</v>
      </c>
      <c r="BN27" s="97">
        <f ca="1">ROUNDUP(IF(race="Gnome",1,(1-MIN(TblMili[[#This Row],[Smithies]]*smithy_bonus,smithy_bonus_cap) + tech_3_5*TblTech[[#This Row],[3-5]] + tech_5_3*TblTech[[#This Row],[5-3]] + tech_5_5*TblTech[[#This Row],[5-5]]))*elite1_ore,0)</f>
        <v>0</v>
      </c>
      <c r="BO27" s="97">
        <f ca="1">ROUNDUP((1-MIN(TblMili[[#This Row],[Smithies]]*smithy_bonus,smithy_bonus_cap) + tech_3_5*TblTech[[#This Row],[3-5]] + tech_5_3*TblTech[[#This Row],[5-3]] + tech_5_5*TblTech[[#This Row],[5-5]])*elite2_plat,0)</f>
        <v>950</v>
      </c>
      <c r="BP27" s="97">
        <f ca="1">ROUNDUP(IF(race="Gnome",1,(1-MIN(TblMili[[#This Row],[Smithies]]*smithy_bonus,smithy_bonus_cap) + tech_3_5*TblTech[[#This Row],[3-5]] + tech_5_3*TblTech[[#This Row],[5-3]] + tech_5_5*TblTech[[#This Row],[5-5]]))*elite2_ore,0)</f>
        <v>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v>
      </c>
      <c r="BW27" s="160">
        <f ca="1">TblMili[[#This Row],[WG''s]]</f>
        <v>0</v>
      </c>
      <c r="BX27" s="266">
        <f ca="1">IF(mystic_cap="none",TblMili[[#This Row],[Hill]]/mystic_bonus,MIN(mystic_cap,TblMili[[#This Row],[Hill]]/mystic_bonus))</f>
        <v>0</v>
      </c>
      <c r="BY27" s="266">
        <f ca="1">IF(druid_op_cap="none",TblMili[[#This Row],[Hill]]/druid_op_bonus,MIN(druid_op_cap,TblMili[[#This Row],[Hill]]/druid_op_bonus))</f>
        <v>0</v>
      </c>
      <c r="BZ27" s="266">
        <f ca="1">IF(druid_dp_cap="none",TblMili[[#This Row],[Hill]]/druid_dp_bonus,MIN(druid_dp_cap,TblMili[[#This Row],[Hill]]/druid_dp_bonus))</f>
        <v>0</v>
      </c>
      <c r="CA27" s="266">
        <f ca="1">MIN(dryad_cap,TblMili[[#This Row],[Hill]]/dryad_bonus)</f>
        <v>0</v>
      </c>
      <c r="CB27" s="266">
        <f ca="1">MIN(rocka_cap,TblMili[[#This Row],[Hill]]/rocka_bonus)</f>
        <v>0</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0</v>
      </c>
      <c r="CH27" s="45">
        <f ca="1">MIN(ice_elem_cap,TblMili[[#This Row],[Raw (2)]]*ice_elem_bonus)</f>
        <v>0</v>
      </c>
      <c r="CI27" s="266">
        <f t="shared" si="0"/>
        <v>0.83333333333333337</v>
      </c>
      <c r="CJ27" s="266">
        <f ca="1">MIN(nox_nightshade_cap,TblConstr[[#This Row],[Homeland]]/TblConstr[[#This Row],[Land]]/nox_nightshade_swamp_bonus)</f>
        <v>0</v>
      </c>
      <c r="CK27" s="267"/>
      <c r="CL27" s="267"/>
      <c r="CM27" s="267"/>
      <c r="CN27" s="266">
        <f ca="1">MIN(6,TblMili[[#This Row],[Mystic]]+Races!$F$19)*1.8 +  IF(TblMili[[#This Row],[Mystic]]+Races!$F$19&gt;6,(TblMili[[#This Row],[Mystic]]+Races!$F$19-6)*0.2,0) - Races!$I$19</f>
        <v>0</v>
      </c>
      <c r="CO27" s="266">
        <f ca="1">1.8 * MIN(MAX(TblMili[[#This Row],[Druid (op)]]+Races!$E$20,TblMili[[#This Row],[Druid (dp)]]+Races!$F$20),6)  +  0.45 * MIN(MIN(TblMili[[#This Row],[Druid (op)]]+Races!$E$20,TblMili[[#This Row],[Druid (dp)]]+Races!$F$20),6)  +  0.2 * ( MAX(TblMili[[#This Row],[Druid (op)]]+Races!$E$20-6,0) + MAX(TblMili[[#This Row],[Druid (dp)]]+Races!$F$20-6,0) )  -  Races!$I$20</f>
        <v>0</v>
      </c>
      <c r="CP27" s="97">
        <f ca="1">TblMili[[#This Row],[Mystic bonus]]*TblMili[[#This Row],[Unit 3]]+TblMili[[#This Row],[Druid bonus]]*TblMili[[#This Row],[Unit 4]]</f>
        <v>0</v>
      </c>
      <c r="CQ27" s="158">
        <f ca="1">MIN(6,TblMili[[#This Row],[Dryad]]+Races!$F$35)*1.8 +  IF(TblMili[[#This Row],[Dryad]]+Races!$F$35&gt;6,(TblMili[[#This Row],[Dryad]]+Races!$F$35-6)*0.2,0) - Races!$I$19</f>
        <v>-1.7999999999999998</v>
      </c>
      <c r="CR27" s="97">
        <f ca="1">sylvan*(TblMili[[#This Row],[Mystic bonus]]*TblMili[[#This Row],[Unit 3]])</f>
        <v>0</v>
      </c>
      <c r="CS27" s="158">
        <f ca="1">1.8 * MIN(MAX(Races!$E$27,TblMili[[#This Row],[Rockapult]]+Races!$F$27),6)  +  0.45 * MIN(MIN(Races!$E$27,TblMili[[#This Row],[Rockapult]]+Races!$F$27),6)  +  0.2 * ( MAX(Races!$E$27-6,0) + MAX(TblMili[[#This Row],[Rockapult]]+Races!$F$27-6,0) )  -  Races!$I$20</f>
        <v>2.2499999999999991</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0</v>
      </c>
      <c r="CX27" s="158">
        <f ca="1">1.8 * MIN(MAX(TblMili[[#This Row],[Ice Elemental]]+Races!$E$71,Races!$F$71),6)  +  0.45 * MIN(MIN(TblMili[[#This Row],[Ice Elemental]]+Races!$E$71,Races!$F$71),6)  +  0.2 * ( MAX(TblMili[[#This Row],[Ice Elemental]]+Races!$E$71-6,0) + MAX(Races!$F$71-6,0) )  -  Races!$I$71</f>
        <v>0</v>
      </c>
      <c r="CY27" s="97">
        <f ca="1">TblMili[[#This Row],[Frost Mage bonus]]*TblMili[[#This Row],[Unit 3]]+TblMili[[#This Row],[Ice Elemental bonus]]*TblMili[[#This Row],[Unit 4]]</f>
        <v>0</v>
      </c>
      <c r="CZ27" s="268"/>
      <c r="DA27" s="146">
        <f ca="1">MIN(SUM(TblConstr[[#This Row],[Plain]:[Water]])/TblMili[[#This Row],[Land]]/favorable_terrain_bonus/100,favorable_terrain_max)</f>
        <v>0</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6905</v>
      </c>
      <c r="DD27" s="145"/>
      <c r="DE27" s="269">
        <f ca="1">(TblMili[[#This Row],[Wizards]]+2*TblMili[[#This Row],[Archmages]])/TblConstr[[#This Row],[Land]]</f>
        <v>0</v>
      </c>
      <c r="DF27" s="269">
        <f ca="1">TblMili[[#This Row],[Raw (2)]]*(1+race_wizard_strength+IF(TblMili[[#This Row],[Hour]]&gt;72,tech_magical_weaponry_wiz*TblTech[[#This Row],[3-5]],0))</f>
        <v>0</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172</v>
      </c>
      <c r="C28" s="160">
        <f ca="1">TblPop[[#This Row],[Military%]]</f>
        <v>4.5720361509835196E-2</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5"/>
      <c r="N28" s="97">
        <f ca="1">TblProd[[#This Row],[Networth]]</f>
        <v>7230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172</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172</v>
      </c>
      <c r="X28" s="262">
        <f ca="1">TblConstr[[#This Row],[Land]]</f>
        <v>299</v>
      </c>
      <c r="Y28" s="265"/>
      <c r="Z28" s="270">
        <f ca="1">IF(TblMili[[#This Row],[Set]]&lt;&gt;"",TblMili[[#This Row],[Set]],OFFSET(TblMili[[#This Row],[Draftrate]],-1,0))</f>
        <v>0.9</v>
      </c>
      <c r="AA28" s="97">
        <f ca="1">OFFSET(TblMili[[#This Row],[Draftees]],-1,0)+OFFSET(TblPop[[#This Row],[Draft Growth]],-1,0) - SUM(TblMili[[#This Row],[Train Unit 1]:[Train Spies]],TblMili[[#This Row],[Train Wiz]]) - TblMili[[#This Row],[Release Draft]] + SUM(TblMili[[#This Row],[Release Unit 1]:[Release AM]]) - TblExplore[[#This Row],[Draftees (2)]]</f>
        <v>172</v>
      </c>
      <c r="AB28" s="157"/>
      <c r="AC28" s="183">
        <f ca="1">(TblConstr[[#This Row],[Tot Smi]]+TblConstr[[#This Row],[Dest Smi]])/(TblConstr[[#This Row],[Land]]-TblExplore[[#This Row],[Land Bonus]]*20)</f>
        <v>0</v>
      </c>
      <c r="AD28" s="140"/>
      <c r="AE28" s="261">
        <f>TblMili[[#This Row],[Hour]]</f>
        <v>25</v>
      </c>
      <c r="AF28" s="141">
        <f ca="1">TblExplore[[#This Row],[Time]]</f>
        <v>45430.749999999942</v>
      </c>
      <c r="AG28" s="182"/>
      <c r="AH28" s="182"/>
      <c r="AI28" s="182"/>
      <c r="AJ28" s="182"/>
      <c r="AK28" s="182"/>
      <c r="AL28" s="182"/>
      <c r="AM28" s="182"/>
      <c r="AN28" s="182"/>
      <c r="AO28" s="145"/>
      <c r="AP28" s="97">
        <f ca="1">TblProd[[#This Row],[Platinum]]</f>
        <v>42902</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45430.749999999942</v>
      </c>
      <c r="AV28" s="97">
        <f ca="1">TblMili[[#This Row],[Draftees]]</f>
        <v>172</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300</v>
      </c>
      <c r="BJ28" s="97">
        <f ca="1">ROUNDUP(IF(race="Gnome",1,(1-MIN(TblMili[[#This Row],[Smithies]]*smithy_bonus,smithy_bonus_cap) + tech_3_5*TblTech[[#This Row],[3-5]] + tech_5_3*TblTech[[#This Row],[5-3]] + tech_5_5*TblTech[[#This Row],[5-5]]))*spec_op_ore,0)</f>
        <v>0</v>
      </c>
      <c r="BK28" s="97">
        <f ca="1">ROUNDUP((1-MIN(TblMili[[#This Row],[Smithies]]*smithy_bonus,smithy_bonus_cap) + tech_3_5*TblTech[[#This Row],[3-5]] + tech_5_3*TblTech[[#This Row],[5-3]] + tech_5_5*TblTech[[#This Row],[5-5]])*spec_dp_plat,0)</f>
        <v>300</v>
      </c>
      <c r="BL28" s="97">
        <f ca="1">ROUNDUP(IF(race="Gnome",1,(1-MIN(TblMili[[#This Row],[Smithies]]*smithy_bonus,smithy_bonus_cap) + tech_3_5*TblTech[[#This Row],[3-5]] + tech_5_3*TblTech[[#This Row],[5-3]] + tech_5_5*TblTech[[#This Row],[5-5]]))*spec_dp_ore,0)</f>
        <v>0</v>
      </c>
      <c r="BM28" s="97">
        <f ca="1">ROUNDUP((1-MIN(TblMili[[#This Row],[Smithies]]*smithy_bonus,smithy_bonus_cap) + tech_3_5*TblTech[[#This Row],[3-5]] + tech_5_3*TblTech[[#This Row],[5-3]] + tech_5_5*TblTech[[#This Row],[5-5]])*elite1_plat,0)</f>
        <v>925</v>
      </c>
      <c r="BN28" s="97">
        <f ca="1">ROUNDUP(IF(race="Gnome",1,(1-MIN(TblMili[[#This Row],[Smithies]]*smithy_bonus,smithy_bonus_cap) + tech_3_5*TblTech[[#This Row],[3-5]] + tech_5_3*TblTech[[#This Row],[5-3]] + tech_5_5*TblTech[[#This Row],[5-5]]))*elite1_ore,0)</f>
        <v>0</v>
      </c>
      <c r="BO28" s="97">
        <f ca="1">ROUNDUP((1-MIN(TblMili[[#This Row],[Smithies]]*smithy_bonus,smithy_bonus_cap) + tech_3_5*TblTech[[#This Row],[3-5]] + tech_5_3*TblTech[[#This Row],[5-3]] + tech_5_5*TblTech[[#This Row],[5-5]])*elite2_plat,0)</f>
        <v>950</v>
      </c>
      <c r="BP28" s="97">
        <f ca="1">ROUNDUP(IF(race="Gnome",1,(1-MIN(TblMili[[#This Row],[Smithies]]*smithy_bonus,smithy_bonus_cap) + tech_3_5*TblTech[[#This Row],[3-5]] + tech_5_3*TblTech[[#This Row],[5-3]] + tech_5_5*TblTech[[#This Row],[5-5]]))*elite2_ore,0)</f>
        <v>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v>
      </c>
      <c r="BW28" s="160">
        <f ca="1">TblMili[[#This Row],[WG''s]]</f>
        <v>0</v>
      </c>
      <c r="BX28" s="266">
        <f ca="1">IF(mystic_cap="none",TblMili[[#This Row],[Hill]]/mystic_bonus,MIN(mystic_cap,TblMili[[#This Row],[Hill]]/mystic_bonus))</f>
        <v>0</v>
      </c>
      <c r="BY28" s="266">
        <f ca="1">IF(druid_op_cap="none",TblMili[[#This Row],[Hill]]/druid_op_bonus,MIN(druid_op_cap,TblMili[[#This Row],[Hill]]/druid_op_bonus))</f>
        <v>0</v>
      </c>
      <c r="BZ28" s="266">
        <f ca="1">IF(druid_dp_cap="none",TblMili[[#This Row],[Hill]]/druid_dp_bonus,MIN(druid_dp_cap,TblMili[[#This Row],[Hill]]/druid_dp_bonus))</f>
        <v>0</v>
      </c>
      <c r="CA28" s="266">
        <f ca="1">MIN(dryad_cap,TblMili[[#This Row],[Hill]]/dryad_bonus)</f>
        <v>0</v>
      </c>
      <c r="CB28" s="266">
        <f ca="1">MIN(rocka_cap,TblMili[[#This Row],[Hill]]/rocka_bonus)</f>
        <v>0</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0</v>
      </c>
      <c r="CH28" s="45">
        <f ca="1">MIN(ice_elem_cap,TblMili[[#This Row],[Raw (2)]]*ice_elem_bonus)</f>
        <v>0</v>
      </c>
      <c r="CI28" s="266">
        <f t="shared" si="0"/>
        <v>0.83333333333333337</v>
      </c>
      <c r="CJ28" s="266">
        <f ca="1">MIN(nox_nightshade_cap,TblConstr[[#This Row],[Homeland]]/TblConstr[[#This Row],[Land]]/nox_nightshade_swamp_bonus)</f>
        <v>0</v>
      </c>
      <c r="CK28" s="267"/>
      <c r="CL28" s="267"/>
      <c r="CM28" s="267"/>
      <c r="CN28" s="266">
        <f ca="1">MIN(6,TblMili[[#This Row],[Mystic]]+Races!$F$19)*1.8 +  IF(TblMili[[#This Row],[Mystic]]+Races!$F$19&gt;6,(TblMili[[#This Row],[Mystic]]+Races!$F$19-6)*0.2,0) - Races!$I$19</f>
        <v>0</v>
      </c>
      <c r="CO28" s="266">
        <f ca="1">1.8 * MIN(MAX(TblMili[[#This Row],[Druid (op)]]+Races!$E$20,TblMili[[#This Row],[Druid (dp)]]+Races!$F$20),6)  +  0.45 * MIN(MIN(TblMili[[#This Row],[Druid (op)]]+Races!$E$20,TblMili[[#This Row],[Druid (dp)]]+Races!$F$20),6)  +  0.2 * ( MAX(TblMili[[#This Row],[Druid (op)]]+Races!$E$20-6,0) + MAX(TblMili[[#This Row],[Druid (dp)]]+Races!$F$20-6,0) )  -  Races!$I$20</f>
        <v>0</v>
      </c>
      <c r="CP28" s="97">
        <f ca="1">TblMili[[#This Row],[Mystic bonus]]*TblMili[[#This Row],[Unit 3]]+TblMili[[#This Row],[Druid bonus]]*TblMili[[#This Row],[Unit 4]]</f>
        <v>0</v>
      </c>
      <c r="CQ28" s="158">
        <f ca="1">MIN(6,TblMili[[#This Row],[Dryad]]+Races!$F$35)*1.8 +  IF(TblMili[[#This Row],[Dryad]]+Races!$F$35&gt;6,(TblMili[[#This Row],[Dryad]]+Races!$F$35-6)*0.2,0) - Races!$I$19</f>
        <v>-1.7999999999999998</v>
      </c>
      <c r="CR28" s="97">
        <f ca="1">sylvan*(TblMili[[#This Row],[Mystic bonus]]*TblMili[[#This Row],[Unit 3]])</f>
        <v>0</v>
      </c>
      <c r="CS28" s="158">
        <f ca="1">1.8 * MIN(MAX(Races!$E$27,TblMili[[#This Row],[Rockapult]]+Races!$F$27),6)  +  0.45 * MIN(MIN(Races!$E$27,TblMili[[#This Row],[Rockapult]]+Races!$F$27),6)  +  0.2 * ( MAX(Races!$E$27-6,0) + MAX(TblMili[[#This Row],[Rockapult]]+Races!$F$27-6,0) )  -  Races!$I$20</f>
        <v>2.2499999999999991</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0</v>
      </c>
      <c r="CX28" s="158">
        <f ca="1">1.8 * MIN(MAX(TblMili[[#This Row],[Ice Elemental]]+Races!$E$71,Races!$F$71),6)  +  0.45 * MIN(MIN(TblMili[[#This Row],[Ice Elemental]]+Races!$E$71,Races!$F$71),6)  +  0.2 * ( MAX(TblMili[[#This Row],[Ice Elemental]]+Races!$E$71-6,0) + MAX(Races!$F$71-6,0) )  -  Races!$I$71</f>
        <v>0</v>
      </c>
      <c r="CY28" s="97">
        <f ca="1">TblMili[[#This Row],[Frost Mage bonus]]*TblMili[[#This Row],[Unit 3]]+TblMili[[#This Row],[Ice Elemental bonus]]*TblMili[[#This Row],[Unit 4]]</f>
        <v>0</v>
      </c>
      <c r="CZ28" s="268"/>
      <c r="DA28" s="146">
        <f ca="1">MIN(SUM(TblConstr[[#This Row],[Plain]:[Water]])/TblMili[[#This Row],[Land]]/favorable_terrain_bonus/100,favorable_terrain_max)</f>
        <v>0</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7230</v>
      </c>
      <c r="DD28" s="145"/>
      <c r="DE28" s="269">
        <f ca="1">(TblMili[[#This Row],[Wizards]]+2*TblMili[[#This Row],[Archmages]])/TblConstr[[#This Row],[Land]]</f>
        <v>0</v>
      </c>
      <c r="DF28" s="269">
        <f ca="1">TblMili[[#This Row],[Raw (2)]]*(1+race_wizard_strength+IF(TblMili[[#This Row],[Hour]]&gt;72,tech_magical_weaponry_wiz*TblTech[[#This Row],[3-5]],0))</f>
        <v>0</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208</v>
      </c>
      <c r="C29" s="160">
        <f ca="1">TblPop[[#This Row],[Military%]]</f>
        <v>5.171556439582297E-2</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5"/>
      <c r="N29" s="97">
        <f ca="1">TblProd[[#This Row],[Networth]]</f>
        <v>7230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208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208</v>
      </c>
      <c r="X29" s="262">
        <f ca="1">TblConstr[[#This Row],[Land]]</f>
        <v>299</v>
      </c>
      <c r="Y29" s="265"/>
      <c r="Z29" s="270">
        <f ca="1">IF(TblMili[[#This Row],[Set]]&lt;&gt;"",TblMili[[#This Row],[Set]],OFFSET(TblMili[[#This Row],[Draftrate]],-1,0))</f>
        <v>0.9</v>
      </c>
      <c r="AA29" s="97">
        <f ca="1">OFFSET(TblMili[[#This Row],[Draftees]],-1,0)+OFFSET(TblPop[[#This Row],[Draft Growth]],-1,0) - SUM(TblMili[[#This Row],[Train Unit 1]:[Train Spies]],TblMili[[#This Row],[Train Wiz]]) - TblMili[[#This Row],[Release Draft]] + SUM(TblMili[[#This Row],[Release Unit 1]:[Release AM]]) - TblExplore[[#This Row],[Draftees (2)]]</f>
        <v>208</v>
      </c>
      <c r="AB29" s="157"/>
      <c r="AC29" s="183">
        <f ca="1">(TblConstr[[#This Row],[Tot Smi]]+TblConstr[[#This Row],[Dest Smi]])/(TblConstr[[#This Row],[Land]]-TblExplore[[#This Row],[Land Bonus]]*20)</f>
        <v>0</v>
      </c>
      <c r="AD29" s="140"/>
      <c r="AE29" s="261">
        <f>TblMili[[#This Row],[Hour]]</f>
        <v>26</v>
      </c>
      <c r="AF29" s="141">
        <f ca="1">TblExplore[[#This Row],[Time]]</f>
        <v>45430.791666666606</v>
      </c>
      <c r="AG29" s="182"/>
      <c r="AH29" s="182"/>
      <c r="AI29" s="182"/>
      <c r="AJ29" s="182"/>
      <c r="AK29" s="182"/>
      <c r="AL29" s="182"/>
      <c r="AM29" s="182"/>
      <c r="AN29" s="182"/>
      <c r="AO29" s="145"/>
      <c r="AP29" s="97">
        <f ca="1">TblProd[[#This Row],[Platinum]]</f>
        <v>59751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45430.791666666606</v>
      </c>
      <c r="AV29" s="97">
        <f ca="1">TblMili[[#This Row],[Draftees]]</f>
        <v>208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300</v>
      </c>
      <c r="BJ29" s="97">
        <f ca="1">ROUNDUP(IF(race="Gnome",1,(1-MIN(TblMili[[#This Row],[Smithies]]*smithy_bonus,smithy_bonus_cap) + tech_3_5*TblTech[[#This Row],[3-5]] + tech_5_3*TblTech[[#This Row],[5-3]] + tech_5_5*TblTech[[#This Row],[5-5]]))*spec_op_ore,0)</f>
        <v>0</v>
      </c>
      <c r="BK29" s="97">
        <f ca="1">ROUNDUP((1-MIN(TblMili[[#This Row],[Smithies]]*smithy_bonus,smithy_bonus_cap) + tech_3_5*TblTech[[#This Row],[3-5]] + tech_5_3*TblTech[[#This Row],[5-3]] + tech_5_5*TblTech[[#This Row],[5-5]])*spec_dp_plat,0)</f>
        <v>300</v>
      </c>
      <c r="BL29" s="97">
        <f ca="1">ROUNDUP(IF(race="Gnome",1,(1-MIN(TblMili[[#This Row],[Smithies]]*smithy_bonus,smithy_bonus_cap) + tech_3_5*TblTech[[#This Row],[3-5]] + tech_5_3*TblTech[[#This Row],[5-3]] + tech_5_5*TblTech[[#This Row],[5-5]]))*spec_dp_ore,0)</f>
        <v>0</v>
      </c>
      <c r="BM29" s="97">
        <f ca="1">ROUNDUP((1-MIN(TblMili[[#This Row],[Smithies]]*smithy_bonus,smithy_bonus_cap) + tech_3_5*TblTech[[#This Row],[3-5]] + tech_5_3*TblTech[[#This Row],[5-3]] + tech_5_5*TblTech[[#This Row],[5-5]])*elite1_plat,0)</f>
        <v>925</v>
      </c>
      <c r="BN29" s="97">
        <f ca="1">ROUNDUP(IF(race="Gnome",1,(1-MIN(TblMili[[#This Row],[Smithies]]*smithy_bonus,smithy_bonus_cap) + tech_3_5*TblTech[[#This Row],[3-5]] + tech_5_3*TblTech[[#This Row],[5-3]] + tech_5_5*TblTech[[#This Row],[5-5]]))*elite1_ore,0)</f>
        <v>0</v>
      </c>
      <c r="BO29" s="97">
        <f ca="1">ROUNDUP((1-MIN(TblMili[[#This Row],[Smithies]]*smithy_bonus,smithy_bonus_cap) + tech_3_5*TblTech[[#This Row],[3-5]] + tech_5_3*TblTech[[#This Row],[5-3]] + tech_5_5*TblTech[[#This Row],[5-5]])*elite2_plat,0)</f>
        <v>950</v>
      </c>
      <c r="BP29" s="97">
        <f ca="1">ROUNDUP(IF(race="Gnome",1,(1-MIN(TblMili[[#This Row],[Smithies]]*smithy_bonus,smithy_bonus_cap) + tech_3_5*TblTech[[#This Row],[3-5]] + tech_5_3*TblTech[[#This Row],[5-3]] + tech_5_5*TblTech[[#This Row],[5-5]]))*elite2_ore,0)</f>
        <v>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v>
      </c>
      <c r="BW29" s="160">
        <f ca="1">TblMili[[#This Row],[WG''s]]</f>
        <v>0</v>
      </c>
      <c r="BX29" s="266">
        <f ca="1">IF(mystic_cap="none",TblMili[[#This Row],[Hill]]/mystic_bonus,MIN(mystic_cap,TblMili[[#This Row],[Hill]]/mystic_bonus))</f>
        <v>0</v>
      </c>
      <c r="BY29" s="266">
        <f ca="1">IF(druid_op_cap="none",TblMili[[#This Row],[Hill]]/druid_op_bonus,MIN(druid_op_cap,TblMili[[#This Row],[Hill]]/druid_op_bonus))</f>
        <v>0</v>
      </c>
      <c r="BZ29" s="266">
        <f ca="1">IF(druid_dp_cap="none",TblMili[[#This Row],[Hill]]/druid_dp_bonus,MIN(druid_dp_cap,TblMili[[#This Row],[Hill]]/druid_dp_bonus))</f>
        <v>0</v>
      </c>
      <c r="CA29" s="266">
        <f ca="1">MIN(dryad_cap,TblMili[[#This Row],[Hill]]/dryad_bonus)</f>
        <v>0</v>
      </c>
      <c r="CB29" s="266">
        <f ca="1">MIN(rocka_cap,TblMili[[#This Row],[Hill]]/rocka_bonus)</f>
        <v>0</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0</v>
      </c>
      <c r="CH29" s="45">
        <f ca="1">MIN(ice_elem_cap,TblMili[[#This Row],[Raw (2)]]*ice_elem_bonus)</f>
        <v>0</v>
      </c>
      <c r="CI29" s="266">
        <f t="shared" si="0"/>
        <v>0.83333333333333337</v>
      </c>
      <c r="CJ29" s="266">
        <f ca="1">MIN(nox_nightshade_cap,TblConstr[[#This Row],[Homeland]]/TblConstr[[#This Row],[Land]]/nox_nightshade_swamp_bonus)</f>
        <v>0</v>
      </c>
      <c r="CK29" s="267"/>
      <c r="CL29" s="267"/>
      <c r="CM29" s="267"/>
      <c r="CN29" s="266">
        <f ca="1">MIN(6,TblMili[[#This Row],[Mystic]]+Races!$F$19)*1.8 +  IF(TblMili[[#This Row],[Mystic]]+Races!$F$19&gt;6,(TblMili[[#This Row],[Mystic]]+Races!$F$19-6)*0.2,0) - Races!$I$19</f>
        <v>0</v>
      </c>
      <c r="CO29" s="266">
        <f ca="1">1.8 * MIN(MAX(TblMili[[#This Row],[Druid (op)]]+Races!$E$20,TblMili[[#This Row],[Druid (dp)]]+Races!$F$20),6)  +  0.45 * MIN(MIN(TblMili[[#This Row],[Druid (op)]]+Races!$E$20,TblMili[[#This Row],[Druid (dp)]]+Races!$F$20),6)  +  0.2 * ( MAX(TblMili[[#This Row],[Druid (op)]]+Races!$E$20-6,0) + MAX(TblMili[[#This Row],[Druid (dp)]]+Races!$F$20-6,0) )  -  Races!$I$20</f>
        <v>0</v>
      </c>
      <c r="CP29" s="97">
        <f ca="1">TblMili[[#This Row],[Mystic bonus]]*TblMili[[#This Row],[Unit 3]]+TblMili[[#This Row],[Druid bonus]]*TblMili[[#This Row],[Unit 4]]</f>
        <v>0</v>
      </c>
      <c r="CQ29" s="158">
        <f ca="1">MIN(6,TblMili[[#This Row],[Dryad]]+Races!$F$35)*1.8 +  IF(TblMili[[#This Row],[Dryad]]+Races!$F$35&gt;6,(TblMili[[#This Row],[Dryad]]+Races!$F$35-6)*0.2,0) - Races!$I$19</f>
        <v>-1.7999999999999998</v>
      </c>
      <c r="CR29" s="97">
        <f ca="1">sylvan*(TblMili[[#This Row],[Mystic bonus]]*TblMili[[#This Row],[Unit 3]])</f>
        <v>0</v>
      </c>
      <c r="CS29" s="158">
        <f ca="1">1.8 * MIN(MAX(Races!$E$27,TblMili[[#This Row],[Rockapult]]+Races!$F$27),6)  +  0.45 * MIN(MIN(Races!$E$27,TblMili[[#This Row],[Rockapult]]+Races!$F$27),6)  +  0.2 * ( MAX(Races!$E$27-6,0) + MAX(TblMili[[#This Row],[Rockapult]]+Races!$F$27-6,0) )  -  Races!$I$20</f>
        <v>2.2499999999999991</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0</v>
      </c>
      <c r="CX29" s="158">
        <f ca="1">1.8 * MIN(MAX(TblMili[[#This Row],[Ice Elemental]]+Races!$E$71,Races!$F$71),6)  +  0.45 * MIN(MIN(TblMili[[#This Row],[Ice Elemental]]+Races!$E$71,Races!$F$71),6)  +  0.2 * ( MAX(TblMili[[#This Row],[Ice Elemental]]+Races!$E$71-6,0) + MAX(Races!$F$71-6,0) )  -  Races!$I$71</f>
        <v>0</v>
      </c>
      <c r="CY29" s="97">
        <f ca="1">TblMili[[#This Row],[Frost Mage bonus]]*TblMili[[#This Row],[Unit 3]]+TblMili[[#This Row],[Ice Elemental bonus]]*TblMili[[#This Row],[Unit 4]]</f>
        <v>0</v>
      </c>
      <c r="CZ29" s="268"/>
      <c r="DA29" s="146">
        <f ca="1">MIN(SUM(TblConstr[[#This Row],[Plain]:[Water]])/TblMili[[#This Row],[Land]]/favorable_terrain_bonus/100,favorable_terrain_max)</f>
        <v>0</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7230</v>
      </c>
      <c r="DD29" s="145"/>
      <c r="DE29" s="269">
        <f ca="1">(TblMili[[#This Row],[Wizards]]+2*TblMili[[#This Row],[Archmages]])/TblConstr[[#This Row],[Land]]</f>
        <v>0</v>
      </c>
      <c r="DF29" s="269">
        <f ca="1">TblMili[[#This Row],[Raw (2)]]*(1+race_wizard_strength+IF(TblMili[[#This Row],[Hour]]&gt;72,tech_magical_weaponry_wiz*TblTech[[#This Row],[3-5]],0))</f>
        <v>0</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246</v>
      </c>
      <c r="C30" s="160">
        <f ca="1">TblPop[[#This Row],[Military%]]</f>
        <v>5.7222609909281227E-2</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5"/>
      <c r="N30" s="97">
        <f ca="1">TblProd[[#This Row],[Networth]]</f>
        <v>7230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246</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246</v>
      </c>
      <c r="X30" s="262">
        <f ca="1">TblConstr[[#This Row],[Land]]</f>
        <v>299</v>
      </c>
      <c r="Y30" s="265"/>
      <c r="Z30" s="270">
        <f ca="1">IF(TblMili[[#This Row],[Set]]&lt;&gt;"",TblMili[[#This Row],[Set]],OFFSET(TblMili[[#This Row],[Draftrate]],-1,0))</f>
        <v>0.9</v>
      </c>
      <c r="AA30" s="97">
        <f ca="1">OFFSET(TblMili[[#This Row],[Draftees]],-1,0)+OFFSET(TblPop[[#This Row],[Draft Growth]],-1,0) - SUM(TblMili[[#This Row],[Train Unit 1]:[Train Spies]],TblMili[[#This Row],[Train Wiz]]) - TblMili[[#This Row],[Release Draft]] + SUM(TblMili[[#This Row],[Release Unit 1]:[Release AM]]) - TblExplore[[#This Row],[Draftees (2)]]</f>
        <v>246</v>
      </c>
      <c r="AB30" s="157"/>
      <c r="AC30" s="183">
        <f ca="1">(TblConstr[[#This Row],[Tot Smi]]+TblConstr[[#This Row],[Dest Smi]])/(TblConstr[[#This Row],[Land]]-TblExplore[[#This Row],[Land Bonus]]*20)</f>
        <v>0</v>
      </c>
      <c r="AD30" s="140"/>
      <c r="AE30" s="261">
        <f>TblMili[[#This Row],[Hour]]</f>
        <v>27</v>
      </c>
      <c r="AF30" s="141">
        <f ca="1">TblExplore[[#This Row],[Time]]</f>
        <v>45430.83333333327</v>
      </c>
      <c r="AG30" s="182"/>
      <c r="AH30" s="182"/>
      <c r="AI30" s="182"/>
      <c r="AJ30" s="182"/>
      <c r="AK30" s="182"/>
      <c r="AL30" s="182"/>
      <c r="AM30" s="182"/>
      <c r="AN30" s="182"/>
      <c r="AO30" s="145"/>
      <c r="AP30" s="97">
        <f ca="1">TblProd[[#This Row],[Platinum]]</f>
        <v>79053</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45430.83333333327</v>
      </c>
      <c r="AV30" s="97">
        <f ca="1">TblMili[[#This Row],[Draftees]]</f>
        <v>246</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300</v>
      </c>
      <c r="BJ30" s="97">
        <f ca="1">ROUNDUP(IF(race="Gnome",1,(1-MIN(TblMili[[#This Row],[Smithies]]*smithy_bonus,smithy_bonus_cap) + tech_3_5*TblTech[[#This Row],[3-5]] + tech_5_3*TblTech[[#This Row],[5-3]] + tech_5_5*TblTech[[#This Row],[5-5]]))*spec_op_ore,0)</f>
        <v>0</v>
      </c>
      <c r="BK30" s="97">
        <f ca="1">ROUNDUP((1-MIN(TblMili[[#This Row],[Smithies]]*smithy_bonus,smithy_bonus_cap) + tech_3_5*TblTech[[#This Row],[3-5]] + tech_5_3*TblTech[[#This Row],[5-3]] + tech_5_5*TblTech[[#This Row],[5-5]])*spec_dp_plat,0)</f>
        <v>300</v>
      </c>
      <c r="BL30" s="97">
        <f ca="1">ROUNDUP(IF(race="Gnome",1,(1-MIN(TblMili[[#This Row],[Smithies]]*smithy_bonus,smithy_bonus_cap) + tech_3_5*TblTech[[#This Row],[3-5]] + tech_5_3*TblTech[[#This Row],[5-3]] + tech_5_5*TblTech[[#This Row],[5-5]]))*spec_dp_ore,0)</f>
        <v>0</v>
      </c>
      <c r="BM30" s="97">
        <f ca="1">ROUNDUP((1-MIN(TblMili[[#This Row],[Smithies]]*smithy_bonus,smithy_bonus_cap) + tech_3_5*TblTech[[#This Row],[3-5]] + tech_5_3*TblTech[[#This Row],[5-3]] + tech_5_5*TblTech[[#This Row],[5-5]])*elite1_plat,0)</f>
        <v>925</v>
      </c>
      <c r="BN30" s="97">
        <f ca="1">ROUNDUP(IF(race="Gnome",1,(1-MIN(TblMili[[#This Row],[Smithies]]*smithy_bonus,smithy_bonus_cap) + tech_3_5*TblTech[[#This Row],[3-5]] + tech_5_3*TblTech[[#This Row],[5-3]] + tech_5_5*TblTech[[#This Row],[5-5]]))*elite1_ore,0)</f>
        <v>0</v>
      </c>
      <c r="BO30" s="97">
        <f ca="1">ROUNDUP((1-MIN(TblMili[[#This Row],[Smithies]]*smithy_bonus,smithy_bonus_cap) + tech_3_5*TblTech[[#This Row],[3-5]] + tech_5_3*TblTech[[#This Row],[5-3]] + tech_5_5*TblTech[[#This Row],[5-5]])*elite2_plat,0)</f>
        <v>950</v>
      </c>
      <c r="BP30" s="97">
        <f ca="1">ROUNDUP(IF(race="Gnome",1,(1-MIN(TblMili[[#This Row],[Smithies]]*smithy_bonus,smithy_bonus_cap) + tech_3_5*TblTech[[#This Row],[3-5]] + tech_5_3*TblTech[[#This Row],[5-3]] + tech_5_5*TblTech[[#This Row],[5-5]]))*elite2_ore,0)</f>
        <v>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v>
      </c>
      <c r="BW30" s="160">
        <f ca="1">TblMili[[#This Row],[WG''s]]</f>
        <v>0</v>
      </c>
      <c r="BX30" s="266">
        <f ca="1">IF(mystic_cap="none",TblMili[[#This Row],[Hill]]/mystic_bonus,MIN(mystic_cap,TblMili[[#This Row],[Hill]]/mystic_bonus))</f>
        <v>0</v>
      </c>
      <c r="BY30" s="266">
        <f ca="1">IF(druid_op_cap="none",TblMili[[#This Row],[Hill]]/druid_op_bonus,MIN(druid_op_cap,TblMili[[#This Row],[Hill]]/druid_op_bonus))</f>
        <v>0</v>
      </c>
      <c r="BZ30" s="266">
        <f ca="1">IF(druid_dp_cap="none",TblMili[[#This Row],[Hill]]/druid_dp_bonus,MIN(druid_dp_cap,TblMili[[#This Row],[Hill]]/druid_dp_bonus))</f>
        <v>0</v>
      </c>
      <c r="CA30" s="266">
        <f ca="1">MIN(dryad_cap,TblMili[[#This Row],[Hill]]/dryad_bonus)</f>
        <v>0</v>
      </c>
      <c r="CB30" s="266">
        <f ca="1">MIN(rocka_cap,TblMili[[#This Row],[Hill]]/rocka_bonus)</f>
        <v>0</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0</v>
      </c>
      <c r="CH30" s="45">
        <f ca="1">MIN(ice_elem_cap,TblMili[[#This Row],[Raw (2)]]*ice_elem_bonus)</f>
        <v>0</v>
      </c>
      <c r="CI30" s="266">
        <f t="shared" si="0"/>
        <v>0.83333333333333337</v>
      </c>
      <c r="CJ30" s="266">
        <f ca="1">MIN(nox_nightshade_cap,TblConstr[[#This Row],[Homeland]]/TblConstr[[#This Row],[Land]]/nox_nightshade_swamp_bonus)</f>
        <v>0</v>
      </c>
      <c r="CK30" s="267"/>
      <c r="CL30" s="267"/>
      <c r="CM30" s="267"/>
      <c r="CN30" s="266">
        <f ca="1">MIN(6,TblMili[[#This Row],[Mystic]]+Races!$F$19)*1.8 +  IF(TblMili[[#This Row],[Mystic]]+Races!$F$19&gt;6,(TblMili[[#This Row],[Mystic]]+Races!$F$19-6)*0.2,0) - Races!$I$19</f>
        <v>0</v>
      </c>
      <c r="CO30" s="266">
        <f ca="1">1.8 * MIN(MAX(TblMili[[#This Row],[Druid (op)]]+Races!$E$20,TblMili[[#This Row],[Druid (dp)]]+Races!$F$20),6)  +  0.45 * MIN(MIN(TblMili[[#This Row],[Druid (op)]]+Races!$E$20,TblMili[[#This Row],[Druid (dp)]]+Races!$F$20),6)  +  0.2 * ( MAX(TblMili[[#This Row],[Druid (op)]]+Races!$E$20-6,0) + MAX(TblMili[[#This Row],[Druid (dp)]]+Races!$F$20-6,0) )  -  Races!$I$20</f>
        <v>0</v>
      </c>
      <c r="CP30" s="97">
        <f ca="1">TblMili[[#This Row],[Mystic bonus]]*TblMili[[#This Row],[Unit 3]]+TblMili[[#This Row],[Druid bonus]]*TblMili[[#This Row],[Unit 4]]</f>
        <v>0</v>
      </c>
      <c r="CQ30" s="158">
        <f ca="1">MIN(6,TblMili[[#This Row],[Dryad]]+Races!$F$35)*1.8 +  IF(TblMili[[#This Row],[Dryad]]+Races!$F$35&gt;6,(TblMili[[#This Row],[Dryad]]+Races!$F$35-6)*0.2,0) - Races!$I$19</f>
        <v>-1.7999999999999998</v>
      </c>
      <c r="CR30" s="97">
        <f ca="1">sylvan*(TblMili[[#This Row],[Mystic bonus]]*TblMili[[#This Row],[Unit 3]])</f>
        <v>0</v>
      </c>
      <c r="CS30" s="158">
        <f ca="1">1.8 * MIN(MAX(Races!$E$27,TblMili[[#This Row],[Rockapult]]+Races!$F$27),6)  +  0.45 * MIN(MIN(Races!$E$27,TblMili[[#This Row],[Rockapult]]+Races!$F$27),6)  +  0.2 * ( MAX(Races!$E$27-6,0) + MAX(TblMili[[#This Row],[Rockapult]]+Races!$F$27-6,0) )  -  Races!$I$20</f>
        <v>2.2499999999999991</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0</v>
      </c>
      <c r="CX30" s="158">
        <f ca="1">1.8 * MIN(MAX(TblMili[[#This Row],[Ice Elemental]]+Races!$E$71,Races!$F$71),6)  +  0.45 * MIN(MIN(TblMili[[#This Row],[Ice Elemental]]+Races!$E$71,Races!$F$71),6)  +  0.2 * ( MAX(TblMili[[#This Row],[Ice Elemental]]+Races!$E$71-6,0) + MAX(Races!$F$71-6,0) )  -  Races!$I$71</f>
        <v>0</v>
      </c>
      <c r="CY30" s="97">
        <f ca="1">TblMili[[#This Row],[Frost Mage bonus]]*TblMili[[#This Row],[Unit 3]]+TblMili[[#This Row],[Ice Elemental bonus]]*TblMili[[#This Row],[Unit 4]]</f>
        <v>0</v>
      </c>
      <c r="CZ30" s="268"/>
      <c r="DA30" s="146">
        <f ca="1">MIN(SUM(TblConstr[[#This Row],[Plain]:[Water]])/TblMili[[#This Row],[Land]]/favorable_terrain_bonus/100,favorable_terrain_max)</f>
        <v>0</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7230</v>
      </c>
      <c r="DD30" s="145"/>
      <c r="DE30" s="269">
        <f ca="1">(TblMili[[#This Row],[Wizards]]+2*TblMili[[#This Row],[Archmages]])/TblConstr[[#This Row],[Land]]</f>
        <v>0</v>
      </c>
      <c r="DF30" s="269">
        <f ca="1">TblMili[[#This Row],[Raw (2)]]*(1+race_wizard_strength+IF(TblMili[[#This Row],[Hour]]&gt;72,tech_magical_weaponry_wiz*TblTech[[#This Row],[3-5]],0))</f>
        <v>0</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287</v>
      </c>
      <c r="C31" s="160">
        <f ca="1">TblPop[[#This Row],[Military%]]</f>
        <v>6.2486392336163731E-2</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5"/>
      <c r="N31" s="97">
        <f ca="1">TblProd[[#This Row],[Networth]]</f>
        <v>7230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287</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287</v>
      </c>
      <c r="X31" s="262">
        <f ca="1">TblConstr[[#This Row],[Land]]</f>
        <v>299</v>
      </c>
      <c r="Y31" s="265"/>
      <c r="Z31" s="270">
        <f ca="1">IF(TblMili[[#This Row],[Set]]&lt;&gt;"",TblMili[[#This Row],[Set]],OFFSET(TblMili[[#This Row],[Draftrate]],-1,0))</f>
        <v>0.9</v>
      </c>
      <c r="AA31" s="97">
        <f ca="1">OFFSET(TblMili[[#This Row],[Draftees]],-1,0)+OFFSET(TblPop[[#This Row],[Draft Growth]],-1,0) - SUM(TblMili[[#This Row],[Train Unit 1]:[Train Spies]],TblMili[[#This Row],[Train Wiz]]) - TblMili[[#This Row],[Release Draft]] + SUM(TblMili[[#This Row],[Release Unit 1]:[Release AM]]) - TblExplore[[#This Row],[Draftees (2)]]</f>
        <v>287</v>
      </c>
      <c r="AB31" s="157"/>
      <c r="AC31" s="183">
        <f ca="1">(TblConstr[[#This Row],[Tot Smi]]+TblConstr[[#This Row],[Dest Smi]])/(TblConstr[[#This Row],[Land]]-TblExplore[[#This Row],[Land Bonus]]*20)</f>
        <v>0</v>
      </c>
      <c r="AD31" s="140"/>
      <c r="AE31" s="261">
        <f>TblMili[[#This Row],[Hour]]</f>
        <v>28</v>
      </c>
      <c r="AF31" s="141">
        <f ca="1">TblExplore[[#This Row],[Time]]</f>
        <v>45430.874999999935</v>
      </c>
      <c r="AG31" s="182"/>
      <c r="AH31" s="182"/>
      <c r="AI31" s="182"/>
      <c r="AJ31" s="182"/>
      <c r="AK31" s="182"/>
      <c r="AL31" s="182"/>
      <c r="AM31" s="182"/>
      <c r="AN31" s="182"/>
      <c r="AO31" s="145"/>
      <c r="AP31" s="97">
        <f ca="1">TblProd[[#This Row],[Platinum]]</f>
        <v>99065</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45430.874999999935</v>
      </c>
      <c r="AV31" s="97">
        <f ca="1">TblMili[[#This Row],[Draftees]]</f>
        <v>287</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300</v>
      </c>
      <c r="BJ31" s="97">
        <f ca="1">ROUNDUP(IF(race="Gnome",1,(1-MIN(TblMili[[#This Row],[Smithies]]*smithy_bonus,smithy_bonus_cap) + tech_3_5*TblTech[[#This Row],[3-5]] + tech_5_3*TblTech[[#This Row],[5-3]] + tech_5_5*TblTech[[#This Row],[5-5]]))*spec_op_ore,0)</f>
        <v>0</v>
      </c>
      <c r="BK31" s="97">
        <f ca="1">ROUNDUP((1-MIN(TblMili[[#This Row],[Smithies]]*smithy_bonus,smithy_bonus_cap) + tech_3_5*TblTech[[#This Row],[3-5]] + tech_5_3*TblTech[[#This Row],[5-3]] + tech_5_5*TblTech[[#This Row],[5-5]])*spec_dp_plat,0)</f>
        <v>300</v>
      </c>
      <c r="BL31" s="97">
        <f ca="1">ROUNDUP(IF(race="Gnome",1,(1-MIN(TblMili[[#This Row],[Smithies]]*smithy_bonus,smithy_bonus_cap) + tech_3_5*TblTech[[#This Row],[3-5]] + tech_5_3*TblTech[[#This Row],[5-3]] + tech_5_5*TblTech[[#This Row],[5-5]]))*spec_dp_ore,0)</f>
        <v>0</v>
      </c>
      <c r="BM31" s="97">
        <f ca="1">ROUNDUP((1-MIN(TblMili[[#This Row],[Smithies]]*smithy_bonus,smithy_bonus_cap) + tech_3_5*TblTech[[#This Row],[3-5]] + tech_5_3*TblTech[[#This Row],[5-3]] + tech_5_5*TblTech[[#This Row],[5-5]])*elite1_plat,0)</f>
        <v>925</v>
      </c>
      <c r="BN31" s="97">
        <f ca="1">ROUNDUP(IF(race="Gnome",1,(1-MIN(TblMili[[#This Row],[Smithies]]*smithy_bonus,smithy_bonus_cap) + tech_3_5*TblTech[[#This Row],[3-5]] + tech_5_3*TblTech[[#This Row],[5-3]] + tech_5_5*TblTech[[#This Row],[5-5]]))*elite1_ore,0)</f>
        <v>0</v>
      </c>
      <c r="BO31" s="97">
        <f ca="1">ROUNDUP((1-MIN(TblMili[[#This Row],[Smithies]]*smithy_bonus,smithy_bonus_cap) + tech_3_5*TblTech[[#This Row],[3-5]] + tech_5_3*TblTech[[#This Row],[5-3]] + tech_5_5*TblTech[[#This Row],[5-5]])*elite2_plat,0)</f>
        <v>950</v>
      </c>
      <c r="BP31" s="97">
        <f ca="1">ROUNDUP(IF(race="Gnome",1,(1-MIN(TblMili[[#This Row],[Smithies]]*smithy_bonus,smithy_bonus_cap) + tech_3_5*TblTech[[#This Row],[3-5]] + tech_5_3*TblTech[[#This Row],[5-3]] + tech_5_5*TblTech[[#This Row],[5-5]]))*elite2_ore,0)</f>
        <v>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v>
      </c>
      <c r="BW31" s="160">
        <f ca="1">TblMili[[#This Row],[WG''s]]</f>
        <v>0</v>
      </c>
      <c r="BX31" s="266">
        <f ca="1">IF(mystic_cap="none",TblMili[[#This Row],[Hill]]/mystic_bonus,MIN(mystic_cap,TblMili[[#This Row],[Hill]]/mystic_bonus))</f>
        <v>0</v>
      </c>
      <c r="BY31" s="266">
        <f ca="1">IF(druid_op_cap="none",TblMili[[#This Row],[Hill]]/druid_op_bonus,MIN(druid_op_cap,TblMili[[#This Row],[Hill]]/druid_op_bonus))</f>
        <v>0</v>
      </c>
      <c r="BZ31" s="266">
        <f ca="1">IF(druid_dp_cap="none",TblMili[[#This Row],[Hill]]/druid_dp_bonus,MIN(druid_dp_cap,TblMili[[#This Row],[Hill]]/druid_dp_bonus))</f>
        <v>0</v>
      </c>
      <c r="CA31" s="266">
        <f ca="1">MIN(dryad_cap,TblMili[[#This Row],[Hill]]/dryad_bonus)</f>
        <v>0</v>
      </c>
      <c r="CB31" s="266">
        <f ca="1">MIN(rocka_cap,TblMili[[#This Row],[Hill]]/rocka_bonus)</f>
        <v>0</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0</v>
      </c>
      <c r="CH31" s="45">
        <f ca="1">MIN(ice_elem_cap,TblMili[[#This Row],[Raw (2)]]*ice_elem_bonus)</f>
        <v>0</v>
      </c>
      <c r="CI31" s="266">
        <f t="shared" si="0"/>
        <v>0.83333333333333337</v>
      </c>
      <c r="CJ31" s="266">
        <f ca="1">MIN(nox_nightshade_cap,TblConstr[[#This Row],[Homeland]]/TblConstr[[#This Row],[Land]]/nox_nightshade_swamp_bonus)</f>
        <v>0</v>
      </c>
      <c r="CK31" s="267"/>
      <c r="CL31" s="267"/>
      <c r="CM31" s="267"/>
      <c r="CN31" s="266">
        <f ca="1">MIN(6,TblMili[[#This Row],[Mystic]]+Races!$F$19)*1.8 +  IF(TblMili[[#This Row],[Mystic]]+Races!$F$19&gt;6,(TblMili[[#This Row],[Mystic]]+Races!$F$19-6)*0.2,0) - Races!$I$19</f>
        <v>0</v>
      </c>
      <c r="CO31" s="266">
        <f ca="1">1.8 * MIN(MAX(TblMili[[#This Row],[Druid (op)]]+Races!$E$20,TblMili[[#This Row],[Druid (dp)]]+Races!$F$20),6)  +  0.45 * MIN(MIN(TblMili[[#This Row],[Druid (op)]]+Races!$E$20,TblMili[[#This Row],[Druid (dp)]]+Races!$F$20),6)  +  0.2 * ( MAX(TblMili[[#This Row],[Druid (op)]]+Races!$E$20-6,0) + MAX(TblMili[[#This Row],[Druid (dp)]]+Races!$F$20-6,0) )  -  Races!$I$20</f>
        <v>0</v>
      </c>
      <c r="CP31" s="97">
        <f ca="1">TblMili[[#This Row],[Mystic bonus]]*TblMili[[#This Row],[Unit 3]]+TblMili[[#This Row],[Druid bonus]]*TblMili[[#This Row],[Unit 4]]</f>
        <v>0</v>
      </c>
      <c r="CQ31" s="158">
        <f ca="1">MIN(6,TblMili[[#This Row],[Dryad]]+Races!$F$35)*1.8 +  IF(TblMili[[#This Row],[Dryad]]+Races!$F$35&gt;6,(TblMili[[#This Row],[Dryad]]+Races!$F$35-6)*0.2,0) - Races!$I$19</f>
        <v>-1.7999999999999998</v>
      </c>
      <c r="CR31" s="97">
        <f ca="1">sylvan*(TblMili[[#This Row],[Mystic bonus]]*TblMili[[#This Row],[Unit 3]])</f>
        <v>0</v>
      </c>
      <c r="CS31" s="158">
        <f ca="1">1.8 * MIN(MAX(Races!$E$27,TblMili[[#This Row],[Rockapult]]+Races!$F$27),6)  +  0.45 * MIN(MIN(Races!$E$27,TblMili[[#This Row],[Rockapult]]+Races!$F$27),6)  +  0.2 * ( MAX(Races!$E$27-6,0) + MAX(TblMili[[#This Row],[Rockapult]]+Races!$F$27-6,0) )  -  Races!$I$20</f>
        <v>2.2499999999999991</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0</v>
      </c>
      <c r="CX31" s="158">
        <f ca="1">1.8 * MIN(MAX(TblMili[[#This Row],[Ice Elemental]]+Races!$E$71,Races!$F$71),6)  +  0.45 * MIN(MIN(TblMili[[#This Row],[Ice Elemental]]+Races!$E$71,Races!$F$71),6)  +  0.2 * ( MAX(TblMili[[#This Row],[Ice Elemental]]+Races!$E$71-6,0) + MAX(Races!$F$71-6,0) )  -  Races!$I$71</f>
        <v>0</v>
      </c>
      <c r="CY31" s="97">
        <f ca="1">TblMili[[#This Row],[Frost Mage bonus]]*TblMili[[#This Row],[Unit 3]]+TblMili[[#This Row],[Ice Elemental bonus]]*TblMili[[#This Row],[Unit 4]]</f>
        <v>0</v>
      </c>
      <c r="CZ31" s="268"/>
      <c r="DA31" s="146">
        <f ca="1">MIN(SUM(TblConstr[[#This Row],[Plain]:[Water]])/TblMili[[#This Row],[Land]]/favorable_terrain_bonus/100,favorable_terrain_max)</f>
        <v>0</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7230</v>
      </c>
      <c r="DD31" s="145"/>
      <c r="DE31" s="269">
        <f ca="1">(TblMili[[#This Row],[Wizards]]+2*TblMili[[#This Row],[Archmages]])/TblConstr[[#This Row],[Land]]</f>
        <v>0</v>
      </c>
      <c r="DF31" s="269">
        <f ca="1">TblMili[[#This Row],[Raw (2)]]*(1+race_wizard_strength+IF(TblMili[[#This Row],[Hour]]&gt;72,tech_magical_weaponry_wiz*TblTech[[#This Row],[3-5]],0))</f>
        <v>0</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2</v>
      </c>
      <c r="C32" s="160">
        <f ca="1">TblPop[[#This Row],[Military%]]</f>
        <v>4.4454323182929539E-4</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5"/>
      <c r="N32" s="97">
        <f ca="1">TblProd[[#This Row],[Networth]]</f>
        <v>7230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2</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2</v>
      </c>
      <c r="X32" s="262">
        <f ca="1">TblConstr[[#This Row],[Land]]</f>
        <v>299</v>
      </c>
      <c r="Y32" s="265"/>
      <c r="Z32" s="270">
        <f ca="1">IF(TblMili[[#This Row],[Set]]&lt;&gt;"",TblMili[[#This Row],[Set]],OFFSET(TblMili[[#This Row],[Draftrate]],-1,0))</f>
        <v>0.9</v>
      </c>
      <c r="AA32" s="97">
        <f ca="1">OFFSET(TblMili[[#This Row],[Draftees]],-1,0)+OFFSET(TblPop[[#This Row],[Draft Growth]],-1,0) - SUM(TblMili[[#This Row],[Train Unit 1]:[Train Spies]],TblMili[[#This Row],[Train Wiz]]) - TblMili[[#This Row],[Release Draft]] + SUM(TblMili[[#This Row],[Release Unit 1]:[Release AM]]) - TblExplore[[#This Row],[Draftees (2)]]</f>
        <v>2</v>
      </c>
      <c r="AB32" s="157"/>
      <c r="AC32" s="183">
        <f ca="1">(TblConstr[[#This Row],[Tot Smi]]+TblConstr[[#This Row],[Dest Smi]])/(TblConstr[[#This Row],[Land]]-TblExplore[[#This Row],[Land Bonus]]*20)</f>
        <v>0</v>
      </c>
      <c r="AD32" s="140"/>
      <c r="AE32" s="261">
        <f>TblMili[[#This Row],[Hour]]</f>
        <v>29</v>
      </c>
      <c r="AF32" s="141">
        <f ca="1">TblExplore[[#This Row],[Time]]</f>
        <v>45430.916666666599</v>
      </c>
      <c r="AG32" s="182"/>
      <c r="AH32" s="182"/>
      <c r="AI32" s="182"/>
      <c r="AJ32" s="182"/>
      <c r="AK32" s="182"/>
      <c r="AL32" s="182"/>
      <c r="AM32" s="182"/>
      <c r="AN32" s="182"/>
      <c r="AO32" s="145"/>
      <c r="AP32" s="97">
        <f ca="1">TblProd[[#This Row],[Platinum]]</f>
        <v>38976</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45430.916666666599</v>
      </c>
      <c r="AV32" s="97">
        <f ca="1">TblMili[[#This Row],[Draftees]]</f>
        <v>2</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300</v>
      </c>
      <c r="BJ32" s="97">
        <f ca="1">ROUNDUP(IF(race="Gnome",1,(1-MIN(TblMili[[#This Row],[Smithies]]*smithy_bonus,smithy_bonus_cap) + tech_3_5*TblTech[[#This Row],[3-5]] + tech_5_3*TblTech[[#This Row],[5-3]] + tech_5_5*TblTech[[#This Row],[5-5]]))*spec_op_ore,0)</f>
        <v>0</v>
      </c>
      <c r="BK32" s="97">
        <f ca="1">ROUNDUP((1-MIN(TblMili[[#This Row],[Smithies]]*smithy_bonus,smithy_bonus_cap) + tech_3_5*TblTech[[#This Row],[3-5]] + tech_5_3*TblTech[[#This Row],[5-3]] + tech_5_5*TblTech[[#This Row],[5-5]])*spec_dp_plat,0)</f>
        <v>300</v>
      </c>
      <c r="BL32" s="97">
        <f ca="1">ROUNDUP(IF(race="Gnome",1,(1-MIN(TblMili[[#This Row],[Smithies]]*smithy_bonus,smithy_bonus_cap) + tech_3_5*TblTech[[#This Row],[3-5]] + tech_5_3*TblTech[[#This Row],[5-3]] + tech_5_5*TblTech[[#This Row],[5-5]]))*spec_dp_ore,0)</f>
        <v>0</v>
      </c>
      <c r="BM32" s="97">
        <f ca="1">ROUNDUP((1-MIN(TblMili[[#This Row],[Smithies]]*smithy_bonus,smithy_bonus_cap) + tech_3_5*TblTech[[#This Row],[3-5]] + tech_5_3*TblTech[[#This Row],[5-3]] + tech_5_5*TblTech[[#This Row],[5-5]])*elite1_plat,0)</f>
        <v>925</v>
      </c>
      <c r="BN32" s="97">
        <f ca="1">ROUNDUP(IF(race="Gnome",1,(1-MIN(TblMili[[#This Row],[Smithies]]*smithy_bonus,smithy_bonus_cap) + tech_3_5*TblTech[[#This Row],[3-5]] + tech_5_3*TblTech[[#This Row],[5-3]] + tech_5_5*TblTech[[#This Row],[5-5]]))*elite1_ore,0)</f>
        <v>0</v>
      </c>
      <c r="BO32" s="97">
        <f ca="1">ROUNDUP((1-MIN(TblMili[[#This Row],[Smithies]]*smithy_bonus,smithy_bonus_cap) + tech_3_5*TblTech[[#This Row],[3-5]] + tech_5_3*TblTech[[#This Row],[5-3]] + tech_5_5*TblTech[[#This Row],[5-5]])*elite2_plat,0)</f>
        <v>950</v>
      </c>
      <c r="BP32" s="97">
        <f ca="1">ROUNDUP(IF(race="Gnome",1,(1-MIN(TblMili[[#This Row],[Smithies]]*smithy_bonus,smithy_bonus_cap) + tech_3_5*TblTech[[#This Row],[3-5]] + tech_5_3*TblTech[[#This Row],[5-3]] + tech_5_5*TblTech[[#This Row],[5-5]]))*elite2_ore,0)</f>
        <v>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v>
      </c>
      <c r="BW32" s="160">
        <f ca="1">TblMili[[#This Row],[WG''s]]</f>
        <v>0</v>
      </c>
      <c r="BX32" s="266">
        <f ca="1">IF(mystic_cap="none",TblMili[[#This Row],[Hill]]/mystic_bonus,MIN(mystic_cap,TblMili[[#This Row],[Hill]]/mystic_bonus))</f>
        <v>0</v>
      </c>
      <c r="BY32" s="266">
        <f ca="1">IF(druid_op_cap="none",TblMili[[#This Row],[Hill]]/druid_op_bonus,MIN(druid_op_cap,TblMili[[#This Row],[Hill]]/druid_op_bonus))</f>
        <v>0</v>
      </c>
      <c r="BZ32" s="266">
        <f ca="1">IF(druid_dp_cap="none",TblMili[[#This Row],[Hill]]/druid_dp_bonus,MIN(druid_dp_cap,TblMili[[#This Row],[Hill]]/druid_dp_bonus))</f>
        <v>0</v>
      </c>
      <c r="CA32" s="266">
        <f ca="1">MIN(dryad_cap,TblMili[[#This Row],[Hill]]/dryad_bonus)</f>
        <v>0</v>
      </c>
      <c r="CB32" s="266">
        <f ca="1">MIN(rocka_cap,TblMili[[#This Row],[Hill]]/rocka_bonus)</f>
        <v>0</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0</v>
      </c>
      <c r="CH32" s="45">
        <f ca="1">MIN(ice_elem_cap,TblMili[[#This Row],[Raw (2)]]*ice_elem_bonus)</f>
        <v>0</v>
      </c>
      <c r="CI32" s="266">
        <f t="shared" si="0"/>
        <v>0.83333333333333337</v>
      </c>
      <c r="CJ32" s="266">
        <f ca="1">MIN(nox_nightshade_cap,TblConstr[[#This Row],[Homeland]]/TblConstr[[#This Row],[Land]]/nox_nightshade_swamp_bonus)</f>
        <v>0</v>
      </c>
      <c r="CK32" s="267"/>
      <c r="CL32" s="267"/>
      <c r="CM32" s="267"/>
      <c r="CN32" s="266">
        <f ca="1">MIN(6,TblMili[[#This Row],[Mystic]]+Races!$F$19)*1.8 +  IF(TblMili[[#This Row],[Mystic]]+Races!$F$19&gt;6,(TblMili[[#This Row],[Mystic]]+Races!$F$19-6)*0.2,0) - Races!$I$19</f>
        <v>0</v>
      </c>
      <c r="CO32" s="266">
        <f ca="1">1.8 * MIN(MAX(TblMili[[#This Row],[Druid (op)]]+Races!$E$20,TblMili[[#This Row],[Druid (dp)]]+Races!$F$20),6)  +  0.45 * MIN(MIN(TblMili[[#This Row],[Druid (op)]]+Races!$E$20,TblMili[[#This Row],[Druid (dp)]]+Races!$F$20),6)  +  0.2 * ( MAX(TblMili[[#This Row],[Druid (op)]]+Races!$E$20-6,0) + MAX(TblMili[[#This Row],[Druid (dp)]]+Races!$F$20-6,0) )  -  Races!$I$20</f>
        <v>0</v>
      </c>
      <c r="CP32" s="97">
        <f ca="1">TblMili[[#This Row],[Mystic bonus]]*TblMili[[#This Row],[Unit 3]]+TblMili[[#This Row],[Druid bonus]]*TblMili[[#This Row],[Unit 4]]</f>
        <v>0</v>
      </c>
      <c r="CQ32" s="158">
        <f ca="1">MIN(6,TblMili[[#This Row],[Dryad]]+Races!$F$35)*1.8 +  IF(TblMili[[#This Row],[Dryad]]+Races!$F$35&gt;6,(TblMili[[#This Row],[Dryad]]+Races!$F$35-6)*0.2,0) - Races!$I$19</f>
        <v>-1.7999999999999998</v>
      </c>
      <c r="CR32" s="97">
        <f ca="1">sylvan*(TblMili[[#This Row],[Mystic bonus]]*TblMili[[#This Row],[Unit 3]])</f>
        <v>0</v>
      </c>
      <c r="CS32" s="158">
        <f ca="1">1.8 * MIN(MAX(Races!$E$27,TblMili[[#This Row],[Rockapult]]+Races!$F$27),6)  +  0.45 * MIN(MIN(Races!$E$27,TblMili[[#This Row],[Rockapult]]+Races!$F$27),6)  +  0.2 * ( MAX(Races!$E$27-6,0) + MAX(TblMili[[#This Row],[Rockapult]]+Races!$F$27-6,0) )  -  Races!$I$20</f>
        <v>2.2499999999999991</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0</v>
      </c>
      <c r="CX32" s="158">
        <f ca="1">1.8 * MIN(MAX(TblMili[[#This Row],[Ice Elemental]]+Races!$E$71,Races!$F$71),6)  +  0.45 * MIN(MIN(TblMili[[#This Row],[Ice Elemental]]+Races!$E$71,Races!$F$71),6)  +  0.2 * ( MAX(TblMili[[#This Row],[Ice Elemental]]+Races!$E$71-6,0) + MAX(Races!$F$71-6,0) )  -  Races!$I$71</f>
        <v>0</v>
      </c>
      <c r="CY32" s="97">
        <f ca="1">TblMili[[#This Row],[Frost Mage bonus]]*TblMili[[#This Row],[Unit 3]]+TblMili[[#This Row],[Ice Elemental bonus]]*TblMili[[#This Row],[Unit 4]]</f>
        <v>0</v>
      </c>
      <c r="CZ32" s="268"/>
      <c r="DA32" s="146">
        <f ca="1">MIN(SUM(TblConstr[[#This Row],[Plain]:[Water]])/TblMili[[#This Row],[Land]]/favorable_terrain_bonus/100,favorable_terrain_max)</f>
        <v>0</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7230</v>
      </c>
      <c r="DD32" s="145"/>
      <c r="DE32" s="269">
        <f ca="1">(TblMili[[#This Row],[Wizards]]+2*TblMili[[#This Row],[Archmages]])/TblConstr[[#This Row],[Land]]</f>
        <v>0</v>
      </c>
      <c r="DF32" s="269">
        <f ca="1">TblMili[[#This Row],[Raw (2)]]*(1+race_wizard_strength+IF(TblMili[[#This Row],[Hour]]&gt;72,tech_magical_weaponry_wiz*TblTech[[#This Row],[3-5]],0))</f>
        <v>0</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2</v>
      </c>
      <c r="C33" s="160">
        <f ca="1">TblPop[[#This Row],[Military%]]</f>
        <v>4.2052144659377626E-4</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5"/>
      <c r="N33" s="97">
        <f ca="1">TblProd[[#This Row],[Networth]]</f>
        <v>8750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2</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2</v>
      </c>
      <c r="X33" s="262">
        <f ca="1">TblConstr[[#This Row],[Land]]</f>
        <v>369</v>
      </c>
      <c r="Y33" s="265"/>
      <c r="Z33" s="270">
        <f ca="1">IF(TblMili[[#This Row],[Set]]&lt;&gt;"",TblMili[[#This Row],[Set]],OFFSET(TblMili[[#This Row],[Draftrate]],-1,0))</f>
        <v>0.9</v>
      </c>
      <c r="AA33" s="97">
        <f ca="1">OFFSET(TblMili[[#This Row],[Draftees]],-1,0)+OFFSET(TblPop[[#This Row],[Draft Growth]],-1,0) - SUM(TblMili[[#This Row],[Train Unit 1]:[Train Spies]],TblMili[[#This Row],[Train Wiz]]) - TblMili[[#This Row],[Release Draft]] + SUM(TblMili[[#This Row],[Release Unit 1]:[Release AM]]) - TblExplore[[#This Row],[Draftees (2)]]</f>
        <v>2</v>
      </c>
      <c r="AB33" s="157"/>
      <c r="AC33" s="183">
        <f ca="1">(TblConstr[[#This Row],[Tot Smi]]+TblConstr[[#This Row],[Dest Smi]])/(TblConstr[[#This Row],[Land]]-TblExplore[[#This Row],[Land Bonus]]*20)</f>
        <v>0</v>
      </c>
      <c r="AD33" s="140"/>
      <c r="AE33" s="261">
        <f>TblMili[[#This Row],[Hour]]</f>
        <v>30</v>
      </c>
      <c r="AF33" s="141">
        <f ca="1">TblExplore[[#This Row],[Time]]</f>
        <v>45430.958333333263</v>
      </c>
      <c r="AG33" s="182"/>
      <c r="AH33" s="182"/>
      <c r="AI33" s="182"/>
      <c r="AJ33" s="182"/>
      <c r="AK33" s="182"/>
      <c r="AL33" s="182"/>
      <c r="AM33" s="182"/>
      <c r="AN33" s="182"/>
      <c r="AO33" s="145"/>
      <c r="AP33" s="97">
        <f ca="1">TblProd[[#This Row],[Platinum]]</f>
        <v>21478</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45430.958333333263</v>
      </c>
      <c r="AV33" s="97">
        <f ca="1">TblMili[[#This Row],[Draftees]]</f>
        <v>2</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300</v>
      </c>
      <c r="BJ33" s="97">
        <f ca="1">ROUNDUP(IF(race="Gnome",1,(1-MIN(TblMili[[#This Row],[Smithies]]*smithy_bonus,smithy_bonus_cap) + tech_3_5*TblTech[[#This Row],[3-5]] + tech_5_3*TblTech[[#This Row],[5-3]] + tech_5_5*TblTech[[#This Row],[5-5]]))*spec_op_ore,0)</f>
        <v>0</v>
      </c>
      <c r="BK33" s="97">
        <f ca="1">ROUNDUP((1-MIN(TblMili[[#This Row],[Smithies]]*smithy_bonus,smithy_bonus_cap) + tech_3_5*TblTech[[#This Row],[3-5]] + tech_5_3*TblTech[[#This Row],[5-3]] + tech_5_5*TblTech[[#This Row],[5-5]])*spec_dp_plat,0)</f>
        <v>300</v>
      </c>
      <c r="BL33" s="97">
        <f ca="1">ROUNDUP(IF(race="Gnome",1,(1-MIN(TblMili[[#This Row],[Smithies]]*smithy_bonus,smithy_bonus_cap) + tech_3_5*TblTech[[#This Row],[3-5]] + tech_5_3*TblTech[[#This Row],[5-3]] + tech_5_5*TblTech[[#This Row],[5-5]]))*spec_dp_ore,0)</f>
        <v>0</v>
      </c>
      <c r="BM33" s="97">
        <f ca="1">ROUNDUP((1-MIN(TblMili[[#This Row],[Smithies]]*smithy_bonus,smithy_bonus_cap) + tech_3_5*TblTech[[#This Row],[3-5]] + tech_5_3*TblTech[[#This Row],[5-3]] + tech_5_5*TblTech[[#This Row],[5-5]])*elite1_plat,0)</f>
        <v>925</v>
      </c>
      <c r="BN33" s="97">
        <f ca="1">ROUNDUP(IF(race="Gnome",1,(1-MIN(TblMili[[#This Row],[Smithies]]*smithy_bonus,smithy_bonus_cap) + tech_3_5*TblTech[[#This Row],[3-5]] + tech_5_3*TblTech[[#This Row],[5-3]] + tech_5_5*TblTech[[#This Row],[5-5]]))*elite1_ore,0)</f>
        <v>0</v>
      </c>
      <c r="BO33" s="97">
        <f ca="1">ROUNDUP((1-MIN(TblMili[[#This Row],[Smithies]]*smithy_bonus,smithy_bonus_cap) + tech_3_5*TblTech[[#This Row],[3-5]] + tech_5_3*TblTech[[#This Row],[5-3]] + tech_5_5*TblTech[[#This Row],[5-5]])*elite2_plat,0)</f>
        <v>950</v>
      </c>
      <c r="BP33" s="97">
        <f ca="1">ROUNDUP(IF(race="Gnome",1,(1-MIN(TblMili[[#This Row],[Smithies]]*smithy_bonus,smithy_bonus_cap) + tech_3_5*TblTech[[#This Row],[3-5]] + tech_5_3*TblTech[[#This Row],[5-3]] + tech_5_5*TblTech[[#This Row],[5-5]]))*elite2_ore,0)</f>
        <v>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v>
      </c>
      <c r="BW33" s="160">
        <f ca="1">TblMili[[#This Row],[WG''s]]</f>
        <v>0</v>
      </c>
      <c r="BX33" s="266">
        <f ca="1">IF(mystic_cap="none",TblMili[[#This Row],[Hill]]/mystic_bonus,MIN(mystic_cap,TblMili[[#This Row],[Hill]]/mystic_bonus))</f>
        <v>0</v>
      </c>
      <c r="BY33" s="266">
        <f ca="1">IF(druid_op_cap="none",TblMili[[#This Row],[Hill]]/druid_op_bonus,MIN(druid_op_cap,TblMili[[#This Row],[Hill]]/druid_op_bonus))</f>
        <v>0</v>
      </c>
      <c r="BZ33" s="266">
        <f ca="1">IF(druid_dp_cap="none",TblMili[[#This Row],[Hill]]/druid_dp_bonus,MIN(druid_dp_cap,TblMili[[#This Row],[Hill]]/druid_dp_bonus))</f>
        <v>0</v>
      </c>
      <c r="CA33" s="266">
        <f ca="1">MIN(dryad_cap,TblMili[[#This Row],[Hill]]/dryad_bonus)</f>
        <v>0</v>
      </c>
      <c r="CB33" s="266">
        <f ca="1">MIN(rocka_cap,TblMili[[#This Row],[Hill]]/rocka_bonus)</f>
        <v>0</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0</v>
      </c>
      <c r="CH33" s="45">
        <f ca="1">MIN(ice_elem_cap,TblMili[[#This Row],[Raw (2)]]*ice_elem_bonus)</f>
        <v>0</v>
      </c>
      <c r="CI33" s="266">
        <f t="shared" si="0"/>
        <v>0.83333333333333337</v>
      </c>
      <c r="CJ33" s="266">
        <f ca="1">MIN(nox_nightshade_cap,TblConstr[[#This Row],[Homeland]]/TblConstr[[#This Row],[Land]]/nox_nightshade_swamp_bonus)</f>
        <v>0</v>
      </c>
      <c r="CK33" s="267"/>
      <c r="CL33" s="267"/>
      <c r="CM33" s="267"/>
      <c r="CN33" s="266">
        <f ca="1">MIN(6,TblMili[[#This Row],[Mystic]]+Races!$F$19)*1.8 +  IF(TblMili[[#This Row],[Mystic]]+Races!$F$19&gt;6,(TblMili[[#This Row],[Mystic]]+Races!$F$19-6)*0.2,0) - Races!$I$19</f>
        <v>0</v>
      </c>
      <c r="CO33" s="266">
        <f ca="1">1.8 * MIN(MAX(TblMili[[#This Row],[Druid (op)]]+Races!$E$20,TblMili[[#This Row],[Druid (dp)]]+Races!$F$20),6)  +  0.45 * MIN(MIN(TblMili[[#This Row],[Druid (op)]]+Races!$E$20,TblMili[[#This Row],[Druid (dp)]]+Races!$F$20),6)  +  0.2 * ( MAX(TblMili[[#This Row],[Druid (op)]]+Races!$E$20-6,0) + MAX(TblMili[[#This Row],[Druid (dp)]]+Races!$F$20-6,0) )  -  Races!$I$20</f>
        <v>0</v>
      </c>
      <c r="CP33" s="97">
        <f ca="1">TblMili[[#This Row],[Mystic bonus]]*TblMili[[#This Row],[Unit 3]]+TblMili[[#This Row],[Druid bonus]]*TblMili[[#This Row],[Unit 4]]</f>
        <v>0</v>
      </c>
      <c r="CQ33" s="158">
        <f ca="1">MIN(6,TblMili[[#This Row],[Dryad]]+Races!$F$35)*1.8 +  IF(TblMili[[#This Row],[Dryad]]+Races!$F$35&gt;6,(TblMili[[#This Row],[Dryad]]+Races!$F$35-6)*0.2,0) - Races!$I$19</f>
        <v>-1.7999999999999998</v>
      </c>
      <c r="CR33" s="97">
        <f ca="1">sylvan*(TblMili[[#This Row],[Mystic bonus]]*TblMili[[#This Row],[Unit 3]])</f>
        <v>0</v>
      </c>
      <c r="CS33" s="158">
        <f ca="1">1.8 * MIN(MAX(Races!$E$27,TblMili[[#This Row],[Rockapult]]+Races!$F$27),6)  +  0.45 * MIN(MIN(Races!$E$27,TblMili[[#This Row],[Rockapult]]+Races!$F$27),6)  +  0.2 * ( MAX(Races!$E$27-6,0) + MAX(TblMili[[#This Row],[Rockapult]]+Races!$F$27-6,0) )  -  Races!$I$20</f>
        <v>2.2499999999999991</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0</v>
      </c>
      <c r="CX33" s="158">
        <f ca="1">1.8 * MIN(MAX(TblMili[[#This Row],[Ice Elemental]]+Races!$E$71,Races!$F$71),6)  +  0.45 * MIN(MIN(TblMili[[#This Row],[Ice Elemental]]+Races!$E$71,Races!$F$71),6)  +  0.2 * ( MAX(TblMili[[#This Row],[Ice Elemental]]+Races!$E$71-6,0) + MAX(Races!$F$71-6,0) )  -  Races!$I$71</f>
        <v>0</v>
      </c>
      <c r="CY33" s="97">
        <f ca="1">TblMili[[#This Row],[Frost Mage bonus]]*TblMili[[#This Row],[Unit 3]]+TblMili[[#This Row],[Ice Elemental bonus]]*TblMili[[#This Row],[Unit 4]]</f>
        <v>0</v>
      </c>
      <c r="CZ33" s="268"/>
      <c r="DA33" s="146">
        <f ca="1">MIN(SUM(TblConstr[[#This Row],[Plain]:[Water]])/TblMili[[#This Row],[Land]]/favorable_terrain_bonus/100,favorable_terrain_max)</f>
        <v>0</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8750</v>
      </c>
      <c r="DD33" s="145"/>
      <c r="DE33" s="269">
        <f ca="1">(TblMili[[#This Row],[Wizards]]+2*TblMili[[#This Row],[Archmages]])/TblConstr[[#This Row],[Land]]</f>
        <v>0</v>
      </c>
      <c r="DF33" s="269">
        <f ca="1">TblMili[[#This Row],[Raw (2)]]*(1+race_wizard_strength+IF(TblMili[[#This Row],[Hour]]&gt;72,tech_magical_weaponry_wiz*TblTech[[#This Row],[3-5]],0))</f>
        <v>0</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0</v>
      </c>
      <c r="C34" s="160">
        <f ca="1">TblPop[[#This Row],[Military%]]</f>
        <v>0</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5"/>
      <c r="N34" s="97">
        <f ca="1">TblProd[[#This Row],[Networth]]</f>
        <v>8975</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0</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0</v>
      </c>
      <c r="X34" s="262">
        <f ca="1">TblConstr[[#This Row],[Land]]</f>
        <v>380</v>
      </c>
      <c r="Y34" s="265"/>
      <c r="Z34" s="270">
        <f ca="1">IF(TblMili[[#This Row],[Set]]&lt;&gt;"",TblMili[[#This Row],[Set]],OFFSET(TblMili[[#This Row],[Draftrate]],-1,0))</f>
        <v>0.9</v>
      </c>
      <c r="AA34" s="97">
        <f ca="1">OFFSET(TblMili[[#This Row],[Draftees]],-1,0)+OFFSET(TblPop[[#This Row],[Draft Growth]],-1,0) - SUM(TblMili[[#This Row],[Train Unit 1]:[Train Spies]],TblMili[[#This Row],[Train Wiz]]) - TblMili[[#This Row],[Release Draft]] + SUM(TblMili[[#This Row],[Release Unit 1]:[Release AM]]) - TblExplore[[#This Row],[Draftees (2)]]</f>
        <v>0</v>
      </c>
      <c r="AB34" s="157"/>
      <c r="AC34" s="183">
        <f ca="1">(TblConstr[[#This Row],[Tot Smi]]+TblConstr[[#This Row],[Dest Smi]])/(TblConstr[[#This Row],[Land]]-TblExplore[[#This Row],[Land Bonus]]*20)</f>
        <v>0</v>
      </c>
      <c r="AD34" s="140"/>
      <c r="AE34" s="261">
        <f>TblMili[[#This Row],[Hour]]</f>
        <v>31</v>
      </c>
      <c r="AF34" s="141">
        <f ca="1">TblExplore[[#This Row],[Time]]</f>
        <v>45430.999999999927</v>
      </c>
      <c r="AG34" s="182"/>
      <c r="AH34" s="182"/>
      <c r="AI34" s="182"/>
      <c r="AJ34" s="182"/>
      <c r="AK34" s="182"/>
      <c r="AL34" s="182"/>
      <c r="AM34" s="182"/>
      <c r="AN34" s="182"/>
      <c r="AO34" s="145"/>
      <c r="AP34" s="97">
        <f ca="1">TblProd[[#This Row],[Platinum]]</f>
        <v>26412</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45430.999999999927</v>
      </c>
      <c r="AV34" s="97">
        <f ca="1">TblMili[[#This Row],[Draftees]]</f>
        <v>0</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300</v>
      </c>
      <c r="BJ34" s="97">
        <f ca="1">ROUNDUP(IF(race="Gnome",1,(1-MIN(TblMili[[#This Row],[Smithies]]*smithy_bonus,smithy_bonus_cap) + tech_3_5*TblTech[[#This Row],[3-5]] + tech_5_3*TblTech[[#This Row],[5-3]] + tech_5_5*TblTech[[#This Row],[5-5]]))*spec_op_ore,0)</f>
        <v>0</v>
      </c>
      <c r="BK34" s="97">
        <f ca="1">ROUNDUP((1-MIN(TblMili[[#This Row],[Smithies]]*smithy_bonus,smithy_bonus_cap) + tech_3_5*TblTech[[#This Row],[3-5]] + tech_5_3*TblTech[[#This Row],[5-3]] + tech_5_5*TblTech[[#This Row],[5-5]])*spec_dp_plat,0)</f>
        <v>300</v>
      </c>
      <c r="BL34" s="97">
        <f ca="1">ROUNDUP(IF(race="Gnome",1,(1-MIN(TblMili[[#This Row],[Smithies]]*smithy_bonus,smithy_bonus_cap) + tech_3_5*TblTech[[#This Row],[3-5]] + tech_5_3*TblTech[[#This Row],[5-3]] + tech_5_5*TblTech[[#This Row],[5-5]]))*spec_dp_ore,0)</f>
        <v>0</v>
      </c>
      <c r="BM34" s="97">
        <f ca="1">ROUNDUP((1-MIN(TblMili[[#This Row],[Smithies]]*smithy_bonus,smithy_bonus_cap) + tech_3_5*TblTech[[#This Row],[3-5]] + tech_5_3*TblTech[[#This Row],[5-3]] + tech_5_5*TblTech[[#This Row],[5-5]])*elite1_plat,0)</f>
        <v>925</v>
      </c>
      <c r="BN34" s="97">
        <f ca="1">ROUNDUP(IF(race="Gnome",1,(1-MIN(TblMili[[#This Row],[Smithies]]*smithy_bonus,smithy_bonus_cap) + tech_3_5*TblTech[[#This Row],[3-5]] + tech_5_3*TblTech[[#This Row],[5-3]] + tech_5_5*TblTech[[#This Row],[5-5]]))*elite1_ore,0)</f>
        <v>0</v>
      </c>
      <c r="BO34" s="97">
        <f ca="1">ROUNDUP((1-MIN(TblMili[[#This Row],[Smithies]]*smithy_bonus,smithy_bonus_cap) + tech_3_5*TblTech[[#This Row],[3-5]] + tech_5_3*TblTech[[#This Row],[5-3]] + tech_5_5*TblTech[[#This Row],[5-5]])*elite2_plat,0)</f>
        <v>950</v>
      </c>
      <c r="BP34" s="97">
        <f ca="1">ROUNDUP(IF(race="Gnome",1,(1-MIN(TblMili[[#This Row],[Smithies]]*smithy_bonus,smithy_bonus_cap) + tech_3_5*TblTech[[#This Row],[3-5]] + tech_5_3*TblTech[[#This Row],[5-3]] + tech_5_5*TblTech[[#This Row],[5-5]]))*elite2_ore,0)</f>
        <v>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v>
      </c>
      <c r="BW34" s="160">
        <f ca="1">TblMili[[#This Row],[WG''s]]</f>
        <v>0</v>
      </c>
      <c r="BX34" s="266">
        <f ca="1">IF(mystic_cap="none",TblMili[[#This Row],[Hill]]/mystic_bonus,MIN(mystic_cap,TblMili[[#This Row],[Hill]]/mystic_bonus))</f>
        <v>0</v>
      </c>
      <c r="BY34" s="266">
        <f ca="1">IF(druid_op_cap="none",TblMili[[#This Row],[Hill]]/druid_op_bonus,MIN(druid_op_cap,TblMili[[#This Row],[Hill]]/druid_op_bonus))</f>
        <v>0</v>
      </c>
      <c r="BZ34" s="266">
        <f ca="1">IF(druid_dp_cap="none",TblMili[[#This Row],[Hill]]/druid_dp_bonus,MIN(druid_dp_cap,TblMili[[#This Row],[Hill]]/druid_dp_bonus))</f>
        <v>0</v>
      </c>
      <c r="CA34" s="266">
        <f ca="1">MIN(dryad_cap,TblMili[[#This Row],[Hill]]/dryad_bonus)</f>
        <v>0</v>
      </c>
      <c r="CB34" s="266">
        <f ca="1">MIN(rocka_cap,TblMili[[#This Row],[Hill]]/rocka_bonus)</f>
        <v>0</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0</v>
      </c>
      <c r="CH34" s="45">
        <f ca="1">MIN(ice_elem_cap,TblMili[[#This Row],[Raw (2)]]*ice_elem_bonus)</f>
        <v>0</v>
      </c>
      <c r="CI34" s="266">
        <f t="shared" si="0"/>
        <v>0.83333333333333337</v>
      </c>
      <c r="CJ34" s="266">
        <f ca="1">MIN(nox_nightshade_cap,TblConstr[[#This Row],[Homeland]]/TblConstr[[#This Row],[Land]]/nox_nightshade_swamp_bonus)</f>
        <v>0</v>
      </c>
      <c r="CK34" s="267"/>
      <c r="CL34" s="267"/>
      <c r="CM34" s="267"/>
      <c r="CN34" s="266">
        <f ca="1">MIN(6,TblMili[[#This Row],[Mystic]]+Races!$F$19)*1.8 +  IF(TblMili[[#This Row],[Mystic]]+Races!$F$19&gt;6,(TblMili[[#This Row],[Mystic]]+Races!$F$19-6)*0.2,0) - Races!$I$19</f>
        <v>0</v>
      </c>
      <c r="CO34" s="266">
        <f ca="1">1.8 * MIN(MAX(TblMili[[#This Row],[Druid (op)]]+Races!$E$20,TblMili[[#This Row],[Druid (dp)]]+Races!$F$20),6)  +  0.45 * MIN(MIN(TblMili[[#This Row],[Druid (op)]]+Races!$E$20,TblMili[[#This Row],[Druid (dp)]]+Races!$F$20),6)  +  0.2 * ( MAX(TblMili[[#This Row],[Druid (op)]]+Races!$E$20-6,0) + MAX(TblMili[[#This Row],[Druid (dp)]]+Races!$F$20-6,0) )  -  Races!$I$20</f>
        <v>0</v>
      </c>
      <c r="CP34" s="97">
        <f ca="1">TblMili[[#This Row],[Mystic bonus]]*TblMili[[#This Row],[Unit 3]]+TblMili[[#This Row],[Druid bonus]]*TblMili[[#This Row],[Unit 4]]</f>
        <v>0</v>
      </c>
      <c r="CQ34" s="158">
        <f ca="1">MIN(6,TblMili[[#This Row],[Dryad]]+Races!$F$35)*1.8 +  IF(TblMili[[#This Row],[Dryad]]+Races!$F$35&gt;6,(TblMili[[#This Row],[Dryad]]+Races!$F$35-6)*0.2,0) - Races!$I$19</f>
        <v>-1.7999999999999998</v>
      </c>
      <c r="CR34" s="97">
        <f ca="1">sylvan*(TblMili[[#This Row],[Mystic bonus]]*TblMili[[#This Row],[Unit 3]])</f>
        <v>0</v>
      </c>
      <c r="CS34" s="158">
        <f ca="1">1.8 * MIN(MAX(Races!$E$27,TblMili[[#This Row],[Rockapult]]+Races!$F$27),6)  +  0.45 * MIN(MIN(Races!$E$27,TblMili[[#This Row],[Rockapult]]+Races!$F$27),6)  +  0.2 * ( MAX(Races!$E$27-6,0) + MAX(TblMili[[#This Row],[Rockapult]]+Races!$F$27-6,0) )  -  Races!$I$20</f>
        <v>2.2499999999999991</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0</v>
      </c>
      <c r="CX34" s="158">
        <f ca="1">1.8 * MIN(MAX(TblMili[[#This Row],[Ice Elemental]]+Races!$E$71,Races!$F$71),6)  +  0.45 * MIN(MIN(TblMili[[#This Row],[Ice Elemental]]+Races!$E$71,Races!$F$71),6)  +  0.2 * ( MAX(TblMili[[#This Row],[Ice Elemental]]+Races!$E$71-6,0) + MAX(Races!$F$71-6,0) )  -  Races!$I$71</f>
        <v>0</v>
      </c>
      <c r="CY34" s="97">
        <f ca="1">TblMili[[#This Row],[Frost Mage bonus]]*TblMili[[#This Row],[Unit 3]]+TblMili[[#This Row],[Ice Elemental bonus]]*TblMili[[#This Row],[Unit 4]]</f>
        <v>0</v>
      </c>
      <c r="CZ34" s="268"/>
      <c r="DA34" s="146">
        <f ca="1">MIN(SUM(TblConstr[[#This Row],[Plain]:[Water]])/TblMili[[#This Row],[Land]]/favorable_terrain_bonus/100,favorable_terrain_max)</f>
        <v>0</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8975</v>
      </c>
      <c r="DD34" s="145"/>
      <c r="DE34" s="269">
        <f ca="1">(TblMili[[#This Row],[Wizards]]+2*TblMili[[#This Row],[Archmages]])/TblConstr[[#This Row],[Land]]</f>
        <v>0</v>
      </c>
      <c r="DF34" s="269">
        <f ca="1">TblMili[[#This Row],[Raw (2)]]*(1+race_wizard_strength+IF(TblMili[[#This Row],[Hour]]&gt;72,tech_magical_weaponry_wiz*TblTech[[#This Row],[3-5]],0))</f>
        <v>0</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0</v>
      </c>
      <c r="C35" s="160">
        <f ca="1">TblPop[[#This Row],[Military%]]</f>
        <v>0</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5"/>
      <c r="N35" s="97">
        <f ca="1">TblProd[[#This Row],[Networth]]</f>
        <v>9220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0</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0</v>
      </c>
      <c r="X35" s="262">
        <f ca="1">TblConstr[[#This Row],[Land]]</f>
        <v>392</v>
      </c>
      <c r="Y35" s="265"/>
      <c r="Z35" s="270">
        <f ca="1">IF(TblMili[[#This Row],[Set]]&lt;&gt;"",TblMili[[#This Row],[Set]],OFFSET(TblMili[[#This Row],[Draftrate]],-1,0))</f>
        <v>0.9</v>
      </c>
      <c r="AA35" s="97">
        <f ca="1">OFFSET(TblMili[[#This Row],[Draftees]],-1,0)+OFFSET(TblPop[[#This Row],[Draft Growth]],-1,0) - SUM(TblMili[[#This Row],[Train Unit 1]:[Train Spies]],TblMili[[#This Row],[Train Wiz]]) - TblMili[[#This Row],[Release Draft]] + SUM(TblMili[[#This Row],[Release Unit 1]:[Release AM]]) - TblExplore[[#This Row],[Draftees (2)]]</f>
        <v>0</v>
      </c>
      <c r="AB35" s="157"/>
      <c r="AC35" s="183">
        <f ca="1">(TblConstr[[#This Row],[Tot Smi]]+TblConstr[[#This Row],[Dest Smi]])/(TblConstr[[#This Row],[Land]]-TblExplore[[#This Row],[Land Bonus]]*20)</f>
        <v>0</v>
      </c>
      <c r="AD35" s="140"/>
      <c r="AE35" s="261">
        <f>TblMili[[#This Row],[Hour]]</f>
        <v>32</v>
      </c>
      <c r="AF35" s="141">
        <f ca="1">TblExplore[[#This Row],[Time]]</f>
        <v>45431.041666666591</v>
      </c>
      <c r="AG35" s="182"/>
      <c r="AH35" s="182"/>
      <c r="AI35" s="182"/>
      <c r="AJ35" s="182"/>
      <c r="AK35" s="182"/>
      <c r="AL35" s="182"/>
      <c r="AM35" s="182"/>
      <c r="AN35" s="182"/>
      <c r="AO35" s="145"/>
      <c r="AP35" s="97">
        <f ca="1">TblProd[[#This Row],[Platinum]]</f>
        <v>31118</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45431.041666666591</v>
      </c>
      <c r="AV35" s="97">
        <f ca="1">TblMili[[#This Row],[Draftees]]</f>
        <v>0</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300</v>
      </c>
      <c r="BJ35" s="97">
        <f ca="1">ROUNDUP(IF(race="Gnome",1,(1-MIN(TblMili[[#This Row],[Smithies]]*smithy_bonus,smithy_bonus_cap) + tech_3_5*TblTech[[#This Row],[3-5]] + tech_5_3*TblTech[[#This Row],[5-3]] + tech_5_5*TblTech[[#This Row],[5-5]]))*spec_op_ore,0)</f>
        <v>0</v>
      </c>
      <c r="BK35" s="97">
        <f ca="1">ROUNDUP((1-MIN(TblMili[[#This Row],[Smithies]]*smithy_bonus,smithy_bonus_cap) + tech_3_5*TblTech[[#This Row],[3-5]] + tech_5_3*TblTech[[#This Row],[5-3]] + tech_5_5*TblTech[[#This Row],[5-5]])*spec_dp_plat,0)</f>
        <v>300</v>
      </c>
      <c r="BL35" s="97">
        <f ca="1">ROUNDUP(IF(race="Gnome",1,(1-MIN(TblMili[[#This Row],[Smithies]]*smithy_bonus,smithy_bonus_cap) + tech_3_5*TblTech[[#This Row],[3-5]] + tech_5_3*TblTech[[#This Row],[5-3]] + tech_5_5*TblTech[[#This Row],[5-5]]))*spec_dp_ore,0)</f>
        <v>0</v>
      </c>
      <c r="BM35" s="97">
        <f ca="1">ROUNDUP((1-MIN(TblMili[[#This Row],[Smithies]]*smithy_bonus,smithy_bonus_cap) + tech_3_5*TblTech[[#This Row],[3-5]] + tech_5_3*TblTech[[#This Row],[5-3]] + tech_5_5*TblTech[[#This Row],[5-5]])*elite1_plat,0)</f>
        <v>925</v>
      </c>
      <c r="BN35" s="97">
        <f ca="1">ROUNDUP(IF(race="Gnome",1,(1-MIN(TblMili[[#This Row],[Smithies]]*smithy_bonus,smithy_bonus_cap) + tech_3_5*TblTech[[#This Row],[3-5]] + tech_5_3*TblTech[[#This Row],[5-3]] + tech_5_5*TblTech[[#This Row],[5-5]]))*elite1_ore,0)</f>
        <v>0</v>
      </c>
      <c r="BO35" s="97">
        <f ca="1">ROUNDUP((1-MIN(TblMili[[#This Row],[Smithies]]*smithy_bonus,smithy_bonus_cap) + tech_3_5*TblTech[[#This Row],[3-5]] + tech_5_3*TblTech[[#This Row],[5-3]] + tech_5_5*TblTech[[#This Row],[5-5]])*elite2_plat,0)</f>
        <v>950</v>
      </c>
      <c r="BP35" s="97">
        <f ca="1">ROUNDUP(IF(race="Gnome",1,(1-MIN(TblMili[[#This Row],[Smithies]]*smithy_bonus,smithy_bonus_cap) + tech_3_5*TblTech[[#This Row],[3-5]] + tech_5_3*TblTech[[#This Row],[5-3]] + tech_5_5*TblTech[[#This Row],[5-5]]))*elite2_ore,0)</f>
        <v>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v>
      </c>
      <c r="BW35" s="160">
        <f ca="1">TblMili[[#This Row],[WG''s]]</f>
        <v>0</v>
      </c>
      <c r="BX35" s="266">
        <f ca="1">IF(mystic_cap="none",TblMili[[#This Row],[Hill]]/mystic_bonus,MIN(mystic_cap,TblMili[[#This Row],[Hill]]/mystic_bonus))</f>
        <v>0</v>
      </c>
      <c r="BY35" s="266">
        <f ca="1">IF(druid_op_cap="none",TblMili[[#This Row],[Hill]]/druid_op_bonus,MIN(druid_op_cap,TblMili[[#This Row],[Hill]]/druid_op_bonus))</f>
        <v>0</v>
      </c>
      <c r="BZ35" s="266">
        <f ca="1">IF(druid_dp_cap="none",TblMili[[#This Row],[Hill]]/druid_dp_bonus,MIN(druid_dp_cap,TblMili[[#This Row],[Hill]]/druid_dp_bonus))</f>
        <v>0</v>
      </c>
      <c r="CA35" s="266">
        <f ca="1">MIN(dryad_cap,TblMili[[#This Row],[Hill]]/dryad_bonus)</f>
        <v>0</v>
      </c>
      <c r="CB35" s="266">
        <f ca="1">MIN(rocka_cap,TblMili[[#This Row],[Hill]]/rocka_bonus)</f>
        <v>0</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0</v>
      </c>
      <c r="CH35" s="45">
        <f ca="1">MIN(ice_elem_cap,TblMili[[#This Row],[Raw (2)]]*ice_elem_bonus)</f>
        <v>0</v>
      </c>
      <c r="CI35" s="266">
        <f t="shared" si="0"/>
        <v>0.83333333333333337</v>
      </c>
      <c r="CJ35" s="266">
        <f ca="1">MIN(nox_nightshade_cap,TblConstr[[#This Row],[Homeland]]/TblConstr[[#This Row],[Land]]/nox_nightshade_swamp_bonus)</f>
        <v>0</v>
      </c>
      <c r="CK35" s="267"/>
      <c r="CL35" s="267"/>
      <c r="CM35" s="267"/>
      <c r="CN35" s="266">
        <f ca="1">MIN(6,TblMili[[#This Row],[Mystic]]+Races!$F$19)*1.8 +  IF(TblMili[[#This Row],[Mystic]]+Races!$F$19&gt;6,(TblMili[[#This Row],[Mystic]]+Races!$F$19-6)*0.2,0) - Races!$I$19</f>
        <v>0</v>
      </c>
      <c r="CO35" s="266">
        <f ca="1">1.8 * MIN(MAX(TblMili[[#This Row],[Druid (op)]]+Races!$E$20,TblMili[[#This Row],[Druid (dp)]]+Races!$F$20),6)  +  0.45 * MIN(MIN(TblMili[[#This Row],[Druid (op)]]+Races!$E$20,TblMili[[#This Row],[Druid (dp)]]+Races!$F$20),6)  +  0.2 * ( MAX(TblMili[[#This Row],[Druid (op)]]+Races!$E$20-6,0) + MAX(TblMili[[#This Row],[Druid (dp)]]+Races!$F$20-6,0) )  -  Races!$I$20</f>
        <v>0</v>
      </c>
      <c r="CP35" s="97">
        <f ca="1">TblMili[[#This Row],[Mystic bonus]]*TblMili[[#This Row],[Unit 3]]+TblMili[[#This Row],[Druid bonus]]*TblMili[[#This Row],[Unit 4]]</f>
        <v>0</v>
      </c>
      <c r="CQ35" s="158">
        <f ca="1">MIN(6,TblMili[[#This Row],[Dryad]]+Races!$F$35)*1.8 +  IF(TblMili[[#This Row],[Dryad]]+Races!$F$35&gt;6,(TblMili[[#This Row],[Dryad]]+Races!$F$35-6)*0.2,0) - Races!$I$19</f>
        <v>-1.7999999999999998</v>
      </c>
      <c r="CR35" s="97">
        <f ca="1">sylvan*(TblMili[[#This Row],[Mystic bonus]]*TblMili[[#This Row],[Unit 3]])</f>
        <v>0</v>
      </c>
      <c r="CS35" s="158">
        <f ca="1">1.8 * MIN(MAX(Races!$E$27,TblMili[[#This Row],[Rockapult]]+Races!$F$27),6)  +  0.45 * MIN(MIN(Races!$E$27,TblMili[[#This Row],[Rockapult]]+Races!$F$27),6)  +  0.2 * ( MAX(Races!$E$27-6,0) + MAX(TblMili[[#This Row],[Rockapult]]+Races!$F$27-6,0) )  -  Races!$I$20</f>
        <v>2.2499999999999991</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0</v>
      </c>
      <c r="CX35" s="158">
        <f ca="1">1.8 * MIN(MAX(TblMili[[#This Row],[Ice Elemental]]+Races!$E$71,Races!$F$71),6)  +  0.45 * MIN(MIN(TblMili[[#This Row],[Ice Elemental]]+Races!$E$71,Races!$F$71),6)  +  0.2 * ( MAX(TblMili[[#This Row],[Ice Elemental]]+Races!$E$71-6,0) + MAX(Races!$F$71-6,0) )  -  Races!$I$71</f>
        <v>0</v>
      </c>
      <c r="CY35" s="97">
        <f ca="1">TblMili[[#This Row],[Frost Mage bonus]]*TblMili[[#This Row],[Unit 3]]+TblMili[[#This Row],[Ice Elemental bonus]]*TblMili[[#This Row],[Unit 4]]</f>
        <v>0</v>
      </c>
      <c r="CZ35" s="268"/>
      <c r="DA35" s="146">
        <f ca="1">MIN(SUM(TblConstr[[#This Row],[Plain]:[Water]])/TblMili[[#This Row],[Land]]/favorable_terrain_bonus/100,favorable_terrain_max)</f>
        <v>0</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9220</v>
      </c>
      <c r="DD35" s="145"/>
      <c r="DE35" s="269">
        <f ca="1">(TblMili[[#This Row],[Wizards]]+2*TblMili[[#This Row],[Archmages]])/TblConstr[[#This Row],[Land]]</f>
        <v>0</v>
      </c>
      <c r="DF35" s="269">
        <f ca="1">TblMili[[#This Row],[Raw (2)]]*(1+race_wizard_strength+IF(TblMili[[#This Row],[Hour]]&gt;72,tech_magical_weaponry_wiz*TblTech[[#This Row],[3-5]],0))</f>
        <v>0</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3</v>
      </c>
      <c r="C36" s="160">
        <f ca="1">TblPop[[#This Row],[Military%]]</f>
        <v>5.3571428571428574E-4</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5"/>
      <c r="N36" s="97">
        <f ca="1">TblProd[[#This Row],[Networth]]</f>
        <v>9465</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3</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3</v>
      </c>
      <c r="X36" s="262">
        <f ca="1">TblConstr[[#This Row],[Land]]</f>
        <v>404</v>
      </c>
      <c r="Y36" s="265"/>
      <c r="Z36" s="270">
        <f ca="1">IF(TblMili[[#This Row],[Set]]&lt;&gt;"",TblMili[[#This Row],[Set]],OFFSET(TblMili[[#This Row],[Draftrate]],-1,0))</f>
        <v>0.9</v>
      </c>
      <c r="AA36" s="97">
        <f ca="1">OFFSET(TblMili[[#This Row],[Draftees]],-1,0)+OFFSET(TblPop[[#This Row],[Draft Growth]],-1,0) - SUM(TblMili[[#This Row],[Train Unit 1]:[Train Spies]],TblMili[[#This Row],[Train Wiz]]) - TblMili[[#This Row],[Release Draft]] + SUM(TblMili[[#This Row],[Release Unit 1]:[Release AM]]) - TblExplore[[#This Row],[Draftees (2)]]</f>
        <v>3</v>
      </c>
      <c r="AB36" s="157"/>
      <c r="AC36" s="183">
        <f ca="1">(TblConstr[[#This Row],[Tot Smi]]+TblConstr[[#This Row],[Dest Smi]])/(TblConstr[[#This Row],[Land]]-TblExplore[[#This Row],[Land Bonus]]*20)</f>
        <v>0</v>
      </c>
      <c r="AD36" s="140"/>
      <c r="AE36" s="261">
        <f>TblMili[[#This Row],[Hour]]</f>
        <v>33</v>
      </c>
      <c r="AF36" s="141">
        <f ca="1">TblExplore[[#This Row],[Time]]</f>
        <v>45431.083333333256</v>
      </c>
      <c r="AG36" s="182"/>
      <c r="AH36" s="182"/>
      <c r="AI36" s="182"/>
      <c r="AJ36" s="182"/>
      <c r="AK36" s="182"/>
      <c r="AL36" s="182"/>
      <c r="AM36" s="182"/>
      <c r="AN36" s="182"/>
      <c r="AO36" s="145"/>
      <c r="AP36" s="97">
        <f ca="1">TblProd[[#This Row],[Platinum]]</f>
        <v>36027</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45431.083333333256</v>
      </c>
      <c r="AV36" s="97">
        <f ca="1">TblMili[[#This Row],[Draftees]]</f>
        <v>3</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300</v>
      </c>
      <c r="BJ36" s="97">
        <f ca="1">ROUNDUP(IF(race="Gnome",1,(1-MIN(TblMili[[#This Row],[Smithies]]*smithy_bonus,smithy_bonus_cap) + tech_3_5*TblTech[[#This Row],[3-5]] + tech_5_3*TblTech[[#This Row],[5-3]] + tech_5_5*TblTech[[#This Row],[5-5]]))*spec_op_ore,0)</f>
        <v>0</v>
      </c>
      <c r="BK36" s="97">
        <f ca="1">ROUNDUP((1-MIN(TblMili[[#This Row],[Smithies]]*smithy_bonus,smithy_bonus_cap) + tech_3_5*TblTech[[#This Row],[3-5]] + tech_5_3*TblTech[[#This Row],[5-3]] + tech_5_5*TblTech[[#This Row],[5-5]])*spec_dp_plat,0)</f>
        <v>300</v>
      </c>
      <c r="BL36" s="97">
        <f ca="1">ROUNDUP(IF(race="Gnome",1,(1-MIN(TblMili[[#This Row],[Smithies]]*smithy_bonus,smithy_bonus_cap) + tech_3_5*TblTech[[#This Row],[3-5]] + tech_5_3*TblTech[[#This Row],[5-3]] + tech_5_5*TblTech[[#This Row],[5-5]]))*spec_dp_ore,0)</f>
        <v>0</v>
      </c>
      <c r="BM36" s="97">
        <f ca="1">ROUNDUP((1-MIN(TblMili[[#This Row],[Smithies]]*smithy_bonus,smithy_bonus_cap) + tech_3_5*TblTech[[#This Row],[3-5]] + tech_5_3*TblTech[[#This Row],[5-3]] + tech_5_5*TblTech[[#This Row],[5-5]])*elite1_plat,0)</f>
        <v>925</v>
      </c>
      <c r="BN36" s="97">
        <f ca="1">ROUNDUP(IF(race="Gnome",1,(1-MIN(TblMili[[#This Row],[Smithies]]*smithy_bonus,smithy_bonus_cap) + tech_3_5*TblTech[[#This Row],[3-5]] + tech_5_3*TblTech[[#This Row],[5-3]] + tech_5_5*TblTech[[#This Row],[5-5]]))*elite1_ore,0)</f>
        <v>0</v>
      </c>
      <c r="BO36" s="97">
        <f ca="1">ROUNDUP((1-MIN(TblMili[[#This Row],[Smithies]]*smithy_bonus,smithy_bonus_cap) + tech_3_5*TblTech[[#This Row],[3-5]] + tech_5_3*TblTech[[#This Row],[5-3]] + tech_5_5*TblTech[[#This Row],[5-5]])*elite2_plat,0)</f>
        <v>950</v>
      </c>
      <c r="BP36" s="97">
        <f ca="1">ROUNDUP(IF(race="Gnome",1,(1-MIN(TblMili[[#This Row],[Smithies]]*smithy_bonus,smithy_bonus_cap) + tech_3_5*TblTech[[#This Row],[3-5]] + tech_5_3*TblTech[[#This Row],[5-3]] + tech_5_5*TblTech[[#This Row],[5-5]]))*elite2_ore,0)</f>
        <v>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v>
      </c>
      <c r="BW36" s="160">
        <f ca="1">TblMili[[#This Row],[WG''s]]</f>
        <v>0</v>
      </c>
      <c r="BX36" s="266">
        <f ca="1">IF(mystic_cap="none",TblMili[[#This Row],[Hill]]/mystic_bonus,MIN(mystic_cap,TblMili[[#This Row],[Hill]]/mystic_bonus))</f>
        <v>0</v>
      </c>
      <c r="BY36" s="266">
        <f ca="1">IF(druid_op_cap="none",TblMili[[#This Row],[Hill]]/druid_op_bonus,MIN(druid_op_cap,TblMili[[#This Row],[Hill]]/druid_op_bonus))</f>
        <v>0</v>
      </c>
      <c r="BZ36" s="266">
        <f ca="1">IF(druid_dp_cap="none",TblMili[[#This Row],[Hill]]/druid_dp_bonus,MIN(druid_dp_cap,TblMili[[#This Row],[Hill]]/druid_dp_bonus))</f>
        <v>0</v>
      </c>
      <c r="CA36" s="266">
        <f ca="1">MIN(dryad_cap,TblMili[[#This Row],[Hill]]/dryad_bonus)</f>
        <v>0</v>
      </c>
      <c r="CB36" s="266">
        <f ca="1">MIN(rocka_cap,TblMili[[#This Row],[Hill]]/rocka_bonus)</f>
        <v>0</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0</v>
      </c>
      <c r="CH36" s="45">
        <f ca="1">MIN(ice_elem_cap,TblMili[[#This Row],[Raw (2)]]*ice_elem_bonus)</f>
        <v>0</v>
      </c>
      <c r="CI36" s="266">
        <f t="shared" ref="CI36:CI67" si="2">MIN(bone_breaker_cap,250/bone_breaker_bonus)</f>
        <v>0.83333333333333337</v>
      </c>
      <c r="CJ36" s="266">
        <f ca="1">MIN(nox_nightshade_cap,TblConstr[[#This Row],[Homeland]]/TblConstr[[#This Row],[Land]]/nox_nightshade_swamp_bonus)</f>
        <v>0</v>
      </c>
      <c r="CK36" s="267"/>
      <c r="CL36" s="267"/>
      <c r="CM36" s="267"/>
      <c r="CN36" s="266">
        <f ca="1">MIN(6,TblMili[[#This Row],[Mystic]]+Races!$F$19)*1.8 +  IF(TblMili[[#This Row],[Mystic]]+Races!$F$19&gt;6,(TblMili[[#This Row],[Mystic]]+Races!$F$19-6)*0.2,0) - Races!$I$19</f>
        <v>0</v>
      </c>
      <c r="CO36" s="266">
        <f ca="1">1.8 * MIN(MAX(TblMili[[#This Row],[Druid (op)]]+Races!$E$20,TblMili[[#This Row],[Druid (dp)]]+Races!$F$20),6)  +  0.45 * MIN(MIN(TblMili[[#This Row],[Druid (op)]]+Races!$E$20,TblMili[[#This Row],[Druid (dp)]]+Races!$F$20),6)  +  0.2 * ( MAX(TblMili[[#This Row],[Druid (op)]]+Races!$E$20-6,0) + MAX(TblMili[[#This Row],[Druid (dp)]]+Races!$F$20-6,0) )  -  Races!$I$20</f>
        <v>0</v>
      </c>
      <c r="CP36" s="97">
        <f ca="1">TblMili[[#This Row],[Mystic bonus]]*TblMili[[#This Row],[Unit 3]]+TblMili[[#This Row],[Druid bonus]]*TblMili[[#This Row],[Unit 4]]</f>
        <v>0</v>
      </c>
      <c r="CQ36" s="158">
        <f ca="1">MIN(6,TblMili[[#This Row],[Dryad]]+Races!$F$35)*1.8 +  IF(TblMili[[#This Row],[Dryad]]+Races!$F$35&gt;6,(TblMili[[#This Row],[Dryad]]+Races!$F$35-6)*0.2,0) - Races!$I$19</f>
        <v>-1.7999999999999998</v>
      </c>
      <c r="CR36" s="97">
        <f ca="1">sylvan*(TblMili[[#This Row],[Mystic bonus]]*TblMili[[#This Row],[Unit 3]])</f>
        <v>0</v>
      </c>
      <c r="CS36" s="158">
        <f ca="1">1.8 * MIN(MAX(Races!$E$27,TblMili[[#This Row],[Rockapult]]+Races!$F$27),6)  +  0.45 * MIN(MIN(Races!$E$27,TblMili[[#This Row],[Rockapult]]+Races!$F$27),6)  +  0.2 * ( MAX(Races!$E$27-6,0) + MAX(TblMili[[#This Row],[Rockapult]]+Races!$F$27-6,0) )  -  Races!$I$20</f>
        <v>2.2499999999999991</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0</v>
      </c>
      <c r="CX36" s="158">
        <f ca="1">1.8 * MIN(MAX(TblMili[[#This Row],[Ice Elemental]]+Races!$E$71,Races!$F$71),6)  +  0.45 * MIN(MIN(TblMili[[#This Row],[Ice Elemental]]+Races!$E$71,Races!$F$71),6)  +  0.2 * ( MAX(TblMili[[#This Row],[Ice Elemental]]+Races!$E$71-6,0) + MAX(Races!$F$71-6,0) )  -  Races!$I$71</f>
        <v>0</v>
      </c>
      <c r="CY36" s="97">
        <f ca="1">TblMili[[#This Row],[Frost Mage bonus]]*TblMili[[#This Row],[Unit 3]]+TblMili[[#This Row],[Ice Elemental bonus]]*TblMili[[#This Row],[Unit 4]]</f>
        <v>0</v>
      </c>
      <c r="CZ36" s="268"/>
      <c r="DA36" s="146">
        <f ca="1">MIN(SUM(TblConstr[[#This Row],[Plain]:[Water]])/TblMili[[#This Row],[Land]]/favorable_terrain_bonus/100,favorable_terrain_max)</f>
        <v>0</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9465</v>
      </c>
      <c r="DD36" s="145"/>
      <c r="DE36" s="269">
        <f ca="1">(TblMili[[#This Row],[Wizards]]+2*TblMili[[#This Row],[Archmages]])/TblConstr[[#This Row],[Land]]</f>
        <v>0</v>
      </c>
      <c r="DF36" s="269">
        <f ca="1">TblMili[[#This Row],[Raw (2)]]*(1+race_wizard_strength+IF(TblMili[[#This Row],[Hour]]&gt;72,tech_magical_weaponry_wiz*TblTech[[#This Row],[3-5]],0))</f>
        <v>0</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4</v>
      </c>
      <c r="C37" s="160">
        <f ca="1">TblPop[[#This Row],[Military%]]</f>
        <v>6.7681895093062606E-4</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5"/>
      <c r="N37" s="97">
        <f ca="1">TblProd[[#This Row],[Networth]]</f>
        <v>9530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4</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4</v>
      </c>
      <c r="X37" s="262">
        <f ca="1">TblConstr[[#This Row],[Land]]</f>
        <v>407</v>
      </c>
      <c r="Y37" s="265"/>
      <c r="Z37" s="270">
        <f ca="1">IF(TblMili[[#This Row],[Set]]&lt;&gt;"",TblMili[[#This Row],[Set]],OFFSET(TblMili[[#This Row],[Draftrate]],-1,0))</f>
        <v>0.9</v>
      </c>
      <c r="AA37" s="97">
        <f ca="1">OFFSET(TblMili[[#This Row],[Draftees]],-1,0)+OFFSET(TblPop[[#This Row],[Draft Growth]],-1,0) - SUM(TblMili[[#This Row],[Train Unit 1]:[Train Spies]],TblMili[[#This Row],[Train Wiz]]) - TblMili[[#This Row],[Release Draft]] + SUM(TblMili[[#This Row],[Release Unit 1]:[Release AM]]) - TblExplore[[#This Row],[Draftees (2)]]</f>
        <v>4</v>
      </c>
      <c r="AB37" s="157"/>
      <c r="AC37" s="183">
        <f ca="1">(TblConstr[[#This Row],[Tot Smi]]+TblConstr[[#This Row],[Dest Smi]])/(TblConstr[[#This Row],[Land]]-TblExplore[[#This Row],[Land Bonus]]*20)</f>
        <v>0</v>
      </c>
      <c r="AD37" s="140"/>
      <c r="AE37" s="261">
        <f>TblMili[[#This Row],[Hour]]</f>
        <v>34</v>
      </c>
      <c r="AF37" s="141">
        <f ca="1">TblExplore[[#This Row],[Time]]</f>
        <v>45431.12499999992</v>
      </c>
      <c r="AG37" s="182"/>
      <c r="AH37" s="182"/>
      <c r="AI37" s="182"/>
      <c r="AJ37" s="182"/>
      <c r="AK37" s="182"/>
      <c r="AL37" s="182"/>
      <c r="AM37" s="182"/>
      <c r="AN37" s="182"/>
      <c r="AO37" s="145"/>
      <c r="AP37" s="97">
        <f ca="1">TblProd[[#This Row],[Platinum]]</f>
        <v>43944</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45431.12499999992</v>
      </c>
      <c r="AV37" s="97">
        <f ca="1">TblMili[[#This Row],[Draftees]]</f>
        <v>4</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300</v>
      </c>
      <c r="BJ37" s="97">
        <f ca="1">ROUNDUP(IF(race="Gnome",1,(1-MIN(TblMili[[#This Row],[Smithies]]*smithy_bonus,smithy_bonus_cap) + tech_3_5*TblTech[[#This Row],[3-5]] + tech_5_3*TblTech[[#This Row],[5-3]] + tech_5_5*TblTech[[#This Row],[5-5]]))*spec_op_ore,0)</f>
        <v>0</v>
      </c>
      <c r="BK37" s="97">
        <f ca="1">ROUNDUP((1-MIN(TblMili[[#This Row],[Smithies]]*smithy_bonus,smithy_bonus_cap) + tech_3_5*TblTech[[#This Row],[3-5]] + tech_5_3*TblTech[[#This Row],[5-3]] + tech_5_5*TblTech[[#This Row],[5-5]])*spec_dp_plat,0)</f>
        <v>300</v>
      </c>
      <c r="BL37" s="97">
        <f ca="1">ROUNDUP(IF(race="Gnome",1,(1-MIN(TblMili[[#This Row],[Smithies]]*smithy_bonus,smithy_bonus_cap) + tech_3_5*TblTech[[#This Row],[3-5]] + tech_5_3*TblTech[[#This Row],[5-3]] + tech_5_5*TblTech[[#This Row],[5-5]]))*spec_dp_ore,0)</f>
        <v>0</v>
      </c>
      <c r="BM37" s="97">
        <f ca="1">ROUNDUP((1-MIN(TblMili[[#This Row],[Smithies]]*smithy_bonus,smithy_bonus_cap) + tech_3_5*TblTech[[#This Row],[3-5]] + tech_5_3*TblTech[[#This Row],[5-3]] + tech_5_5*TblTech[[#This Row],[5-5]])*elite1_plat,0)</f>
        <v>925</v>
      </c>
      <c r="BN37" s="97">
        <f ca="1">ROUNDUP(IF(race="Gnome",1,(1-MIN(TblMili[[#This Row],[Smithies]]*smithy_bonus,smithy_bonus_cap) + tech_3_5*TblTech[[#This Row],[3-5]] + tech_5_3*TblTech[[#This Row],[5-3]] + tech_5_5*TblTech[[#This Row],[5-5]]))*elite1_ore,0)</f>
        <v>0</v>
      </c>
      <c r="BO37" s="97">
        <f ca="1">ROUNDUP((1-MIN(TblMili[[#This Row],[Smithies]]*smithy_bonus,smithy_bonus_cap) + tech_3_5*TblTech[[#This Row],[3-5]] + tech_5_3*TblTech[[#This Row],[5-3]] + tech_5_5*TblTech[[#This Row],[5-5]])*elite2_plat,0)</f>
        <v>950</v>
      </c>
      <c r="BP37" s="97">
        <f ca="1">ROUNDUP(IF(race="Gnome",1,(1-MIN(TblMili[[#This Row],[Smithies]]*smithy_bonus,smithy_bonus_cap) + tech_3_5*TblTech[[#This Row],[3-5]] + tech_5_3*TblTech[[#This Row],[5-3]] + tech_5_5*TblTech[[#This Row],[5-5]]))*elite2_ore,0)</f>
        <v>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v>
      </c>
      <c r="BW37" s="160">
        <f ca="1">TblMili[[#This Row],[WG''s]]</f>
        <v>0</v>
      </c>
      <c r="BX37" s="266">
        <f ca="1">IF(mystic_cap="none",TblMili[[#This Row],[Hill]]/mystic_bonus,MIN(mystic_cap,TblMili[[#This Row],[Hill]]/mystic_bonus))</f>
        <v>0</v>
      </c>
      <c r="BY37" s="266">
        <f ca="1">IF(druid_op_cap="none",TblMili[[#This Row],[Hill]]/druid_op_bonus,MIN(druid_op_cap,TblMili[[#This Row],[Hill]]/druid_op_bonus))</f>
        <v>0</v>
      </c>
      <c r="BZ37" s="266">
        <f ca="1">IF(druid_dp_cap="none",TblMili[[#This Row],[Hill]]/druid_dp_bonus,MIN(druid_dp_cap,TblMili[[#This Row],[Hill]]/druid_dp_bonus))</f>
        <v>0</v>
      </c>
      <c r="CA37" s="266">
        <f ca="1">MIN(dryad_cap,TblMili[[#This Row],[Hill]]/dryad_bonus)</f>
        <v>0</v>
      </c>
      <c r="CB37" s="266">
        <f ca="1">MIN(rocka_cap,TblMili[[#This Row],[Hill]]/rocka_bonus)</f>
        <v>0</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0</v>
      </c>
      <c r="CH37" s="45">
        <f ca="1">MIN(ice_elem_cap,TblMili[[#This Row],[Raw (2)]]*ice_elem_bonus)</f>
        <v>0</v>
      </c>
      <c r="CI37" s="266">
        <f t="shared" si="2"/>
        <v>0.83333333333333337</v>
      </c>
      <c r="CJ37" s="266">
        <f ca="1">MIN(nox_nightshade_cap,TblConstr[[#This Row],[Homeland]]/TblConstr[[#This Row],[Land]]/nox_nightshade_swamp_bonus)</f>
        <v>0</v>
      </c>
      <c r="CK37" s="267"/>
      <c r="CL37" s="267"/>
      <c r="CM37" s="267"/>
      <c r="CN37" s="266">
        <f ca="1">MIN(6,TblMili[[#This Row],[Mystic]]+Races!$F$19)*1.8 +  IF(TblMili[[#This Row],[Mystic]]+Races!$F$19&gt;6,(TblMili[[#This Row],[Mystic]]+Races!$F$19-6)*0.2,0) - Races!$I$19</f>
        <v>0</v>
      </c>
      <c r="CO37" s="266">
        <f ca="1">1.8 * MIN(MAX(TblMili[[#This Row],[Druid (op)]]+Races!$E$20,TblMili[[#This Row],[Druid (dp)]]+Races!$F$20),6)  +  0.45 * MIN(MIN(TblMili[[#This Row],[Druid (op)]]+Races!$E$20,TblMili[[#This Row],[Druid (dp)]]+Races!$F$20),6)  +  0.2 * ( MAX(TblMili[[#This Row],[Druid (op)]]+Races!$E$20-6,0) + MAX(TblMili[[#This Row],[Druid (dp)]]+Races!$F$20-6,0) )  -  Races!$I$20</f>
        <v>0</v>
      </c>
      <c r="CP37" s="97">
        <f ca="1">TblMili[[#This Row],[Mystic bonus]]*TblMili[[#This Row],[Unit 3]]+TblMili[[#This Row],[Druid bonus]]*TblMili[[#This Row],[Unit 4]]</f>
        <v>0</v>
      </c>
      <c r="CQ37" s="158">
        <f ca="1">MIN(6,TblMili[[#This Row],[Dryad]]+Races!$F$35)*1.8 +  IF(TblMili[[#This Row],[Dryad]]+Races!$F$35&gt;6,(TblMili[[#This Row],[Dryad]]+Races!$F$35-6)*0.2,0) - Races!$I$19</f>
        <v>-1.7999999999999998</v>
      </c>
      <c r="CR37" s="97">
        <f ca="1">sylvan*(TblMili[[#This Row],[Mystic bonus]]*TblMili[[#This Row],[Unit 3]])</f>
        <v>0</v>
      </c>
      <c r="CS37" s="158">
        <f ca="1">1.8 * MIN(MAX(Races!$E$27,TblMili[[#This Row],[Rockapult]]+Races!$F$27),6)  +  0.45 * MIN(MIN(Races!$E$27,TblMili[[#This Row],[Rockapult]]+Races!$F$27),6)  +  0.2 * ( MAX(Races!$E$27-6,0) + MAX(TblMili[[#This Row],[Rockapult]]+Races!$F$27-6,0) )  -  Races!$I$20</f>
        <v>2.2499999999999991</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0</v>
      </c>
      <c r="CX37" s="158">
        <f ca="1">1.8 * MIN(MAX(TblMili[[#This Row],[Ice Elemental]]+Races!$E$71,Races!$F$71),6)  +  0.45 * MIN(MIN(TblMili[[#This Row],[Ice Elemental]]+Races!$E$71,Races!$F$71),6)  +  0.2 * ( MAX(TblMili[[#This Row],[Ice Elemental]]+Races!$E$71-6,0) + MAX(Races!$F$71-6,0) )  -  Races!$I$71</f>
        <v>0</v>
      </c>
      <c r="CY37" s="97">
        <f ca="1">TblMili[[#This Row],[Frost Mage bonus]]*TblMili[[#This Row],[Unit 3]]+TblMili[[#This Row],[Ice Elemental bonus]]*TblMili[[#This Row],[Unit 4]]</f>
        <v>0</v>
      </c>
      <c r="CZ37" s="268"/>
      <c r="DA37" s="146">
        <f ca="1">MIN(SUM(TblConstr[[#This Row],[Plain]:[Water]])/TblMili[[#This Row],[Land]]/favorable_terrain_bonus/100,favorable_terrain_max)</f>
        <v>0</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9530</v>
      </c>
      <c r="DD37" s="145"/>
      <c r="DE37" s="269">
        <f ca="1">(TblMili[[#This Row],[Wizards]]+2*TblMili[[#This Row],[Archmages]])/TblConstr[[#This Row],[Land]]</f>
        <v>0</v>
      </c>
      <c r="DF37" s="269">
        <f ca="1">TblMili[[#This Row],[Raw (2)]]*(1+race_wizard_strength+IF(TblMili[[#This Row],[Hour]]&gt;72,tech_magical_weaponry_wiz*TblTech[[#This Row],[3-5]],0))</f>
        <v>0</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3</v>
      </c>
      <c r="C38" s="160">
        <f ca="1">TblPop[[#This Row],[Military%]]</f>
        <v>4.8123195380173246E-4</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5"/>
      <c r="N38" s="97">
        <f ca="1">TblProd[[#This Row],[Networth]]</f>
        <v>9575</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3</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3</v>
      </c>
      <c r="X38" s="262">
        <f ca="1">TblConstr[[#This Row],[Land]]</f>
        <v>409</v>
      </c>
      <c r="Y38" s="265"/>
      <c r="Z38" s="270">
        <f ca="1">IF(TblMili[[#This Row],[Set]]&lt;&gt;"",TblMili[[#This Row],[Set]],OFFSET(TblMili[[#This Row],[Draftrate]],-1,0))</f>
        <v>0.9</v>
      </c>
      <c r="AA38" s="97">
        <f ca="1">OFFSET(TblMili[[#This Row],[Draftees]],-1,0)+OFFSET(TblPop[[#This Row],[Draft Growth]],-1,0) - SUM(TblMili[[#This Row],[Train Unit 1]:[Train Spies]],TblMili[[#This Row],[Train Wiz]]) - TblMili[[#This Row],[Release Draft]] + SUM(TblMili[[#This Row],[Release Unit 1]:[Release AM]]) - TblExplore[[#This Row],[Draftees (2)]]</f>
        <v>3</v>
      </c>
      <c r="AB38" s="157"/>
      <c r="AC38" s="183">
        <f ca="1">(TblConstr[[#This Row],[Tot Smi]]+TblConstr[[#This Row],[Dest Smi]])/(TblConstr[[#This Row],[Land]]-TblExplore[[#This Row],[Land Bonus]]*20)</f>
        <v>0</v>
      </c>
      <c r="AD38" s="140"/>
      <c r="AE38" s="261">
        <f>TblMili[[#This Row],[Hour]]</f>
        <v>35</v>
      </c>
      <c r="AF38" s="141">
        <f ca="1">TblExplore[[#This Row],[Time]]</f>
        <v>45431.166666666584</v>
      </c>
      <c r="AG38" s="182"/>
      <c r="AH38" s="182"/>
      <c r="AI38" s="182"/>
      <c r="AJ38" s="182"/>
      <c r="AK38" s="182"/>
      <c r="AL38" s="182"/>
      <c r="AM38" s="182"/>
      <c r="AN38" s="182"/>
      <c r="AO38" s="145"/>
      <c r="AP38" s="97">
        <f ca="1">TblProd[[#This Row],[Platinum]]</f>
        <v>51273</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45431.166666666584</v>
      </c>
      <c r="AV38" s="97">
        <f ca="1">TblMili[[#This Row],[Draftees]]</f>
        <v>3</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300</v>
      </c>
      <c r="BJ38" s="97">
        <f ca="1">ROUNDUP(IF(race="Gnome",1,(1-MIN(TblMili[[#This Row],[Smithies]]*smithy_bonus,smithy_bonus_cap) + tech_3_5*TblTech[[#This Row],[3-5]] + tech_5_3*TblTech[[#This Row],[5-3]] + tech_5_5*TblTech[[#This Row],[5-5]]))*spec_op_ore,0)</f>
        <v>0</v>
      </c>
      <c r="BK38" s="97">
        <f ca="1">ROUNDUP((1-MIN(TblMili[[#This Row],[Smithies]]*smithy_bonus,smithy_bonus_cap) + tech_3_5*TblTech[[#This Row],[3-5]] + tech_5_3*TblTech[[#This Row],[5-3]] + tech_5_5*TblTech[[#This Row],[5-5]])*spec_dp_plat,0)</f>
        <v>300</v>
      </c>
      <c r="BL38" s="97">
        <f ca="1">ROUNDUP(IF(race="Gnome",1,(1-MIN(TblMili[[#This Row],[Smithies]]*smithy_bonus,smithy_bonus_cap) + tech_3_5*TblTech[[#This Row],[3-5]] + tech_5_3*TblTech[[#This Row],[5-3]] + tech_5_5*TblTech[[#This Row],[5-5]]))*spec_dp_ore,0)</f>
        <v>0</v>
      </c>
      <c r="BM38" s="97">
        <f ca="1">ROUNDUP((1-MIN(TblMili[[#This Row],[Smithies]]*smithy_bonus,smithy_bonus_cap) + tech_3_5*TblTech[[#This Row],[3-5]] + tech_5_3*TblTech[[#This Row],[5-3]] + tech_5_5*TblTech[[#This Row],[5-5]])*elite1_plat,0)</f>
        <v>925</v>
      </c>
      <c r="BN38" s="97">
        <f ca="1">ROUNDUP(IF(race="Gnome",1,(1-MIN(TblMili[[#This Row],[Smithies]]*smithy_bonus,smithy_bonus_cap) + tech_3_5*TblTech[[#This Row],[3-5]] + tech_5_3*TblTech[[#This Row],[5-3]] + tech_5_5*TblTech[[#This Row],[5-5]]))*elite1_ore,0)</f>
        <v>0</v>
      </c>
      <c r="BO38" s="97">
        <f ca="1">ROUNDUP((1-MIN(TblMili[[#This Row],[Smithies]]*smithy_bonus,smithy_bonus_cap) + tech_3_5*TblTech[[#This Row],[3-5]] + tech_5_3*TblTech[[#This Row],[5-3]] + tech_5_5*TblTech[[#This Row],[5-5]])*elite2_plat,0)</f>
        <v>950</v>
      </c>
      <c r="BP38" s="97">
        <f ca="1">ROUNDUP(IF(race="Gnome",1,(1-MIN(TblMili[[#This Row],[Smithies]]*smithy_bonus,smithy_bonus_cap) + tech_3_5*TblTech[[#This Row],[3-5]] + tech_5_3*TblTech[[#This Row],[5-3]] + tech_5_5*TblTech[[#This Row],[5-5]]))*elite2_ore,0)</f>
        <v>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v>
      </c>
      <c r="BW38" s="160">
        <f ca="1">TblMili[[#This Row],[WG''s]]</f>
        <v>0</v>
      </c>
      <c r="BX38" s="266">
        <f ca="1">IF(mystic_cap="none",TblMili[[#This Row],[Hill]]/mystic_bonus,MIN(mystic_cap,TblMili[[#This Row],[Hill]]/mystic_bonus))</f>
        <v>0</v>
      </c>
      <c r="BY38" s="266">
        <f ca="1">IF(druid_op_cap="none",TblMili[[#This Row],[Hill]]/druid_op_bonus,MIN(druid_op_cap,TblMili[[#This Row],[Hill]]/druid_op_bonus))</f>
        <v>0</v>
      </c>
      <c r="BZ38" s="266">
        <f ca="1">IF(druid_dp_cap="none",TblMili[[#This Row],[Hill]]/druid_dp_bonus,MIN(druid_dp_cap,TblMili[[#This Row],[Hill]]/druid_dp_bonus))</f>
        <v>0</v>
      </c>
      <c r="CA38" s="266">
        <f ca="1">MIN(dryad_cap,TblMili[[#This Row],[Hill]]/dryad_bonus)</f>
        <v>0</v>
      </c>
      <c r="CB38" s="266">
        <f ca="1">MIN(rocka_cap,TblMili[[#This Row],[Hill]]/rocka_bonus)</f>
        <v>0</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0</v>
      </c>
      <c r="CH38" s="45">
        <f ca="1">MIN(ice_elem_cap,TblMili[[#This Row],[Raw (2)]]*ice_elem_bonus)</f>
        <v>0</v>
      </c>
      <c r="CI38" s="266">
        <f t="shared" si="2"/>
        <v>0.83333333333333337</v>
      </c>
      <c r="CJ38" s="266">
        <f ca="1">MIN(nox_nightshade_cap,TblConstr[[#This Row],[Homeland]]/TblConstr[[#This Row],[Land]]/nox_nightshade_swamp_bonus)</f>
        <v>0</v>
      </c>
      <c r="CK38" s="267"/>
      <c r="CL38" s="267"/>
      <c r="CM38" s="267"/>
      <c r="CN38" s="266">
        <f ca="1">MIN(6,TblMili[[#This Row],[Mystic]]+Races!$F$19)*1.8 +  IF(TblMili[[#This Row],[Mystic]]+Races!$F$19&gt;6,(TblMili[[#This Row],[Mystic]]+Races!$F$19-6)*0.2,0) - Races!$I$19</f>
        <v>0</v>
      </c>
      <c r="CO38" s="266">
        <f ca="1">1.8 * MIN(MAX(TblMili[[#This Row],[Druid (op)]]+Races!$E$20,TblMili[[#This Row],[Druid (dp)]]+Races!$F$20),6)  +  0.45 * MIN(MIN(TblMili[[#This Row],[Druid (op)]]+Races!$E$20,TblMili[[#This Row],[Druid (dp)]]+Races!$F$20),6)  +  0.2 * ( MAX(TblMili[[#This Row],[Druid (op)]]+Races!$E$20-6,0) + MAX(TblMili[[#This Row],[Druid (dp)]]+Races!$F$20-6,0) )  -  Races!$I$20</f>
        <v>0</v>
      </c>
      <c r="CP38" s="97">
        <f ca="1">TblMili[[#This Row],[Mystic bonus]]*TblMili[[#This Row],[Unit 3]]+TblMili[[#This Row],[Druid bonus]]*TblMili[[#This Row],[Unit 4]]</f>
        <v>0</v>
      </c>
      <c r="CQ38" s="158">
        <f ca="1">MIN(6,TblMili[[#This Row],[Dryad]]+Races!$F$35)*1.8 +  IF(TblMili[[#This Row],[Dryad]]+Races!$F$35&gt;6,(TblMili[[#This Row],[Dryad]]+Races!$F$35-6)*0.2,0) - Races!$I$19</f>
        <v>-1.7999999999999998</v>
      </c>
      <c r="CR38" s="97">
        <f ca="1">sylvan*(TblMili[[#This Row],[Mystic bonus]]*TblMili[[#This Row],[Unit 3]])</f>
        <v>0</v>
      </c>
      <c r="CS38" s="158">
        <f ca="1">1.8 * MIN(MAX(Races!$E$27,TblMili[[#This Row],[Rockapult]]+Races!$F$27),6)  +  0.45 * MIN(MIN(Races!$E$27,TblMili[[#This Row],[Rockapult]]+Races!$F$27),6)  +  0.2 * ( MAX(Races!$E$27-6,0) + MAX(TblMili[[#This Row],[Rockapult]]+Races!$F$27-6,0) )  -  Races!$I$20</f>
        <v>2.2499999999999991</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0</v>
      </c>
      <c r="CX38" s="158">
        <f ca="1">1.8 * MIN(MAX(TblMili[[#This Row],[Ice Elemental]]+Races!$E$71,Races!$F$71),6)  +  0.45 * MIN(MIN(TblMili[[#This Row],[Ice Elemental]]+Races!$E$71,Races!$F$71),6)  +  0.2 * ( MAX(TblMili[[#This Row],[Ice Elemental]]+Races!$E$71-6,0) + MAX(Races!$F$71-6,0) )  -  Races!$I$71</f>
        <v>0</v>
      </c>
      <c r="CY38" s="97">
        <f ca="1">TblMili[[#This Row],[Frost Mage bonus]]*TblMili[[#This Row],[Unit 3]]+TblMili[[#This Row],[Ice Elemental bonus]]*TblMili[[#This Row],[Unit 4]]</f>
        <v>0</v>
      </c>
      <c r="CZ38" s="268"/>
      <c r="DA38" s="146">
        <f ca="1">MIN(SUM(TblConstr[[#This Row],[Plain]:[Water]])/TblMili[[#This Row],[Land]]/favorable_terrain_bonus/100,favorable_terrain_max)</f>
        <v>0</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9575</v>
      </c>
      <c r="DD38" s="145"/>
      <c r="DE38" s="269">
        <f ca="1">(TblMili[[#This Row],[Wizards]]+2*TblMili[[#This Row],[Archmages]])/TblConstr[[#This Row],[Land]]</f>
        <v>0</v>
      </c>
      <c r="DF38" s="269">
        <f ca="1">TblMili[[#This Row],[Raw (2)]]*(1+race_wizard_strength+IF(TblMili[[#This Row],[Hour]]&gt;72,tech_magical_weaponry_wiz*TblTech[[#This Row],[3-5]],0))</f>
        <v>0</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0</v>
      </c>
      <c r="C39" s="160">
        <f ca="1">TblPop[[#This Row],[Military%]]</f>
        <v>0</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5"/>
      <c r="N39" s="97">
        <f ca="1">TblProd[[#This Row],[Networth]]</f>
        <v>9875</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0</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0</v>
      </c>
      <c r="X39" s="262">
        <f ca="1">TblConstr[[#This Row],[Land]]</f>
        <v>419</v>
      </c>
      <c r="Y39" s="265"/>
      <c r="Z39" s="270">
        <f ca="1">IF(TblMili[[#This Row],[Set]]&lt;&gt;"",TblMili[[#This Row],[Set]],OFFSET(TblMili[[#This Row],[Draftrate]],-1,0))</f>
        <v>0.9</v>
      </c>
      <c r="AA39" s="97">
        <f ca="1">OFFSET(TblMili[[#This Row],[Draftees]],-1,0)+OFFSET(TblPop[[#This Row],[Draft Growth]],-1,0) - SUM(TblMili[[#This Row],[Train Unit 1]:[Train Spies]],TblMili[[#This Row],[Train Wiz]]) - TblMili[[#This Row],[Release Draft]] + SUM(TblMili[[#This Row],[Release Unit 1]:[Release AM]]) - TblExplore[[#This Row],[Draftees (2)]]</f>
        <v>0</v>
      </c>
      <c r="AB39" s="157"/>
      <c r="AC39" s="183">
        <f ca="1">(TblConstr[[#This Row],[Tot Smi]]+TblConstr[[#This Row],[Dest Smi]])/(TblConstr[[#This Row],[Land]]-TblExplore[[#This Row],[Land Bonus]]*20)</f>
        <v>0</v>
      </c>
      <c r="AD39" s="140"/>
      <c r="AE39" s="261">
        <f>TblMili[[#This Row],[Hour]]</f>
        <v>36</v>
      </c>
      <c r="AF39" s="141">
        <f ca="1">TblExplore[[#This Row],[Time]]</f>
        <v>45431.208333333248</v>
      </c>
      <c r="AG39" s="182"/>
      <c r="AH39" s="182"/>
      <c r="AI39" s="182"/>
      <c r="AJ39" s="182"/>
      <c r="AK39" s="182"/>
      <c r="AL39" s="182"/>
      <c r="AM39" s="182"/>
      <c r="AN39" s="182"/>
      <c r="AO39" s="145"/>
      <c r="AP39" s="97">
        <f ca="1">TblProd[[#This Row],[Platinum]]</f>
        <v>55040</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45431.208333333248</v>
      </c>
      <c r="AV39" s="97">
        <f ca="1">TblMili[[#This Row],[Draftees]]</f>
        <v>0</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300</v>
      </c>
      <c r="BJ39" s="97">
        <f ca="1">ROUNDUP(IF(race="Gnome",1,(1-MIN(TblMili[[#This Row],[Smithies]]*smithy_bonus,smithy_bonus_cap) + tech_3_5*TblTech[[#This Row],[3-5]] + tech_5_3*TblTech[[#This Row],[5-3]] + tech_5_5*TblTech[[#This Row],[5-5]]))*spec_op_ore,0)</f>
        <v>0</v>
      </c>
      <c r="BK39" s="97">
        <f ca="1">ROUNDUP((1-MIN(TblMili[[#This Row],[Smithies]]*smithy_bonus,smithy_bonus_cap) + tech_3_5*TblTech[[#This Row],[3-5]] + tech_5_3*TblTech[[#This Row],[5-3]] + tech_5_5*TblTech[[#This Row],[5-5]])*spec_dp_plat,0)</f>
        <v>300</v>
      </c>
      <c r="BL39" s="97">
        <f ca="1">ROUNDUP(IF(race="Gnome",1,(1-MIN(TblMili[[#This Row],[Smithies]]*smithy_bonus,smithy_bonus_cap) + tech_3_5*TblTech[[#This Row],[3-5]] + tech_5_3*TblTech[[#This Row],[5-3]] + tech_5_5*TblTech[[#This Row],[5-5]]))*spec_dp_ore,0)</f>
        <v>0</v>
      </c>
      <c r="BM39" s="97">
        <f ca="1">ROUNDUP((1-MIN(TblMili[[#This Row],[Smithies]]*smithy_bonus,smithy_bonus_cap) + tech_3_5*TblTech[[#This Row],[3-5]] + tech_5_3*TblTech[[#This Row],[5-3]] + tech_5_5*TblTech[[#This Row],[5-5]])*elite1_plat,0)</f>
        <v>925</v>
      </c>
      <c r="BN39" s="97">
        <f ca="1">ROUNDUP(IF(race="Gnome",1,(1-MIN(TblMili[[#This Row],[Smithies]]*smithy_bonus,smithy_bonus_cap) + tech_3_5*TblTech[[#This Row],[3-5]] + tech_5_3*TblTech[[#This Row],[5-3]] + tech_5_5*TblTech[[#This Row],[5-5]]))*elite1_ore,0)</f>
        <v>0</v>
      </c>
      <c r="BO39" s="97">
        <f ca="1">ROUNDUP((1-MIN(TblMili[[#This Row],[Smithies]]*smithy_bonus,smithy_bonus_cap) + tech_3_5*TblTech[[#This Row],[3-5]] + tech_5_3*TblTech[[#This Row],[5-3]] + tech_5_5*TblTech[[#This Row],[5-5]])*elite2_plat,0)</f>
        <v>950</v>
      </c>
      <c r="BP39" s="97">
        <f ca="1">ROUNDUP(IF(race="Gnome",1,(1-MIN(TblMili[[#This Row],[Smithies]]*smithy_bonus,smithy_bonus_cap) + tech_3_5*TblTech[[#This Row],[3-5]] + tech_5_3*TblTech[[#This Row],[5-3]] + tech_5_5*TblTech[[#This Row],[5-5]]))*elite2_ore,0)</f>
        <v>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v>
      </c>
      <c r="BW39" s="160">
        <f ca="1">TblMili[[#This Row],[WG''s]]</f>
        <v>0</v>
      </c>
      <c r="BX39" s="266">
        <f ca="1">IF(mystic_cap="none",TblMili[[#This Row],[Hill]]/mystic_bonus,MIN(mystic_cap,TblMili[[#This Row],[Hill]]/mystic_bonus))</f>
        <v>0</v>
      </c>
      <c r="BY39" s="266">
        <f ca="1">IF(druid_op_cap="none",TblMili[[#This Row],[Hill]]/druid_op_bonus,MIN(druid_op_cap,TblMili[[#This Row],[Hill]]/druid_op_bonus))</f>
        <v>0</v>
      </c>
      <c r="BZ39" s="266">
        <f ca="1">IF(druid_dp_cap="none",TblMili[[#This Row],[Hill]]/druid_dp_bonus,MIN(druid_dp_cap,TblMili[[#This Row],[Hill]]/druid_dp_bonus))</f>
        <v>0</v>
      </c>
      <c r="CA39" s="266">
        <f ca="1">MIN(dryad_cap,TblMili[[#This Row],[Hill]]/dryad_bonus)</f>
        <v>0</v>
      </c>
      <c r="CB39" s="266">
        <f ca="1">MIN(rocka_cap,TblMili[[#This Row],[Hill]]/rocka_bonus)</f>
        <v>0</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0</v>
      </c>
      <c r="CH39" s="45">
        <f ca="1">MIN(ice_elem_cap,TblMili[[#This Row],[Raw (2)]]*ice_elem_bonus)</f>
        <v>0</v>
      </c>
      <c r="CI39" s="266">
        <f t="shared" si="2"/>
        <v>0.83333333333333337</v>
      </c>
      <c r="CJ39" s="266">
        <f ca="1">MIN(nox_nightshade_cap,TblConstr[[#This Row],[Homeland]]/TblConstr[[#This Row],[Land]]/nox_nightshade_swamp_bonus)</f>
        <v>0</v>
      </c>
      <c r="CK39" s="267"/>
      <c r="CL39" s="267"/>
      <c r="CM39" s="267"/>
      <c r="CN39" s="266">
        <f ca="1">MIN(6,TblMili[[#This Row],[Mystic]]+Races!$F$19)*1.8 +  IF(TblMili[[#This Row],[Mystic]]+Races!$F$19&gt;6,(TblMili[[#This Row],[Mystic]]+Races!$F$19-6)*0.2,0) - Races!$I$19</f>
        <v>0</v>
      </c>
      <c r="CO39" s="266">
        <f ca="1">1.8 * MIN(MAX(TblMili[[#This Row],[Druid (op)]]+Races!$E$20,TblMili[[#This Row],[Druid (dp)]]+Races!$F$20),6)  +  0.45 * MIN(MIN(TblMili[[#This Row],[Druid (op)]]+Races!$E$20,TblMili[[#This Row],[Druid (dp)]]+Races!$F$20),6)  +  0.2 * ( MAX(TblMili[[#This Row],[Druid (op)]]+Races!$E$20-6,0) + MAX(TblMili[[#This Row],[Druid (dp)]]+Races!$F$20-6,0) )  -  Races!$I$20</f>
        <v>0</v>
      </c>
      <c r="CP39" s="97">
        <f ca="1">TblMili[[#This Row],[Mystic bonus]]*TblMili[[#This Row],[Unit 3]]+TblMili[[#This Row],[Druid bonus]]*TblMili[[#This Row],[Unit 4]]</f>
        <v>0</v>
      </c>
      <c r="CQ39" s="158">
        <f ca="1">MIN(6,TblMili[[#This Row],[Dryad]]+Races!$F$35)*1.8 +  IF(TblMili[[#This Row],[Dryad]]+Races!$F$35&gt;6,(TblMili[[#This Row],[Dryad]]+Races!$F$35-6)*0.2,0) - Races!$I$19</f>
        <v>-1.7999999999999998</v>
      </c>
      <c r="CR39" s="97">
        <f ca="1">sylvan*(TblMili[[#This Row],[Mystic bonus]]*TblMili[[#This Row],[Unit 3]])</f>
        <v>0</v>
      </c>
      <c r="CS39" s="158">
        <f ca="1">1.8 * MIN(MAX(Races!$E$27,TblMili[[#This Row],[Rockapult]]+Races!$F$27),6)  +  0.45 * MIN(MIN(Races!$E$27,TblMili[[#This Row],[Rockapult]]+Races!$F$27),6)  +  0.2 * ( MAX(Races!$E$27-6,0) + MAX(TblMili[[#This Row],[Rockapult]]+Races!$F$27-6,0) )  -  Races!$I$20</f>
        <v>2.2499999999999991</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0</v>
      </c>
      <c r="CX39" s="158">
        <f ca="1">1.8 * MIN(MAX(TblMili[[#This Row],[Ice Elemental]]+Races!$E$71,Races!$F$71),6)  +  0.45 * MIN(MIN(TblMili[[#This Row],[Ice Elemental]]+Races!$E$71,Races!$F$71),6)  +  0.2 * ( MAX(TblMili[[#This Row],[Ice Elemental]]+Races!$E$71-6,0) + MAX(Races!$F$71-6,0) )  -  Races!$I$71</f>
        <v>0</v>
      </c>
      <c r="CY39" s="97">
        <f ca="1">TblMili[[#This Row],[Frost Mage bonus]]*TblMili[[#This Row],[Unit 3]]+TblMili[[#This Row],[Ice Elemental bonus]]*TblMili[[#This Row],[Unit 4]]</f>
        <v>0</v>
      </c>
      <c r="CZ39" s="268"/>
      <c r="DA39" s="146">
        <f ca="1">MIN(SUM(TblConstr[[#This Row],[Plain]:[Water]])/TblMili[[#This Row],[Land]]/favorable_terrain_bonus/100,favorable_terrain_max)</f>
        <v>0</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9875</v>
      </c>
      <c r="DD39" s="145"/>
      <c r="DE39" s="269">
        <f ca="1">(TblMili[[#This Row],[Wizards]]+2*TblMili[[#This Row],[Archmages]])/TblConstr[[#This Row],[Land]]</f>
        <v>0</v>
      </c>
      <c r="DF39" s="269">
        <f ca="1">TblMili[[#This Row],[Raw (2)]]*(1+race_wizard_strength+IF(TblMili[[#This Row],[Hour]]&gt;72,tech_magical_weaponry_wiz*TblTech[[#This Row],[3-5]],0))</f>
        <v>0</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1</v>
      </c>
      <c r="C40" s="160">
        <f ca="1">TblPop[[#This Row],[Military%]]</f>
        <v>1.4927601134497685E-4</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5"/>
      <c r="N40" s="97">
        <f ca="1">TblProd[[#This Row],[Networth]]</f>
        <v>9875</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1</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1</v>
      </c>
      <c r="X40" s="262">
        <f ca="1">TblConstr[[#This Row],[Land]]</f>
        <v>419</v>
      </c>
      <c r="Y40" s="265"/>
      <c r="Z40" s="270">
        <f ca="1">IF(TblMili[[#This Row],[Set]]&lt;&gt;"",TblMili[[#This Row],[Set]],OFFSET(TblMili[[#This Row],[Draftrate]],-1,0))</f>
        <v>0.9</v>
      </c>
      <c r="AA40" s="97">
        <f ca="1">OFFSET(TblMili[[#This Row],[Draftees]],-1,0)+OFFSET(TblPop[[#This Row],[Draft Growth]],-1,0) - SUM(TblMili[[#This Row],[Train Unit 1]:[Train Spies]],TblMili[[#This Row],[Train Wiz]]) - TblMili[[#This Row],[Release Draft]] + SUM(TblMili[[#This Row],[Release Unit 1]:[Release AM]]) - TblExplore[[#This Row],[Draftees (2)]]</f>
        <v>1</v>
      </c>
      <c r="AB40" s="157"/>
      <c r="AC40" s="183">
        <f ca="1">(TblConstr[[#This Row],[Tot Smi]]+TblConstr[[#This Row],[Dest Smi]])/(TblConstr[[#This Row],[Land]]-TblExplore[[#This Row],[Land Bonus]]*20)</f>
        <v>0</v>
      </c>
      <c r="AD40" s="140"/>
      <c r="AE40" s="261">
        <f>TblMili[[#This Row],[Hour]]</f>
        <v>37</v>
      </c>
      <c r="AF40" s="141">
        <f ca="1">TblExplore[[#This Row],[Time]]</f>
        <v>45431.249999999913</v>
      </c>
      <c r="AG40" s="182"/>
      <c r="AH40" s="182"/>
      <c r="AI40" s="182"/>
      <c r="AJ40" s="182"/>
      <c r="AK40" s="182"/>
      <c r="AL40" s="182"/>
      <c r="AM40" s="182"/>
      <c r="AN40" s="182"/>
      <c r="AO40" s="145"/>
      <c r="AP40" s="97">
        <f ca="1">TblProd[[#This Row],[Platinum]]</f>
        <v>63059</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45431.249999999913</v>
      </c>
      <c r="AV40" s="97">
        <f ca="1">TblMili[[#This Row],[Draftees]]</f>
        <v>1</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300</v>
      </c>
      <c r="BJ40" s="97">
        <f ca="1">ROUNDUP(IF(race="Gnome",1,(1-MIN(TblMili[[#This Row],[Smithies]]*smithy_bonus,smithy_bonus_cap) + tech_3_5*TblTech[[#This Row],[3-5]] + tech_5_3*TblTech[[#This Row],[5-3]] + tech_5_5*TblTech[[#This Row],[5-5]]))*spec_op_ore,0)</f>
        <v>0</v>
      </c>
      <c r="BK40" s="97">
        <f ca="1">ROUNDUP((1-MIN(TblMili[[#This Row],[Smithies]]*smithy_bonus,smithy_bonus_cap) + tech_3_5*TblTech[[#This Row],[3-5]] + tech_5_3*TblTech[[#This Row],[5-3]] + tech_5_5*TblTech[[#This Row],[5-5]])*spec_dp_plat,0)</f>
        <v>300</v>
      </c>
      <c r="BL40" s="97">
        <f ca="1">ROUNDUP(IF(race="Gnome",1,(1-MIN(TblMili[[#This Row],[Smithies]]*smithy_bonus,smithy_bonus_cap) + tech_3_5*TblTech[[#This Row],[3-5]] + tech_5_3*TblTech[[#This Row],[5-3]] + tech_5_5*TblTech[[#This Row],[5-5]]))*spec_dp_ore,0)</f>
        <v>0</v>
      </c>
      <c r="BM40" s="97">
        <f ca="1">ROUNDUP((1-MIN(TblMili[[#This Row],[Smithies]]*smithy_bonus,smithy_bonus_cap) + tech_3_5*TblTech[[#This Row],[3-5]] + tech_5_3*TblTech[[#This Row],[5-3]] + tech_5_5*TblTech[[#This Row],[5-5]])*elite1_plat,0)</f>
        <v>925</v>
      </c>
      <c r="BN40" s="97">
        <f ca="1">ROUNDUP(IF(race="Gnome",1,(1-MIN(TblMili[[#This Row],[Smithies]]*smithy_bonus,smithy_bonus_cap) + tech_3_5*TblTech[[#This Row],[3-5]] + tech_5_3*TblTech[[#This Row],[5-3]] + tech_5_5*TblTech[[#This Row],[5-5]]))*elite1_ore,0)</f>
        <v>0</v>
      </c>
      <c r="BO40" s="97">
        <f ca="1">ROUNDUP((1-MIN(TblMili[[#This Row],[Smithies]]*smithy_bonus,smithy_bonus_cap) + tech_3_5*TblTech[[#This Row],[3-5]] + tech_5_3*TblTech[[#This Row],[5-3]] + tech_5_5*TblTech[[#This Row],[5-5]])*elite2_plat,0)</f>
        <v>950</v>
      </c>
      <c r="BP40" s="97">
        <f ca="1">ROUNDUP(IF(race="Gnome",1,(1-MIN(TblMili[[#This Row],[Smithies]]*smithy_bonus,smithy_bonus_cap) + tech_3_5*TblTech[[#This Row],[3-5]] + tech_5_3*TblTech[[#This Row],[5-3]] + tech_5_5*TblTech[[#This Row],[5-5]]))*elite2_ore,0)</f>
        <v>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v>
      </c>
      <c r="BW40" s="160">
        <f ca="1">TblMili[[#This Row],[WG''s]]</f>
        <v>0</v>
      </c>
      <c r="BX40" s="266">
        <f ca="1">IF(mystic_cap="none",TblMili[[#This Row],[Hill]]/mystic_bonus,MIN(mystic_cap,TblMili[[#This Row],[Hill]]/mystic_bonus))</f>
        <v>0</v>
      </c>
      <c r="BY40" s="266">
        <f ca="1">IF(druid_op_cap="none",TblMili[[#This Row],[Hill]]/druid_op_bonus,MIN(druid_op_cap,TblMili[[#This Row],[Hill]]/druid_op_bonus))</f>
        <v>0</v>
      </c>
      <c r="BZ40" s="266">
        <f ca="1">IF(druid_dp_cap="none",TblMili[[#This Row],[Hill]]/druid_dp_bonus,MIN(druid_dp_cap,TblMili[[#This Row],[Hill]]/druid_dp_bonus))</f>
        <v>0</v>
      </c>
      <c r="CA40" s="266">
        <f ca="1">MIN(dryad_cap,TblMili[[#This Row],[Hill]]/dryad_bonus)</f>
        <v>0</v>
      </c>
      <c r="CB40" s="266">
        <f ca="1">MIN(rocka_cap,TblMili[[#This Row],[Hill]]/rocka_bonus)</f>
        <v>0</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0</v>
      </c>
      <c r="CH40" s="45">
        <f ca="1">MIN(ice_elem_cap,TblMili[[#This Row],[Raw (2)]]*ice_elem_bonus)</f>
        <v>0</v>
      </c>
      <c r="CI40" s="266">
        <f t="shared" si="2"/>
        <v>0.83333333333333337</v>
      </c>
      <c r="CJ40" s="266">
        <f ca="1">MIN(nox_nightshade_cap,TblConstr[[#This Row],[Homeland]]/TblConstr[[#This Row],[Land]]/nox_nightshade_swamp_bonus)</f>
        <v>0</v>
      </c>
      <c r="CK40" s="267"/>
      <c r="CL40" s="267"/>
      <c r="CM40" s="267"/>
      <c r="CN40" s="266">
        <f ca="1">MIN(6,TblMili[[#This Row],[Mystic]]+Races!$F$19)*1.8 +  IF(TblMili[[#This Row],[Mystic]]+Races!$F$19&gt;6,(TblMili[[#This Row],[Mystic]]+Races!$F$19-6)*0.2,0) - Races!$I$19</f>
        <v>0</v>
      </c>
      <c r="CO40" s="266">
        <f ca="1">1.8 * MIN(MAX(TblMili[[#This Row],[Druid (op)]]+Races!$E$20,TblMili[[#This Row],[Druid (dp)]]+Races!$F$20),6)  +  0.45 * MIN(MIN(TblMili[[#This Row],[Druid (op)]]+Races!$E$20,TblMili[[#This Row],[Druid (dp)]]+Races!$F$20),6)  +  0.2 * ( MAX(TblMili[[#This Row],[Druid (op)]]+Races!$E$20-6,0) + MAX(TblMili[[#This Row],[Druid (dp)]]+Races!$F$20-6,0) )  -  Races!$I$20</f>
        <v>0</v>
      </c>
      <c r="CP40" s="97">
        <f ca="1">TblMili[[#This Row],[Mystic bonus]]*TblMili[[#This Row],[Unit 3]]+TblMili[[#This Row],[Druid bonus]]*TblMili[[#This Row],[Unit 4]]</f>
        <v>0</v>
      </c>
      <c r="CQ40" s="158">
        <f ca="1">MIN(6,TblMili[[#This Row],[Dryad]]+Races!$F$35)*1.8 +  IF(TblMili[[#This Row],[Dryad]]+Races!$F$35&gt;6,(TblMili[[#This Row],[Dryad]]+Races!$F$35-6)*0.2,0) - Races!$I$19</f>
        <v>-1.7999999999999998</v>
      </c>
      <c r="CR40" s="97">
        <f ca="1">sylvan*(TblMili[[#This Row],[Mystic bonus]]*TblMili[[#This Row],[Unit 3]])</f>
        <v>0</v>
      </c>
      <c r="CS40" s="158">
        <f ca="1">1.8 * MIN(MAX(Races!$E$27,TblMili[[#This Row],[Rockapult]]+Races!$F$27),6)  +  0.45 * MIN(MIN(Races!$E$27,TblMili[[#This Row],[Rockapult]]+Races!$F$27),6)  +  0.2 * ( MAX(Races!$E$27-6,0) + MAX(TblMili[[#This Row],[Rockapult]]+Races!$F$27-6,0) )  -  Races!$I$20</f>
        <v>2.2499999999999991</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0</v>
      </c>
      <c r="CX40" s="158">
        <f ca="1">1.8 * MIN(MAX(TblMili[[#This Row],[Ice Elemental]]+Races!$E$71,Races!$F$71),6)  +  0.45 * MIN(MIN(TblMili[[#This Row],[Ice Elemental]]+Races!$E$71,Races!$F$71),6)  +  0.2 * ( MAX(TblMili[[#This Row],[Ice Elemental]]+Races!$E$71-6,0) + MAX(Races!$F$71-6,0) )  -  Races!$I$71</f>
        <v>0</v>
      </c>
      <c r="CY40" s="97">
        <f ca="1">TblMili[[#This Row],[Frost Mage bonus]]*TblMili[[#This Row],[Unit 3]]+TblMili[[#This Row],[Ice Elemental bonus]]*TblMili[[#This Row],[Unit 4]]</f>
        <v>0</v>
      </c>
      <c r="CZ40" s="268"/>
      <c r="DA40" s="146">
        <f ca="1">MIN(SUM(TblConstr[[#This Row],[Plain]:[Water]])/TblMili[[#This Row],[Land]]/favorable_terrain_bonus/100,favorable_terrain_max)</f>
        <v>0</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9875</v>
      </c>
      <c r="DD40" s="145"/>
      <c r="DE40" s="269">
        <f ca="1">(TblMili[[#This Row],[Wizards]]+2*TblMili[[#This Row],[Archmages]])/TblConstr[[#This Row],[Land]]</f>
        <v>0</v>
      </c>
      <c r="DF40" s="269">
        <f ca="1">TblMili[[#This Row],[Raw (2)]]*(1+race_wizard_strength+IF(TblMili[[#This Row],[Hour]]&gt;72,tech_magical_weaponry_wiz*TblTech[[#This Row],[3-5]],0))</f>
        <v>0</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3</v>
      </c>
      <c r="C41" s="160">
        <f ca="1">TblPop[[#This Row],[Military%]]</f>
        <v>4.4782803403493058E-4</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5"/>
      <c r="N41" s="97">
        <f ca="1">TblProd[[#This Row],[Networth]]</f>
        <v>9875</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3</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3</v>
      </c>
      <c r="X41" s="262">
        <f ca="1">TblConstr[[#This Row],[Land]]</f>
        <v>419</v>
      </c>
      <c r="Y41" s="265"/>
      <c r="Z41" s="270">
        <f ca="1">IF(TblMili[[#This Row],[Set]]&lt;&gt;"",TblMili[[#This Row],[Set]],OFFSET(TblMili[[#This Row],[Draftrate]],-1,0))</f>
        <v>0.9</v>
      </c>
      <c r="AA41" s="97">
        <f ca="1">OFFSET(TblMili[[#This Row],[Draftees]],-1,0)+OFFSET(TblPop[[#This Row],[Draft Growth]],-1,0) - SUM(TblMili[[#This Row],[Train Unit 1]:[Train Spies]],TblMili[[#This Row],[Train Wiz]]) - TblMili[[#This Row],[Release Draft]] + SUM(TblMili[[#This Row],[Release Unit 1]:[Release AM]]) - TblExplore[[#This Row],[Draftees (2)]]</f>
        <v>3</v>
      </c>
      <c r="AB41" s="157"/>
      <c r="AC41" s="183">
        <f ca="1">(TblConstr[[#This Row],[Tot Smi]]+TblConstr[[#This Row],[Dest Smi]])/(TblConstr[[#This Row],[Land]]-TblExplore[[#This Row],[Land Bonus]]*20)</f>
        <v>0</v>
      </c>
      <c r="AD41" s="140"/>
      <c r="AE41" s="261">
        <f>TblMili[[#This Row],[Hour]]</f>
        <v>38</v>
      </c>
      <c r="AF41" s="141">
        <f ca="1">TblExplore[[#This Row],[Time]]</f>
        <v>45431.291666666577</v>
      </c>
      <c r="AG41" s="182"/>
      <c r="AH41" s="182"/>
      <c r="AI41" s="182"/>
      <c r="AJ41" s="182"/>
      <c r="AK41" s="182"/>
      <c r="AL41" s="182"/>
      <c r="AM41" s="182"/>
      <c r="AN41" s="182"/>
      <c r="AO41" s="145"/>
      <c r="AP41" s="97">
        <f ca="1">TblProd[[#This Row],[Platinum]]</f>
        <v>71078</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45431.291666666577</v>
      </c>
      <c r="AV41" s="97">
        <f ca="1">TblMili[[#This Row],[Draftees]]</f>
        <v>3</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300</v>
      </c>
      <c r="BJ41" s="97">
        <f ca="1">ROUNDUP(IF(race="Gnome",1,(1-MIN(TblMili[[#This Row],[Smithies]]*smithy_bonus,smithy_bonus_cap) + tech_3_5*TblTech[[#This Row],[3-5]] + tech_5_3*TblTech[[#This Row],[5-3]] + tech_5_5*TblTech[[#This Row],[5-5]]))*spec_op_ore,0)</f>
        <v>0</v>
      </c>
      <c r="BK41" s="97">
        <f ca="1">ROUNDUP((1-MIN(TblMili[[#This Row],[Smithies]]*smithy_bonus,smithy_bonus_cap) + tech_3_5*TblTech[[#This Row],[3-5]] + tech_5_3*TblTech[[#This Row],[5-3]] + tech_5_5*TblTech[[#This Row],[5-5]])*spec_dp_plat,0)</f>
        <v>300</v>
      </c>
      <c r="BL41" s="97">
        <f ca="1">ROUNDUP(IF(race="Gnome",1,(1-MIN(TblMili[[#This Row],[Smithies]]*smithy_bonus,smithy_bonus_cap) + tech_3_5*TblTech[[#This Row],[3-5]] + tech_5_3*TblTech[[#This Row],[5-3]] + tech_5_5*TblTech[[#This Row],[5-5]]))*spec_dp_ore,0)</f>
        <v>0</v>
      </c>
      <c r="BM41" s="97">
        <f ca="1">ROUNDUP((1-MIN(TblMili[[#This Row],[Smithies]]*smithy_bonus,smithy_bonus_cap) + tech_3_5*TblTech[[#This Row],[3-5]] + tech_5_3*TblTech[[#This Row],[5-3]] + tech_5_5*TblTech[[#This Row],[5-5]])*elite1_plat,0)</f>
        <v>925</v>
      </c>
      <c r="BN41" s="97">
        <f ca="1">ROUNDUP(IF(race="Gnome",1,(1-MIN(TblMili[[#This Row],[Smithies]]*smithy_bonus,smithy_bonus_cap) + tech_3_5*TblTech[[#This Row],[3-5]] + tech_5_3*TblTech[[#This Row],[5-3]] + tech_5_5*TblTech[[#This Row],[5-5]]))*elite1_ore,0)</f>
        <v>0</v>
      </c>
      <c r="BO41" s="97">
        <f ca="1">ROUNDUP((1-MIN(TblMili[[#This Row],[Smithies]]*smithy_bonus,smithy_bonus_cap) + tech_3_5*TblTech[[#This Row],[3-5]] + tech_5_3*TblTech[[#This Row],[5-3]] + tech_5_5*TblTech[[#This Row],[5-5]])*elite2_plat,0)</f>
        <v>950</v>
      </c>
      <c r="BP41" s="97">
        <f ca="1">ROUNDUP(IF(race="Gnome",1,(1-MIN(TblMili[[#This Row],[Smithies]]*smithy_bonus,smithy_bonus_cap) + tech_3_5*TblTech[[#This Row],[3-5]] + tech_5_3*TblTech[[#This Row],[5-3]] + tech_5_5*TblTech[[#This Row],[5-5]]))*elite2_ore,0)</f>
        <v>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v>
      </c>
      <c r="BW41" s="160">
        <f ca="1">TblMili[[#This Row],[WG''s]]</f>
        <v>0</v>
      </c>
      <c r="BX41" s="266">
        <f ca="1">IF(mystic_cap="none",TblMili[[#This Row],[Hill]]/mystic_bonus,MIN(mystic_cap,TblMili[[#This Row],[Hill]]/mystic_bonus))</f>
        <v>0</v>
      </c>
      <c r="BY41" s="266">
        <f ca="1">IF(druid_op_cap="none",TblMili[[#This Row],[Hill]]/druid_op_bonus,MIN(druid_op_cap,TblMili[[#This Row],[Hill]]/druid_op_bonus))</f>
        <v>0</v>
      </c>
      <c r="BZ41" s="266">
        <f ca="1">IF(druid_dp_cap="none",TblMili[[#This Row],[Hill]]/druid_dp_bonus,MIN(druid_dp_cap,TblMili[[#This Row],[Hill]]/druid_dp_bonus))</f>
        <v>0</v>
      </c>
      <c r="CA41" s="266">
        <f ca="1">MIN(dryad_cap,TblMili[[#This Row],[Hill]]/dryad_bonus)</f>
        <v>0</v>
      </c>
      <c r="CB41" s="266">
        <f ca="1">MIN(rocka_cap,TblMili[[#This Row],[Hill]]/rocka_bonus)</f>
        <v>0</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0</v>
      </c>
      <c r="CH41" s="45">
        <f ca="1">MIN(ice_elem_cap,TblMili[[#This Row],[Raw (2)]]*ice_elem_bonus)</f>
        <v>0</v>
      </c>
      <c r="CI41" s="266">
        <f t="shared" si="2"/>
        <v>0.83333333333333337</v>
      </c>
      <c r="CJ41" s="266">
        <f ca="1">MIN(nox_nightshade_cap,TblConstr[[#This Row],[Homeland]]/TblConstr[[#This Row],[Land]]/nox_nightshade_swamp_bonus)</f>
        <v>0</v>
      </c>
      <c r="CK41" s="267"/>
      <c r="CL41" s="267"/>
      <c r="CM41" s="267"/>
      <c r="CN41" s="266">
        <f ca="1">MIN(6,TblMili[[#This Row],[Mystic]]+Races!$F$19)*1.8 +  IF(TblMili[[#This Row],[Mystic]]+Races!$F$19&gt;6,(TblMili[[#This Row],[Mystic]]+Races!$F$19-6)*0.2,0) - Races!$I$19</f>
        <v>0</v>
      </c>
      <c r="CO41" s="266">
        <f ca="1">1.8 * MIN(MAX(TblMili[[#This Row],[Druid (op)]]+Races!$E$20,TblMili[[#This Row],[Druid (dp)]]+Races!$F$20),6)  +  0.45 * MIN(MIN(TblMili[[#This Row],[Druid (op)]]+Races!$E$20,TblMili[[#This Row],[Druid (dp)]]+Races!$F$20),6)  +  0.2 * ( MAX(TblMili[[#This Row],[Druid (op)]]+Races!$E$20-6,0) + MAX(TblMili[[#This Row],[Druid (dp)]]+Races!$F$20-6,0) )  -  Races!$I$20</f>
        <v>0</v>
      </c>
      <c r="CP41" s="97">
        <f ca="1">TblMili[[#This Row],[Mystic bonus]]*TblMili[[#This Row],[Unit 3]]+TblMili[[#This Row],[Druid bonus]]*TblMili[[#This Row],[Unit 4]]</f>
        <v>0</v>
      </c>
      <c r="CQ41" s="158">
        <f ca="1">MIN(6,TblMili[[#This Row],[Dryad]]+Races!$F$35)*1.8 +  IF(TblMili[[#This Row],[Dryad]]+Races!$F$35&gt;6,(TblMili[[#This Row],[Dryad]]+Races!$F$35-6)*0.2,0) - Races!$I$19</f>
        <v>-1.7999999999999998</v>
      </c>
      <c r="CR41" s="97">
        <f ca="1">sylvan*(TblMili[[#This Row],[Mystic bonus]]*TblMili[[#This Row],[Unit 3]])</f>
        <v>0</v>
      </c>
      <c r="CS41" s="158">
        <f ca="1">1.8 * MIN(MAX(Races!$E$27,TblMili[[#This Row],[Rockapult]]+Races!$F$27),6)  +  0.45 * MIN(MIN(Races!$E$27,TblMili[[#This Row],[Rockapult]]+Races!$F$27),6)  +  0.2 * ( MAX(Races!$E$27-6,0) + MAX(TblMili[[#This Row],[Rockapult]]+Races!$F$27-6,0) )  -  Races!$I$20</f>
        <v>2.2499999999999991</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0</v>
      </c>
      <c r="CX41" s="158">
        <f ca="1">1.8 * MIN(MAX(TblMili[[#This Row],[Ice Elemental]]+Races!$E$71,Races!$F$71),6)  +  0.45 * MIN(MIN(TblMili[[#This Row],[Ice Elemental]]+Races!$E$71,Races!$F$71),6)  +  0.2 * ( MAX(TblMili[[#This Row],[Ice Elemental]]+Races!$E$71-6,0) + MAX(Races!$F$71-6,0) )  -  Races!$I$71</f>
        <v>0</v>
      </c>
      <c r="CY41" s="97">
        <f ca="1">TblMili[[#This Row],[Frost Mage bonus]]*TblMili[[#This Row],[Unit 3]]+TblMili[[#This Row],[Ice Elemental bonus]]*TblMili[[#This Row],[Unit 4]]</f>
        <v>0</v>
      </c>
      <c r="CZ41" s="268"/>
      <c r="DA41" s="146">
        <f ca="1">MIN(SUM(TblConstr[[#This Row],[Plain]:[Water]])/TblMili[[#This Row],[Land]]/favorable_terrain_bonus/100,favorable_terrain_max)</f>
        <v>0</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9875</v>
      </c>
      <c r="DD41" s="145"/>
      <c r="DE41" s="269">
        <f ca="1">(TblMili[[#This Row],[Wizards]]+2*TblMili[[#This Row],[Archmages]])/TblConstr[[#This Row],[Land]]</f>
        <v>0</v>
      </c>
      <c r="DF41" s="269">
        <f ca="1">TblMili[[#This Row],[Raw (2)]]*(1+race_wizard_strength+IF(TblMili[[#This Row],[Hour]]&gt;72,tech_magical_weaponry_wiz*TblTech[[#This Row],[3-5]],0))</f>
        <v>0</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0</v>
      </c>
      <c r="C42" s="160">
        <f ca="1">TblPop[[#This Row],[Military%]]</f>
        <v>0</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5"/>
      <c r="N42" s="97">
        <f ca="1">TblProd[[#This Row],[Networth]]</f>
        <v>9875</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0</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0</v>
      </c>
      <c r="X42" s="262">
        <f ca="1">TblConstr[[#This Row],[Land]]</f>
        <v>419</v>
      </c>
      <c r="Y42" s="265"/>
      <c r="Z42" s="270">
        <f ca="1">IF(TblMili[[#This Row],[Set]]&lt;&gt;"",TblMili[[#This Row],[Set]],OFFSET(TblMili[[#This Row],[Draftrate]],-1,0))</f>
        <v>0.9</v>
      </c>
      <c r="AA42" s="97">
        <f ca="1">OFFSET(TblMili[[#This Row],[Draftees]],-1,0)+OFFSET(TblPop[[#This Row],[Draft Growth]],-1,0) - SUM(TblMili[[#This Row],[Train Unit 1]:[Train Spies]],TblMili[[#This Row],[Train Wiz]]) - TblMili[[#This Row],[Release Draft]] + SUM(TblMili[[#This Row],[Release Unit 1]:[Release AM]]) - TblExplore[[#This Row],[Draftees (2)]]</f>
        <v>0</v>
      </c>
      <c r="AB42" s="157"/>
      <c r="AC42" s="183">
        <f ca="1">(TblConstr[[#This Row],[Tot Smi]]+TblConstr[[#This Row],[Dest Smi]])/(TblConstr[[#This Row],[Land]]-TblExplore[[#This Row],[Land Bonus]]*20)</f>
        <v>0</v>
      </c>
      <c r="AD42" s="140"/>
      <c r="AE42" s="261">
        <f>TblMili[[#This Row],[Hour]]</f>
        <v>39</v>
      </c>
      <c r="AF42" s="141">
        <f ca="1">TblExplore[[#This Row],[Time]]</f>
        <v>45431.333333333241</v>
      </c>
      <c r="AG42" s="182"/>
      <c r="AH42" s="182"/>
      <c r="AI42" s="182"/>
      <c r="AJ42" s="182"/>
      <c r="AK42" s="182"/>
      <c r="AL42" s="182"/>
      <c r="AM42" s="182"/>
      <c r="AN42" s="182"/>
      <c r="AO42" s="145"/>
      <c r="AP42" s="97">
        <f ca="1">TblProd[[#This Row],[Platinum]]</f>
        <v>77568</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45431.333333333241</v>
      </c>
      <c r="AV42" s="97">
        <f ca="1">TblMili[[#This Row],[Draftees]]</f>
        <v>0</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300</v>
      </c>
      <c r="BJ42" s="97">
        <f ca="1">ROUNDUP(IF(race="Gnome",1,(1-MIN(TblMili[[#This Row],[Smithies]]*smithy_bonus,smithy_bonus_cap) + tech_3_5*TblTech[[#This Row],[3-5]] + tech_5_3*TblTech[[#This Row],[5-3]] + tech_5_5*TblTech[[#This Row],[5-5]]))*spec_op_ore,0)</f>
        <v>0</v>
      </c>
      <c r="BK42" s="97">
        <f ca="1">ROUNDUP((1-MIN(TblMili[[#This Row],[Smithies]]*smithy_bonus,smithy_bonus_cap) + tech_3_5*TblTech[[#This Row],[3-5]] + tech_5_3*TblTech[[#This Row],[5-3]] + tech_5_5*TblTech[[#This Row],[5-5]])*spec_dp_plat,0)</f>
        <v>300</v>
      </c>
      <c r="BL42" s="97">
        <f ca="1">ROUNDUP(IF(race="Gnome",1,(1-MIN(TblMili[[#This Row],[Smithies]]*smithy_bonus,smithy_bonus_cap) + tech_3_5*TblTech[[#This Row],[3-5]] + tech_5_3*TblTech[[#This Row],[5-3]] + tech_5_5*TblTech[[#This Row],[5-5]]))*spec_dp_ore,0)</f>
        <v>0</v>
      </c>
      <c r="BM42" s="97">
        <f ca="1">ROUNDUP((1-MIN(TblMili[[#This Row],[Smithies]]*smithy_bonus,smithy_bonus_cap) + tech_3_5*TblTech[[#This Row],[3-5]] + tech_5_3*TblTech[[#This Row],[5-3]] + tech_5_5*TblTech[[#This Row],[5-5]])*elite1_plat,0)</f>
        <v>925</v>
      </c>
      <c r="BN42" s="97">
        <f ca="1">ROUNDUP(IF(race="Gnome",1,(1-MIN(TblMili[[#This Row],[Smithies]]*smithy_bonus,smithy_bonus_cap) + tech_3_5*TblTech[[#This Row],[3-5]] + tech_5_3*TblTech[[#This Row],[5-3]] + tech_5_5*TblTech[[#This Row],[5-5]]))*elite1_ore,0)</f>
        <v>0</v>
      </c>
      <c r="BO42" s="97">
        <f ca="1">ROUNDUP((1-MIN(TblMili[[#This Row],[Smithies]]*smithy_bonus,smithy_bonus_cap) + tech_3_5*TblTech[[#This Row],[3-5]] + tech_5_3*TblTech[[#This Row],[5-3]] + tech_5_5*TblTech[[#This Row],[5-5]])*elite2_plat,0)</f>
        <v>950</v>
      </c>
      <c r="BP42" s="97">
        <f ca="1">ROUNDUP(IF(race="Gnome",1,(1-MIN(TblMili[[#This Row],[Smithies]]*smithy_bonus,smithy_bonus_cap) + tech_3_5*TblTech[[#This Row],[3-5]] + tech_5_3*TblTech[[#This Row],[5-3]] + tech_5_5*TblTech[[#This Row],[5-5]]))*elite2_ore,0)</f>
        <v>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v>
      </c>
      <c r="BW42" s="160">
        <f ca="1">TblMili[[#This Row],[WG''s]]</f>
        <v>0</v>
      </c>
      <c r="BX42" s="266">
        <f ca="1">IF(mystic_cap="none",TblMili[[#This Row],[Hill]]/mystic_bonus,MIN(mystic_cap,TblMili[[#This Row],[Hill]]/mystic_bonus))</f>
        <v>0</v>
      </c>
      <c r="BY42" s="266">
        <f ca="1">IF(druid_op_cap="none",TblMili[[#This Row],[Hill]]/druid_op_bonus,MIN(druid_op_cap,TblMili[[#This Row],[Hill]]/druid_op_bonus))</f>
        <v>0</v>
      </c>
      <c r="BZ42" s="266">
        <f ca="1">IF(druid_dp_cap="none",TblMili[[#This Row],[Hill]]/druid_dp_bonus,MIN(druid_dp_cap,TblMili[[#This Row],[Hill]]/druid_dp_bonus))</f>
        <v>0</v>
      </c>
      <c r="CA42" s="266">
        <f ca="1">MIN(dryad_cap,TblMili[[#This Row],[Hill]]/dryad_bonus)</f>
        <v>0</v>
      </c>
      <c r="CB42" s="266">
        <f ca="1">MIN(rocka_cap,TblMili[[#This Row],[Hill]]/rocka_bonus)</f>
        <v>0</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0</v>
      </c>
      <c r="CH42" s="45">
        <f ca="1">MIN(ice_elem_cap,TblMili[[#This Row],[Raw (2)]]*ice_elem_bonus)</f>
        <v>0</v>
      </c>
      <c r="CI42" s="266">
        <f t="shared" si="2"/>
        <v>0.83333333333333337</v>
      </c>
      <c r="CJ42" s="266">
        <f ca="1">MIN(nox_nightshade_cap,TblConstr[[#This Row],[Homeland]]/TblConstr[[#This Row],[Land]]/nox_nightshade_swamp_bonus)</f>
        <v>0</v>
      </c>
      <c r="CK42" s="267"/>
      <c r="CL42" s="267"/>
      <c r="CM42" s="267"/>
      <c r="CN42" s="266">
        <f ca="1">MIN(6,TblMili[[#This Row],[Mystic]]+Races!$F$19)*1.8 +  IF(TblMili[[#This Row],[Mystic]]+Races!$F$19&gt;6,(TblMili[[#This Row],[Mystic]]+Races!$F$19-6)*0.2,0) - Races!$I$19</f>
        <v>0</v>
      </c>
      <c r="CO42" s="266">
        <f ca="1">1.8 * MIN(MAX(TblMili[[#This Row],[Druid (op)]]+Races!$E$20,TblMili[[#This Row],[Druid (dp)]]+Races!$F$20),6)  +  0.45 * MIN(MIN(TblMili[[#This Row],[Druid (op)]]+Races!$E$20,TblMili[[#This Row],[Druid (dp)]]+Races!$F$20),6)  +  0.2 * ( MAX(TblMili[[#This Row],[Druid (op)]]+Races!$E$20-6,0) + MAX(TblMili[[#This Row],[Druid (dp)]]+Races!$F$20-6,0) )  -  Races!$I$20</f>
        <v>0</v>
      </c>
      <c r="CP42" s="97">
        <f ca="1">TblMili[[#This Row],[Mystic bonus]]*TblMili[[#This Row],[Unit 3]]+TblMili[[#This Row],[Druid bonus]]*TblMili[[#This Row],[Unit 4]]</f>
        <v>0</v>
      </c>
      <c r="CQ42" s="158">
        <f ca="1">MIN(6,TblMili[[#This Row],[Dryad]]+Races!$F$35)*1.8 +  IF(TblMili[[#This Row],[Dryad]]+Races!$F$35&gt;6,(TblMili[[#This Row],[Dryad]]+Races!$F$35-6)*0.2,0) - Races!$I$19</f>
        <v>-1.7999999999999998</v>
      </c>
      <c r="CR42" s="97">
        <f ca="1">sylvan*(TblMili[[#This Row],[Mystic bonus]]*TblMili[[#This Row],[Unit 3]])</f>
        <v>0</v>
      </c>
      <c r="CS42" s="158">
        <f ca="1">1.8 * MIN(MAX(Races!$E$27,TblMili[[#This Row],[Rockapult]]+Races!$F$27),6)  +  0.45 * MIN(MIN(Races!$E$27,TblMili[[#This Row],[Rockapult]]+Races!$F$27),6)  +  0.2 * ( MAX(Races!$E$27-6,0) + MAX(TblMili[[#This Row],[Rockapult]]+Races!$F$27-6,0) )  -  Races!$I$20</f>
        <v>2.2499999999999991</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0</v>
      </c>
      <c r="CX42" s="158">
        <f ca="1">1.8 * MIN(MAX(TblMili[[#This Row],[Ice Elemental]]+Races!$E$71,Races!$F$71),6)  +  0.45 * MIN(MIN(TblMili[[#This Row],[Ice Elemental]]+Races!$E$71,Races!$F$71),6)  +  0.2 * ( MAX(TblMili[[#This Row],[Ice Elemental]]+Races!$E$71-6,0) + MAX(Races!$F$71-6,0) )  -  Races!$I$71</f>
        <v>0</v>
      </c>
      <c r="CY42" s="97">
        <f ca="1">TblMili[[#This Row],[Frost Mage bonus]]*TblMili[[#This Row],[Unit 3]]+TblMili[[#This Row],[Ice Elemental bonus]]*TblMili[[#This Row],[Unit 4]]</f>
        <v>0</v>
      </c>
      <c r="CZ42" s="268"/>
      <c r="DA42" s="146">
        <f ca="1">MIN(SUM(TblConstr[[#This Row],[Plain]:[Water]])/TblMili[[#This Row],[Land]]/favorable_terrain_bonus/100,favorable_terrain_max)</f>
        <v>0</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9875</v>
      </c>
      <c r="DD42" s="145"/>
      <c r="DE42" s="269">
        <f ca="1">(TblMili[[#This Row],[Wizards]]+2*TblMili[[#This Row],[Archmages]])/TblConstr[[#This Row],[Land]]</f>
        <v>0</v>
      </c>
      <c r="DF42" s="269">
        <f ca="1">TblMili[[#This Row],[Raw (2)]]*(1+race_wizard_strength+IF(TblMili[[#This Row],[Hour]]&gt;72,tech_magical_weaponry_wiz*TblTech[[#This Row],[3-5]],0))</f>
        <v>0</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2</v>
      </c>
      <c r="C43" s="160">
        <f ca="1">TblPop[[#This Row],[Military%]]</f>
        <v>2.985520226899537E-4</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5"/>
      <c r="N43" s="97">
        <f ca="1">TblProd[[#This Row],[Networth]]</f>
        <v>9875</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2</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2</v>
      </c>
      <c r="X43" s="262">
        <f ca="1">TblConstr[[#This Row],[Land]]</f>
        <v>419</v>
      </c>
      <c r="Y43" s="265"/>
      <c r="Z43" s="270">
        <f ca="1">IF(TblMili[[#This Row],[Set]]&lt;&gt;"",TblMili[[#This Row],[Set]],OFFSET(TblMili[[#This Row],[Draftrate]],-1,0))</f>
        <v>0.9</v>
      </c>
      <c r="AA43" s="97">
        <f ca="1">OFFSET(TblMili[[#This Row],[Draftees]],-1,0)+OFFSET(TblPop[[#This Row],[Draft Growth]],-1,0) - SUM(TblMili[[#This Row],[Train Unit 1]:[Train Spies]],TblMili[[#This Row],[Train Wiz]]) - TblMili[[#This Row],[Release Draft]] + SUM(TblMili[[#This Row],[Release Unit 1]:[Release AM]]) - TblExplore[[#This Row],[Draftees (2)]]</f>
        <v>2</v>
      </c>
      <c r="AB43" s="157"/>
      <c r="AC43" s="183">
        <f ca="1">(TblConstr[[#This Row],[Tot Smi]]+TblConstr[[#This Row],[Dest Smi]])/(TblConstr[[#This Row],[Land]]-TblExplore[[#This Row],[Land Bonus]]*20)</f>
        <v>0</v>
      </c>
      <c r="AD43" s="140"/>
      <c r="AE43" s="261">
        <f>TblMili[[#This Row],[Hour]]</f>
        <v>40</v>
      </c>
      <c r="AF43" s="141">
        <f ca="1">TblExplore[[#This Row],[Time]]</f>
        <v>45431.374999999905</v>
      </c>
      <c r="AG43" s="182"/>
      <c r="AH43" s="182"/>
      <c r="AI43" s="182"/>
      <c r="AJ43" s="182"/>
      <c r="AK43" s="182"/>
      <c r="AL43" s="182"/>
      <c r="AM43" s="182"/>
      <c r="AN43" s="182"/>
      <c r="AO43" s="145"/>
      <c r="AP43" s="97">
        <f ca="1">TblProd[[#This Row],[Platinum]]</f>
        <v>85587</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45431.374999999905</v>
      </c>
      <c r="AV43" s="97">
        <f ca="1">TblMili[[#This Row],[Draftees]]</f>
        <v>2</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300</v>
      </c>
      <c r="BJ43" s="97">
        <f ca="1">ROUNDUP(IF(race="Gnome",1,(1-MIN(TblMili[[#This Row],[Smithies]]*smithy_bonus,smithy_bonus_cap) + tech_3_5*TblTech[[#This Row],[3-5]] + tech_5_3*TblTech[[#This Row],[5-3]] + tech_5_5*TblTech[[#This Row],[5-5]]))*spec_op_ore,0)</f>
        <v>0</v>
      </c>
      <c r="BK43" s="97">
        <f ca="1">ROUNDUP((1-MIN(TblMili[[#This Row],[Smithies]]*smithy_bonus,smithy_bonus_cap) + tech_3_5*TblTech[[#This Row],[3-5]] + tech_5_3*TblTech[[#This Row],[5-3]] + tech_5_5*TblTech[[#This Row],[5-5]])*spec_dp_plat,0)</f>
        <v>300</v>
      </c>
      <c r="BL43" s="97">
        <f ca="1">ROUNDUP(IF(race="Gnome",1,(1-MIN(TblMili[[#This Row],[Smithies]]*smithy_bonus,smithy_bonus_cap) + tech_3_5*TblTech[[#This Row],[3-5]] + tech_5_3*TblTech[[#This Row],[5-3]] + tech_5_5*TblTech[[#This Row],[5-5]]))*spec_dp_ore,0)</f>
        <v>0</v>
      </c>
      <c r="BM43" s="97">
        <f ca="1">ROUNDUP((1-MIN(TblMili[[#This Row],[Smithies]]*smithy_bonus,smithy_bonus_cap) + tech_3_5*TblTech[[#This Row],[3-5]] + tech_5_3*TblTech[[#This Row],[5-3]] + tech_5_5*TblTech[[#This Row],[5-5]])*elite1_plat,0)</f>
        <v>925</v>
      </c>
      <c r="BN43" s="97">
        <f ca="1">ROUNDUP(IF(race="Gnome",1,(1-MIN(TblMili[[#This Row],[Smithies]]*smithy_bonus,smithy_bonus_cap) + tech_3_5*TblTech[[#This Row],[3-5]] + tech_5_3*TblTech[[#This Row],[5-3]] + tech_5_5*TblTech[[#This Row],[5-5]]))*elite1_ore,0)</f>
        <v>0</v>
      </c>
      <c r="BO43" s="97">
        <f ca="1">ROUNDUP((1-MIN(TblMili[[#This Row],[Smithies]]*smithy_bonus,smithy_bonus_cap) + tech_3_5*TblTech[[#This Row],[3-5]] + tech_5_3*TblTech[[#This Row],[5-3]] + tech_5_5*TblTech[[#This Row],[5-5]])*elite2_plat,0)</f>
        <v>950</v>
      </c>
      <c r="BP43" s="97">
        <f ca="1">ROUNDUP(IF(race="Gnome",1,(1-MIN(TblMili[[#This Row],[Smithies]]*smithy_bonus,smithy_bonus_cap) + tech_3_5*TblTech[[#This Row],[3-5]] + tech_5_3*TblTech[[#This Row],[5-3]] + tech_5_5*TblTech[[#This Row],[5-5]]))*elite2_ore,0)</f>
        <v>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v>
      </c>
      <c r="BW43" s="160">
        <f ca="1">TblMili[[#This Row],[WG''s]]</f>
        <v>0</v>
      </c>
      <c r="BX43" s="266">
        <f ca="1">IF(mystic_cap="none",TblMili[[#This Row],[Hill]]/mystic_bonus,MIN(mystic_cap,TblMili[[#This Row],[Hill]]/mystic_bonus))</f>
        <v>0</v>
      </c>
      <c r="BY43" s="266">
        <f ca="1">IF(druid_op_cap="none",TblMili[[#This Row],[Hill]]/druid_op_bonus,MIN(druid_op_cap,TblMili[[#This Row],[Hill]]/druid_op_bonus))</f>
        <v>0</v>
      </c>
      <c r="BZ43" s="266">
        <f ca="1">IF(druid_dp_cap="none",TblMili[[#This Row],[Hill]]/druid_dp_bonus,MIN(druid_dp_cap,TblMili[[#This Row],[Hill]]/druid_dp_bonus))</f>
        <v>0</v>
      </c>
      <c r="CA43" s="266">
        <f ca="1">MIN(dryad_cap,TblMili[[#This Row],[Hill]]/dryad_bonus)</f>
        <v>0</v>
      </c>
      <c r="CB43" s="266">
        <f ca="1">MIN(rocka_cap,TblMili[[#This Row],[Hill]]/rocka_bonus)</f>
        <v>0</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0</v>
      </c>
      <c r="CH43" s="45">
        <f ca="1">MIN(ice_elem_cap,TblMili[[#This Row],[Raw (2)]]*ice_elem_bonus)</f>
        <v>0</v>
      </c>
      <c r="CI43" s="266">
        <f t="shared" si="2"/>
        <v>0.83333333333333337</v>
      </c>
      <c r="CJ43" s="266">
        <f ca="1">MIN(nox_nightshade_cap,TblConstr[[#This Row],[Homeland]]/TblConstr[[#This Row],[Land]]/nox_nightshade_swamp_bonus)</f>
        <v>0</v>
      </c>
      <c r="CK43" s="267"/>
      <c r="CL43" s="267"/>
      <c r="CM43" s="267"/>
      <c r="CN43" s="266">
        <f ca="1">MIN(6,TblMili[[#This Row],[Mystic]]+Races!$F$19)*1.8 +  IF(TblMili[[#This Row],[Mystic]]+Races!$F$19&gt;6,(TblMili[[#This Row],[Mystic]]+Races!$F$19-6)*0.2,0) - Races!$I$19</f>
        <v>0</v>
      </c>
      <c r="CO43" s="266">
        <f ca="1">1.8 * MIN(MAX(TblMili[[#This Row],[Druid (op)]]+Races!$E$20,TblMili[[#This Row],[Druid (dp)]]+Races!$F$20),6)  +  0.45 * MIN(MIN(TblMili[[#This Row],[Druid (op)]]+Races!$E$20,TblMili[[#This Row],[Druid (dp)]]+Races!$F$20),6)  +  0.2 * ( MAX(TblMili[[#This Row],[Druid (op)]]+Races!$E$20-6,0) + MAX(TblMili[[#This Row],[Druid (dp)]]+Races!$F$20-6,0) )  -  Races!$I$20</f>
        <v>0</v>
      </c>
      <c r="CP43" s="97">
        <f ca="1">TblMili[[#This Row],[Mystic bonus]]*TblMili[[#This Row],[Unit 3]]+TblMili[[#This Row],[Druid bonus]]*TblMili[[#This Row],[Unit 4]]</f>
        <v>0</v>
      </c>
      <c r="CQ43" s="158">
        <f ca="1">MIN(6,TblMili[[#This Row],[Dryad]]+Races!$F$35)*1.8 +  IF(TblMili[[#This Row],[Dryad]]+Races!$F$35&gt;6,(TblMili[[#This Row],[Dryad]]+Races!$F$35-6)*0.2,0) - Races!$I$19</f>
        <v>-1.7999999999999998</v>
      </c>
      <c r="CR43" s="97">
        <f ca="1">sylvan*(TblMili[[#This Row],[Mystic bonus]]*TblMili[[#This Row],[Unit 3]])</f>
        <v>0</v>
      </c>
      <c r="CS43" s="158">
        <f ca="1">1.8 * MIN(MAX(Races!$E$27,TblMili[[#This Row],[Rockapult]]+Races!$F$27),6)  +  0.45 * MIN(MIN(Races!$E$27,TblMili[[#This Row],[Rockapult]]+Races!$F$27),6)  +  0.2 * ( MAX(Races!$E$27-6,0) + MAX(TblMili[[#This Row],[Rockapult]]+Races!$F$27-6,0) )  -  Races!$I$20</f>
        <v>2.2499999999999991</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0</v>
      </c>
      <c r="CX43" s="158">
        <f ca="1">1.8 * MIN(MAX(TblMili[[#This Row],[Ice Elemental]]+Races!$E$71,Races!$F$71),6)  +  0.45 * MIN(MIN(TblMili[[#This Row],[Ice Elemental]]+Races!$E$71,Races!$F$71),6)  +  0.2 * ( MAX(TblMili[[#This Row],[Ice Elemental]]+Races!$E$71-6,0) + MAX(Races!$F$71-6,0) )  -  Races!$I$71</f>
        <v>0</v>
      </c>
      <c r="CY43" s="97">
        <f ca="1">TblMili[[#This Row],[Frost Mage bonus]]*TblMili[[#This Row],[Unit 3]]+TblMili[[#This Row],[Ice Elemental bonus]]*TblMili[[#This Row],[Unit 4]]</f>
        <v>0</v>
      </c>
      <c r="CZ43" s="268"/>
      <c r="DA43" s="146">
        <f ca="1">MIN(SUM(TblConstr[[#This Row],[Plain]:[Water]])/TblMili[[#This Row],[Land]]/favorable_terrain_bonus/100,favorable_terrain_max)</f>
        <v>0</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9875</v>
      </c>
      <c r="DD43" s="145"/>
      <c r="DE43" s="269">
        <f ca="1">(TblMili[[#This Row],[Wizards]]+2*TblMili[[#This Row],[Archmages]])/TblConstr[[#This Row],[Land]]</f>
        <v>0</v>
      </c>
      <c r="DF43" s="269">
        <f ca="1">TblMili[[#This Row],[Raw (2)]]*(1+race_wizard_strength+IF(TblMili[[#This Row],[Hour]]&gt;72,tech_magical_weaponry_wiz*TblTech[[#This Row],[3-5]],0))</f>
        <v>0</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3</v>
      </c>
      <c r="C44" s="160">
        <f ca="1">TblPop[[#This Row],[Military%]]</f>
        <v>4.2595484878602869E-4</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5"/>
      <c r="N44" s="97">
        <f ca="1">TblProd[[#This Row],[Networth]]</f>
        <v>11515</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3</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3</v>
      </c>
      <c r="X44" s="262">
        <f ca="1">TblConstr[[#This Row],[Land]]</f>
        <v>501</v>
      </c>
      <c r="Y44" s="265"/>
      <c r="Z44" s="270">
        <f ca="1">IF(TblMili[[#This Row],[Set]]&lt;&gt;"",TblMili[[#This Row],[Set]],OFFSET(TblMili[[#This Row],[Draftrate]],-1,0))</f>
        <v>0.9</v>
      </c>
      <c r="AA44" s="97">
        <f ca="1">OFFSET(TblMili[[#This Row],[Draftees]],-1,0)+OFFSET(TblPop[[#This Row],[Draft Growth]],-1,0) - SUM(TblMili[[#This Row],[Train Unit 1]:[Train Spies]],TblMili[[#This Row],[Train Wiz]]) - TblMili[[#This Row],[Release Draft]] + SUM(TblMili[[#This Row],[Release Unit 1]:[Release AM]]) - TblExplore[[#This Row],[Draftees (2)]]</f>
        <v>3</v>
      </c>
      <c r="AB44" s="157"/>
      <c r="AC44" s="183">
        <f ca="1">(TblConstr[[#This Row],[Tot Smi]]+TblConstr[[#This Row],[Dest Smi]])/(TblConstr[[#This Row],[Land]]-TblExplore[[#This Row],[Land Bonus]]*20)</f>
        <v>0</v>
      </c>
      <c r="AD44" s="140"/>
      <c r="AE44" s="261">
        <f>TblMili[[#This Row],[Hour]]</f>
        <v>41</v>
      </c>
      <c r="AF44" s="141">
        <f ca="1">TblExplore[[#This Row],[Time]]</f>
        <v>45431.41666666657</v>
      </c>
      <c r="AG44" s="182"/>
      <c r="AH44" s="182"/>
      <c r="AI44" s="182"/>
      <c r="AJ44" s="182"/>
      <c r="AK44" s="182"/>
      <c r="AL44" s="182"/>
      <c r="AM44" s="182"/>
      <c r="AN44" s="182"/>
      <c r="AO44" s="145"/>
      <c r="AP44" s="97">
        <f ca="1">TblProd[[#This Row],[Platinum]]</f>
        <v>54134</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45431.41666666657</v>
      </c>
      <c r="AV44" s="97">
        <f ca="1">TblMili[[#This Row],[Draftees]]</f>
        <v>3</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300</v>
      </c>
      <c r="BJ44" s="97">
        <f ca="1">ROUNDUP(IF(race="Gnome",1,(1-MIN(TblMili[[#This Row],[Smithies]]*smithy_bonus,smithy_bonus_cap) + tech_3_5*TblTech[[#This Row],[3-5]] + tech_5_3*TblTech[[#This Row],[5-3]] + tech_5_5*TblTech[[#This Row],[5-5]]))*spec_op_ore,0)</f>
        <v>0</v>
      </c>
      <c r="BK44" s="97">
        <f ca="1">ROUNDUP((1-MIN(TblMili[[#This Row],[Smithies]]*smithy_bonus,smithy_bonus_cap) + tech_3_5*TblTech[[#This Row],[3-5]] + tech_5_3*TblTech[[#This Row],[5-3]] + tech_5_5*TblTech[[#This Row],[5-5]])*spec_dp_plat,0)</f>
        <v>300</v>
      </c>
      <c r="BL44" s="97">
        <f ca="1">ROUNDUP(IF(race="Gnome",1,(1-MIN(TblMili[[#This Row],[Smithies]]*smithy_bonus,smithy_bonus_cap) + tech_3_5*TblTech[[#This Row],[3-5]] + tech_5_3*TblTech[[#This Row],[5-3]] + tech_5_5*TblTech[[#This Row],[5-5]]))*spec_dp_ore,0)</f>
        <v>0</v>
      </c>
      <c r="BM44" s="97">
        <f ca="1">ROUNDUP((1-MIN(TblMili[[#This Row],[Smithies]]*smithy_bonus,smithy_bonus_cap) + tech_3_5*TblTech[[#This Row],[3-5]] + tech_5_3*TblTech[[#This Row],[5-3]] + tech_5_5*TblTech[[#This Row],[5-5]])*elite1_plat,0)</f>
        <v>925</v>
      </c>
      <c r="BN44" s="97">
        <f ca="1">ROUNDUP(IF(race="Gnome",1,(1-MIN(TblMili[[#This Row],[Smithies]]*smithy_bonus,smithy_bonus_cap) + tech_3_5*TblTech[[#This Row],[3-5]] + tech_5_3*TblTech[[#This Row],[5-3]] + tech_5_5*TblTech[[#This Row],[5-5]]))*elite1_ore,0)</f>
        <v>0</v>
      </c>
      <c r="BO44" s="97">
        <f ca="1">ROUNDUP((1-MIN(TblMili[[#This Row],[Smithies]]*smithy_bonus,smithy_bonus_cap) + tech_3_5*TblTech[[#This Row],[3-5]] + tech_5_3*TblTech[[#This Row],[5-3]] + tech_5_5*TblTech[[#This Row],[5-5]])*elite2_plat,0)</f>
        <v>950</v>
      </c>
      <c r="BP44" s="97">
        <f ca="1">ROUNDUP(IF(race="Gnome",1,(1-MIN(TblMili[[#This Row],[Smithies]]*smithy_bonus,smithy_bonus_cap) + tech_3_5*TblTech[[#This Row],[3-5]] + tech_5_3*TblTech[[#This Row],[5-3]] + tech_5_5*TblTech[[#This Row],[5-5]]))*elite2_ore,0)</f>
        <v>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v>
      </c>
      <c r="BW44" s="160">
        <f ca="1">TblMili[[#This Row],[WG''s]]</f>
        <v>0</v>
      </c>
      <c r="BX44" s="266">
        <f ca="1">IF(mystic_cap="none",TblMili[[#This Row],[Hill]]/mystic_bonus,MIN(mystic_cap,TblMili[[#This Row],[Hill]]/mystic_bonus))</f>
        <v>0</v>
      </c>
      <c r="BY44" s="266">
        <f ca="1">IF(druid_op_cap="none",TblMili[[#This Row],[Hill]]/druid_op_bonus,MIN(druid_op_cap,TblMili[[#This Row],[Hill]]/druid_op_bonus))</f>
        <v>0</v>
      </c>
      <c r="BZ44" s="266">
        <f ca="1">IF(druid_dp_cap="none",TblMili[[#This Row],[Hill]]/druid_dp_bonus,MIN(druid_dp_cap,TblMili[[#This Row],[Hill]]/druid_dp_bonus))</f>
        <v>0</v>
      </c>
      <c r="CA44" s="266">
        <f ca="1">MIN(dryad_cap,TblMili[[#This Row],[Hill]]/dryad_bonus)</f>
        <v>0</v>
      </c>
      <c r="CB44" s="266">
        <f ca="1">MIN(rocka_cap,TblMili[[#This Row],[Hill]]/rocka_bonus)</f>
        <v>0</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0</v>
      </c>
      <c r="CH44" s="45">
        <f ca="1">MIN(ice_elem_cap,TblMili[[#This Row],[Raw (2)]]*ice_elem_bonus)</f>
        <v>0</v>
      </c>
      <c r="CI44" s="266">
        <f t="shared" si="2"/>
        <v>0.83333333333333337</v>
      </c>
      <c r="CJ44" s="266">
        <f ca="1">MIN(nox_nightshade_cap,TblConstr[[#This Row],[Homeland]]/TblConstr[[#This Row],[Land]]/nox_nightshade_swamp_bonus)</f>
        <v>0</v>
      </c>
      <c r="CK44" s="267"/>
      <c r="CL44" s="267"/>
      <c r="CM44" s="267"/>
      <c r="CN44" s="266">
        <f ca="1">MIN(6,TblMili[[#This Row],[Mystic]]+Races!$F$19)*1.8 +  IF(TblMili[[#This Row],[Mystic]]+Races!$F$19&gt;6,(TblMili[[#This Row],[Mystic]]+Races!$F$19-6)*0.2,0) - Races!$I$19</f>
        <v>0</v>
      </c>
      <c r="CO44" s="266">
        <f ca="1">1.8 * MIN(MAX(TblMili[[#This Row],[Druid (op)]]+Races!$E$20,TblMili[[#This Row],[Druid (dp)]]+Races!$F$20),6)  +  0.45 * MIN(MIN(TblMili[[#This Row],[Druid (op)]]+Races!$E$20,TblMili[[#This Row],[Druid (dp)]]+Races!$F$20),6)  +  0.2 * ( MAX(TblMili[[#This Row],[Druid (op)]]+Races!$E$20-6,0) + MAX(TblMili[[#This Row],[Druid (dp)]]+Races!$F$20-6,0) )  -  Races!$I$20</f>
        <v>0</v>
      </c>
      <c r="CP44" s="97">
        <f ca="1">TblMili[[#This Row],[Mystic bonus]]*TblMili[[#This Row],[Unit 3]]+TblMili[[#This Row],[Druid bonus]]*TblMili[[#This Row],[Unit 4]]</f>
        <v>0</v>
      </c>
      <c r="CQ44" s="158">
        <f ca="1">MIN(6,TblMili[[#This Row],[Dryad]]+Races!$F$35)*1.8 +  IF(TblMili[[#This Row],[Dryad]]+Races!$F$35&gt;6,(TblMili[[#This Row],[Dryad]]+Races!$F$35-6)*0.2,0) - Races!$I$19</f>
        <v>-1.7999999999999998</v>
      </c>
      <c r="CR44" s="97">
        <f ca="1">sylvan*(TblMili[[#This Row],[Mystic bonus]]*TblMili[[#This Row],[Unit 3]])</f>
        <v>0</v>
      </c>
      <c r="CS44" s="158">
        <f ca="1">1.8 * MIN(MAX(Races!$E$27,TblMili[[#This Row],[Rockapult]]+Races!$F$27),6)  +  0.45 * MIN(MIN(Races!$E$27,TblMili[[#This Row],[Rockapult]]+Races!$F$27),6)  +  0.2 * ( MAX(Races!$E$27-6,0) + MAX(TblMili[[#This Row],[Rockapult]]+Races!$F$27-6,0) )  -  Races!$I$20</f>
        <v>2.2499999999999991</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0</v>
      </c>
      <c r="CX44" s="158">
        <f ca="1">1.8 * MIN(MAX(TblMili[[#This Row],[Ice Elemental]]+Races!$E$71,Races!$F$71),6)  +  0.45 * MIN(MIN(TblMili[[#This Row],[Ice Elemental]]+Races!$E$71,Races!$F$71),6)  +  0.2 * ( MAX(TblMili[[#This Row],[Ice Elemental]]+Races!$E$71-6,0) + MAX(Races!$F$71-6,0) )  -  Races!$I$71</f>
        <v>0</v>
      </c>
      <c r="CY44" s="97">
        <f ca="1">TblMili[[#This Row],[Frost Mage bonus]]*TblMili[[#This Row],[Unit 3]]+TblMili[[#This Row],[Ice Elemental bonus]]*TblMili[[#This Row],[Unit 4]]</f>
        <v>0</v>
      </c>
      <c r="CZ44" s="268"/>
      <c r="DA44" s="146">
        <f ca="1">MIN(SUM(TblConstr[[#This Row],[Plain]:[Water]])/TblMili[[#This Row],[Land]]/favorable_terrain_bonus/100,favorable_terrain_max)</f>
        <v>0</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11515</v>
      </c>
      <c r="DD44" s="145"/>
      <c r="DE44" s="269">
        <f ca="1">(TblMili[[#This Row],[Wizards]]+2*TblMili[[#This Row],[Archmages]])/TblConstr[[#This Row],[Land]]</f>
        <v>0</v>
      </c>
      <c r="DF44" s="269">
        <f ca="1">TblMili[[#This Row],[Raw (2)]]*(1+race_wizard_strength+IF(TblMili[[#This Row],[Hour]]&gt;72,tech_magical_weaponry_wiz*TblTech[[#This Row],[3-5]],0))</f>
        <v>0</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1</v>
      </c>
      <c r="C45" s="160">
        <f ca="1">TblPop[[#This Row],[Military%]]</f>
        <v>1.3513513513513514E-4</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5"/>
      <c r="N45" s="97">
        <f ca="1">TblProd[[#This Row],[Networth]]</f>
        <v>12045</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1</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1</v>
      </c>
      <c r="X45" s="262">
        <f ca="1">TblConstr[[#This Row],[Land]]</f>
        <v>510</v>
      </c>
      <c r="Y45" s="265"/>
      <c r="Z45" s="270">
        <f ca="1">IF(TblMili[[#This Row],[Set]]&lt;&gt;"",TblMili[[#This Row],[Set]],OFFSET(TblMili[[#This Row],[Draftrate]],-1,0))</f>
        <v>0.9</v>
      </c>
      <c r="AA45" s="97">
        <f ca="1">OFFSET(TblMili[[#This Row],[Draftees]],-1,0)+OFFSET(TblPop[[#This Row],[Draft Growth]],-1,0) - SUM(TblMili[[#This Row],[Train Unit 1]:[Train Spies]],TblMili[[#This Row],[Train Wiz]]) - TblMili[[#This Row],[Release Draft]] + SUM(TblMili[[#This Row],[Release Unit 1]:[Release AM]]) - TblExplore[[#This Row],[Draftees (2)]]</f>
        <v>1</v>
      </c>
      <c r="AB45" s="157"/>
      <c r="AC45" s="183">
        <f ca="1">(TblConstr[[#This Row],[Tot Smi]]+TblConstr[[#This Row],[Dest Smi]])/(TblConstr[[#This Row],[Land]]-TblExplore[[#This Row],[Land Bonus]]*20)</f>
        <v>0</v>
      </c>
      <c r="AD45" s="140"/>
      <c r="AE45" s="261">
        <f>TblMili[[#This Row],[Hour]]</f>
        <v>42</v>
      </c>
      <c r="AF45" s="141">
        <f ca="1">TblExplore[[#This Row],[Time]]</f>
        <v>45431.458333333234</v>
      </c>
      <c r="AG45" s="182"/>
      <c r="AH45" s="182"/>
      <c r="AI45" s="182"/>
      <c r="AJ45" s="182"/>
      <c r="AK45" s="182"/>
      <c r="AL45" s="182"/>
      <c r="AM45" s="182"/>
      <c r="AN45" s="182"/>
      <c r="AO45" s="145"/>
      <c r="AP45" s="97">
        <f ca="1">TblProd[[#This Row],[Platinum]]</f>
        <v>60267</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45431.458333333234</v>
      </c>
      <c r="AV45" s="97">
        <f ca="1">TblMili[[#This Row],[Draftees]]</f>
        <v>1</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300</v>
      </c>
      <c r="BJ45" s="97">
        <f ca="1">ROUNDUP(IF(race="Gnome",1,(1-MIN(TblMili[[#This Row],[Smithies]]*smithy_bonus,smithy_bonus_cap) + tech_3_5*TblTech[[#This Row],[3-5]] + tech_5_3*TblTech[[#This Row],[5-3]] + tech_5_5*TblTech[[#This Row],[5-5]]))*spec_op_ore,0)</f>
        <v>0</v>
      </c>
      <c r="BK45" s="97">
        <f ca="1">ROUNDUP((1-MIN(TblMili[[#This Row],[Smithies]]*smithy_bonus,smithy_bonus_cap) + tech_3_5*TblTech[[#This Row],[3-5]] + tech_5_3*TblTech[[#This Row],[5-3]] + tech_5_5*TblTech[[#This Row],[5-5]])*spec_dp_plat,0)</f>
        <v>300</v>
      </c>
      <c r="BL45" s="97">
        <f ca="1">ROUNDUP(IF(race="Gnome",1,(1-MIN(TblMili[[#This Row],[Smithies]]*smithy_bonus,smithy_bonus_cap) + tech_3_5*TblTech[[#This Row],[3-5]] + tech_5_3*TblTech[[#This Row],[5-3]] + tech_5_5*TblTech[[#This Row],[5-5]]))*spec_dp_ore,0)</f>
        <v>0</v>
      </c>
      <c r="BM45" s="97">
        <f ca="1">ROUNDUP((1-MIN(TblMili[[#This Row],[Smithies]]*smithy_bonus,smithy_bonus_cap) + tech_3_5*TblTech[[#This Row],[3-5]] + tech_5_3*TblTech[[#This Row],[5-3]] + tech_5_5*TblTech[[#This Row],[5-5]])*elite1_plat,0)</f>
        <v>925</v>
      </c>
      <c r="BN45" s="97">
        <f ca="1">ROUNDUP(IF(race="Gnome",1,(1-MIN(TblMili[[#This Row],[Smithies]]*smithy_bonus,smithy_bonus_cap) + tech_3_5*TblTech[[#This Row],[3-5]] + tech_5_3*TblTech[[#This Row],[5-3]] + tech_5_5*TblTech[[#This Row],[5-5]]))*elite1_ore,0)</f>
        <v>0</v>
      </c>
      <c r="BO45" s="97">
        <f ca="1">ROUNDUP((1-MIN(TblMili[[#This Row],[Smithies]]*smithy_bonus,smithy_bonus_cap) + tech_3_5*TblTech[[#This Row],[3-5]] + tech_5_3*TblTech[[#This Row],[5-3]] + tech_5_5*TblTech[[#This Row],[5-5]])*elite2_plat,0)</f>
        <v>950</v>
      </c>
      <c r="BP45" s="97">
        <f ca="1">ROUNDUP(IF(race="Gnome",1,(1-MIN(TblMili[[#This Row],[Smithies]]*smithy_bonus,smithy_bonus_cap) + tech_3_5*TblTech[[#This Row],[3-5]] + tech_5_3*TblTech[[#This Row],[5-3]] + tech_5_5*TblTech[[#This Row],[5-5]]))*elite2_ore,0)</f>
        <v>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v>
      </c>
      <c r="BW45" s="160">
        <f ca="1">TblMili[[#This Row],[WG''s]]</f>
        <v>0</v>
      </c>
      <c r="BX45" s="266">
        <f ca="1">IF(mystic_cap="none",TblMili[[#This Row],[Hill]]/mystic_bonus,MIN(mystic_cap,TblMili[[#This Row],[Hill]]/mystic_bonus))</f>
        <v>0</v>
      </c>
      <c r="BY45" s="266">
        <f ca="1">IF(druid_op_cap="none",TblMili[[#This Row],[Hill]]/druid_op_bonus,MIN(druid_op_cap,TblMili[[#This Row],[Hill]]/druid_op_bonus))</f>
        <v>0</v>
      </c>
      <c r="BZ45" s="266">
        <f ca="1">IF(druid_dp_cap="none",TblMili[[#This Row],[Hill]]/druid_dp_bonus,MIN(druid_dp_cap,TblMili[[#This Row],[Hill]]/druid_dp_bonus))</f>
        <v>0</v>
      </c>
      <c r="CA45" s="266">
        <f ca="1">MIN(dryad_cap,TblMili[[#This Row],[Hill]]/dryad_bonus)</f>
        <v>0</v>
      </c>
      <c r="CB45" s="266">
        <f ca="1">MIN(rocka_cap,TblMili[[#This Row],[Hill]]/rocka_bonus)</f>
        <v>0</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0</v>
      </c>
      <c r="CH45" s="45">
        <f ca="1">MIN(ice_elem_cap,TblMili[[#This Row],[Raw (2)]]*ice_elem_bonus)</f>
        <v>0</v>
      </c>
      <c r="CI45" s="266">
        <f t="shared" si="2"/>
        <v>0.83333333333333337</v>
      </c>
      <c r="CJ45" s="266">
        <f ca="1">MIN(nox_nightshade_cap,TblConstr[[#This Row],[Homeland]]/TblConstr[[#This Row],[Land]]/nox_nightshade_swamp_bonus)</f>
        <v>0</v>
      </c>
      <c r="CK45" s="267"/>
      <c r="CL45" s="267"/>
      <c r="CM45" s="267"/>
      <c r="CN45" s="266">
        <f ca="1">MIN(6,TblMili[[#This Row],[Mystic]]+Races!$F$19)*1.8 +  IF(TblMili[[#This Row],[Mystic]]+Races!$F$19&gt;6,(TblMili[[#This Row],[Mystic]]+Races!$F$19-6)*0.2,0) - Races!$I$19</f>
        <v>0</v>
      </c>
      <c r="CO45" s="266">
        <f ca="1">1.8 * MIN(MAX(TblMili[[#This Row],[Druid (op)]]+Races!$E$20,TblMili[[#This Row],[Druid (dp)]]+Races!$F$20),6)  +  0.45 * MIN(MIN(TblMili[[#This Row],[Druid (op)]]+Races!$E$20,TblMili[[#This Row],[Druid (dp)]]+Races!$F$20),6)  +  0.2 * ( MAX(TblMili[[#This Row],[Druid (op)]]+Races!$E$20-6,0) + MAX(TblMili[[#This Row],[Druid (dp)]]+Races!$F$20-6,0) )  -  Races!$I$20</f>
        <v>0</v>
      </c>
      <c r="CP45" s="97">
        <f ca="1">TblMili[[#This Row],[Mystic bonus]]*TblMili[[#This Row],[Unit 3]]+TblMili[[#This Row],[Druid bonus]]*TblMili[[#This Row],[Unit 4]]</f>
        <v>0</v>
      </c>
      <c r="CQ45" s="158">
        <f ca="1">MIN(6,TblMili[[#This Row],[Dryad]]+Races!$F$35)*1.8 +  IF(TblMili[[#This Row],[Dryad]]+Races!$F$35&gt;6,(TblMili[[#This Row],[Dryad]]+Races!$F$35-6)*0.2,0) - Races!$I$19</f>
        <v>-1.7999999999999998</v>
      </c>
      <c r="CR45" s="97">
        <f ca="1">sylvan*(TblMili[[#This Row],[Mystic bonus]]*TblMili[[#This Row],[Unit 3]])</f>
        <v>0</v>
      </c>
      <c r="CS45" s="158">
        <f ca="1">1.8 * MIN(MAX(Races!$E$27,TblMili[[#This Row],[Rockapult]]+Races!$F$27),6)  +  0.45 * MIN(MIN(Races!$E$27,TblMili[[#This Row],[Rockapult]]+Races!$F$27),6)  +  0.2 * ( MAX(Races!$E$27-6,0) + MAX(TblMili[[#This Row],[Rockapult]]+Races!$F$27-6,0) )  -  Races!$I$20</f>
        <v>2.2499999999999991</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0</v>
      </c>
      <c r="CX45" s="158">
        <f ca="1">1.8 * MIN(MAX(TblMili[[#This Row],[Ice Elemental]]+Races!$E$71,Races!$F$71),6)  +  0.45 * MIN(MIN(TblMili[[#This Row],[Ice Elemental]]+Races!$E$71,Races!$F$71),6)  +  0.2 * ( MAX(TblMili[[#This Row],[Ice Elemental]]+Races!$E$71-6,0) + MAX(Races!$F$71-6,0) )  -  Races!$I$71</f>
        <v>0</v>
      </c>
      <c r="CY45" s="97">
        <f ca="1">TblMili[[#This Row],[Frost Mage bonus]]*TblMili[[#This Row],[Unit 3]]+TblMili[[#This Row],[Ice Elemental bonus]]*TblMili[[#This Row],[Unit 4]]</f>
        <v>0</v>
      </c>
      <c r="CZ45" s="268"/>
      <c r="DA45" s="146">
        <f ca="1">MIN(SUM(TblConstr[[#This Row],[Plain]:[Water]])/TblMili[[#This Row],[Land]]/favorable_terrain_bonus/100,favorable_terrain_max)</f>
        <v>0</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12045</v>
      </c>
      <c r="DD45" s="145"/>
      <c r="DE45" s="269">
        <f ca="1">(TblMili[[#This Row],[Wizards]]+2*TblMili[[#This Row],[Archmages]])/TblConstr[[#This Row],[Land]]</f>
        <v>0</v>
      </c>
      <c r="DF45" s="269">
        <f ca="1">TblMili[[#This Row],[Raw (2)]]*(1+race_wizard_strength+IF(TblMili[[#This Row],[Hour]]&gt;72,tech_magical_weaponry_wiz*TblTech[[#This Row],[3-5]],0))</f>
        <v>0</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27</v>
      </c>
      <c r="C46" s="160">
        <f ca="1">TblPop[[#This Row],[Military%]]</f>
        <v>3.4610947314446866E-3</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5"/>
      <c r="N46" s="97">
        <f ca="1">TblProd[[#This Row],[Networth]]</f>
        <v>12300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27</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27</v>
      </c>
      <c r="X46" s="262">
        <f ca="1">TblConstr[[#This Row],[Land]]</f>
        <v>520</v>
      </c>
      <c r="Y46" s="265"/>
      <c r="Z46" s="270">
        <f ca="1">IF(TblMili[[#This Row],[Set]]&lt;&gt;"",TblMili[[#This Row],[Set]],OFFSET(TblMili[[#This Row],[Draftrate]],-1,0))</f>
        <v>0.9</v>
      </c>
      <c r="AA46" s="97">
        <f ca="1">OFFSET(TblMili[[#This Row],[Draftees]],-1,0)+OFFSET(TblPop[[#This Row],[Draft Growth]],-1,0) - SUM(TblMili[[#This Row],[Train Unit 1]:[Train Spies]],TblMili[[#This Row],[Train Wiz]]) - TblMili[[#This Row],[Release Draft]] + SUM(TblMili[[#This Row],[Release Unit 1]:[Release AM]]) - TblExplore[[#This Row],[Draftees (2)]]</f>
        <v>27</v>
      </c>
      <c r="AB46" s="157"/>
      <c r="AC46" s="183">
        <f ca="1">(TblConstr[[#This Row],[Tot Smi]]+TblConstr[[#This Row],[Dest Smi]])/(TblConstr[[#This Row],[Land]]-TblExplore[[#This Row],[Land Bonus]]*20)</f>
        <v>0</v>
      </c>
      <c r="AD46" s="140"/>
      <c r="AE46" s="261">
        <f>TblMili[[#This Row],[Hour]]</f>
        <v>43</v>
      </c>
      <c r="AF46" s="141">
        <f ca="1">TblExplore[[#This Row],[Time]]</f>
        <v>45431.499999999898</v>
      </c>
      <c r="AG46" s="182"/>
      <c r="AH46" s="182"/>
      <c r="AI46" s="182"/>
      <c r="AJ46" s="182"/>
      <c r="AK46" s="182"/>
      <c r="AL46" s="182"/>
      <c r="AM46" s="182"/>
      <c r="AN46" s="182"/>
      <c r="AO46" s="145"/>
      <c r="AP46" s="97">
        <f ca="1">TblProd[[#This Row],[Platinum]]</f>
        <v>75080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45431.499999999898</v>
      </c>
      <c r="AV46" s="97">
        <f ca="1">TblMili[[#This Row],[Draftees]]</f>
        <v>27</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300</v>
      </c>
      <c r="BJ46" s="97">
        <f ca="1">ROUNDUP(IF(race="Gnome",1,(1-MIN(TblMili[[#This Row],[Smithies]]*smithy_bonus,smithy_bonus_cap) + tech_3_5*TblTech[[#This Row],[3-5]] + tech_5_3*TblTech[[#This Row],[5-3]] + tech_5_5*TblTech[[#This Row],[5-5]]))*spec_op_ore,0)</f>
        <v>0</v>
      </c>
      <c r="BK46" s="97">
        <f ca="1">ROUNDUP((1-MIN(TblMili[[#This Row],[Smithies]]*smithy_bonus,smithy_bonus_cap) + tech_3_5*TblTech[[#This Row],[3-5]] + tech_5_3*TblTech[[#This Row],[5-3]] + tech_5_5*TblTech[[#This Row],[5-5]])*spec_dp_plat,0)</f>
        <v>300</v>
      </c>
      <c r="BL46" s="97">
        <f ca="1">ROUNDUP(IF(race="Gnome",1,(1-MIN(TblMili[[#This Row],[Smithies]]*smithy_bonus,smithy_bonus_cap) + tech_3_5*TblTech[[#This Row],[3-5]] + tech_5_3*TblTech[[#This Row],[5-3]] + tech_5_5*TblTech[[#This Row],[5-5]]))*spec_dp_ore,0)</f>
        <v>0</v>
      </c>
      <c r="BM46" s="97">
        <f ca="1">ROUNDUP((1-MIN(TblMili[[#This Row],[Smithies]]*smithy_bonus,smithy_bonus_cap) + tech_3_5*TblTech[[#This Row],[3-5]] + tech_5_3*TblTech[[#This Row],[5-3]] + tech_5_5*TblTech[[#This Row],[5-5]])*elite1_plat,0)</f>
        <v>925</v>
      </c>
      <c r="BN46" s="97">
        <f ca="1">ROUNDUP(IF(race="Gnome",1,(1-MIN(TblMili[[#This Row],[Smithies]]*smithy_bonus,smithy_bonus_cap) + tech_3_5*TblTech[[#This Row],[3-5]] + tech_5_3*TblTech[[#This Row],[5-3]] + tech_5_5*TblTech[[#This Row],[5-5]]))*elite1_ore,0)</f>
        <v>0</v>
      </c>
      <c r="BO46" s="97">
        <f ca="1">ROUNDUP((1-MIN(TblMili[[#This Row],[Smithies]]*smithy_bonus,smithy_bonus_cap) + tech_3_5*TblTech[[#This Row],[3-5]] + tech_5_3*TblTech[[#This Row],[5-3]] + tech_5_5*TblTech[[#This Row],[5-5]])*elite2_plat,0)</f>
        <v>950</v>
      </c>
      <c r="BP46" s="97">
        <f ca="1">ROUNDUP(IF(race="Gnome",1,(1-MIN(TblMili[[#This Row],[Smithies]]*smithy_bonus,smithy_bonus_cap) + tech_3_5*TblTech[[#This Row],[3-5]] + tech_5_3*TblTech[[#This Row],[5-3]] + tech_5_5*TblTech[[#This Row],[5-5]]))*elite2_ore,0)</f>
        <v>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v>
      </c>
      <c r="BW46" s="160">
        <f ca="1">TblMili[[#This Row],[WG''s]]</f>
        <v>0</v>
      </c>
      <c r="BX46" s="266">
        <f ca="1">IF(mystic_cap="none",TblMili[[#This Row],[Hill]]/mystic_bonus,MIN(mystic_cap,TblMili[[#This Row],[Hill]]/mystic_bonus))</f>
        <v>0</v>
      </c>
      <c r="BY46" s="266">
        <f ca="1">IF(druid_op_cap="none",TblMili[[#This Row],[Hill]]/druid_op_bonus,MIN(druid_op_cap,TblMili[[#This Row],[Hill]]/druid_op_bonus))</f>
        <v>0</v>
      </c>
      <c r="BZ46" s="266">
        <f ca="1">IF(druid_dp_cap="none",TblMili[[#This Row],[Hill]]/druid_dp_bonus,MIN(druid_dp_cap,TblMili[[#This Row],[Hill]]/druid_dp_bonus))</f>
        <v>0</v>
      </c>
      <c r="CA46" s="266">
        <f ca="1">MIN(dryad_cap,TblMili[[#This Row],[Hill]]/dryad_bonus)</f>
        <v>0</v>
      </c>
      <c r="CB46" s="266">
        <f ca="1">MIN(rocka_cap,TblMili[[#This Row],[Hill]]/rocka_bonus)</f>
        <v>0</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0</v>
      </c>
      <c r="CH46" s="45">
        <f ca="1">MIN(ice_elem_cap,TblMili[[#This Row],[Raw (2)]]*ice_elem_bonus)</f>
        <v>0</v>
      </c>
      <c r="CI46" s="266">
        <f t="shared" si="2"/>
        <v>0.83333333333333337</v>
      </c>
      <c r="CJ46" s="266">
        <f ca="1">MIN(nox_nightshade_cap,TblConstr[[#This Row],[Homeland]]/TblConstr[[#This Row],[Land]]/nox_nightshade_swamp_bonus)</f>
        <v>0</v>
      </c>
      <c r="CK46" s="267"/>
      <c r="CL46" s="267"/>
      <c r="CM46" s="267"/>
      <c r="CN46" s="266">
        <f ca="1">MIN(6,TblMili[[#This Row],[Mystic]]+Races!$F$19)*1.8 +  IF(TblMili[[#This Row],[Mystic]]+Races!$F$19&gt;6,(TblMili[[#This Row],[Mystic]]+Races!$F$19-6)*0.2,0) - Races!$I$19</f>
        <v>0</v>
      </c>
      <c r="CO46" s="266">
        <f ca="1">1.8 * MIN(MAX(TblMili[[#This Row],[Druid (op)]]+Races!$E$20,TblMili[[#This Row],[Druid (dp)]]+Races!$F$20),6)  +  0.45 * MIN(MIN(TblMili[[#This Row],[Druid (op)]]+Races!$E$20,TblMili[[#This Row],[Druid (dp)]]+Races!$F$20),6)  +  0.2 * ( MAX(TblMili[[#This Row],[Druid (op)]]+Races!$E$20-6,0) + MAX(TblMili[[#This Row],[Druid (dp)]]+Races!$F$20-6,0) )  -  Races!$I$20</f>
        <v>0</v>
      </c>
      <c r="CP46" s="97">
        <f ca="1">TblMili[[#This Row],[Mystic bonus]]*TblMili[[#This Row],[Unit 3]]+TblMili[[#This Row],[Druid bonus]]*TblMili[[#This Row],[Unit 4]]</f>
        <v>0</v>
      </c>
      <c r="CQ46" s="158">
        <f ca="1">MIN(6,TblMili[[#This Row],[Dryad]]+Races!$F$35)*1.8 +  IF(TblMili[[#This Row],[Dryad]]+Races!$F$35&gt;6,(TblMili[[#This Row],[Dryad]]+Races!$F$35-6)*0.2,0) - Races!$I$19</f>
        <v>-1.7999999999999998</v>
      </c>
      <c r="CR46" s="97">
        <f ca="1">sylvan*(TblMili[[#This Row],[Mystic bonus]]*TblMili[[#This Row],[Unit 3]])</f>
        <v>0</v>
      </c>
      <c r="CS46" s="158">
        <f ca="1">1.8 * MIN(MAX(Races!$E$27,TblMili[[#This Row],[Rockapult]]+Races!$F$27),6)  +  0.45 * MIN(MIN(Races!$E$27,TblMili[[#This Row],[Rockapult]]+Races!$F$27),6)  +  0.2 * ( MAX(Races!$E$27-6,0) + MAX(TblMili[[#This Row],[Rockapult]]+Races!$F$27-6,0) )  -  Races!$I$20</f>
        <v>2.2499999999999991</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0</v>
      </c>
      <c r="CX46" s="158">
        <f ca="1">1.8 * MIN(MAX(TblMili[[#This Row],[Ice Elemental]]+Races!$E$71,Races!$F$71),6)  +  0.45 * MIN(MIN(TblMili[[#This Row],[Ice Elemental]]+Races!$E$71,Races!$F$71),6)  +  0.2 * ( MAX(TblMili[[#This Row],[Ice Elemental]]+Races!$E$71-6,0) + MAX(Races!$F$71-6,0) )  -  Races!$I$71</f>
        <v>0</v>
      </c>
      <c r="CY46" s="97">
        <f ca="1">TblMili[[#This Row],[Frost Mage bonus]]*TblMili[[#This Row],[Unit 3]]+TblMili[[#This Row],[Ice Elemental bonus]]*TblMili[[#This Row],[Unit 4]]</f>
        <v>0</v>
      </c>
      <c r="CZ46" s="268"/>
      <c r="DA46" s="146">
        <f ca="1">MIN(SUM(TblConstr[[#This Row],[Plain]:[Water]])/TblMili[[#This Row],[Land]]/favorable_terrain_bonus/100,favorable_terrain_max)</f>
        <v>0</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12300</v>
      </c>
      <c r="DD46" s="145"/>
      <c r="DE46" s="269">
        <f ca="1">(TblMili[[#This Row],[Wizards]]+2*TblMili[[#This Row],[Archmages]])/TblConstr[[#This Row],[Land]]</f>
        <v>0</v>
      </c>
      <c r="DF46" s="269">
        <f ca="1">TblMili[[#This Row],[Raw (2)]]*(1+race_wizard_strength+IF(TblMili[[#This Row],[Hour]]&gt;72,tech_magical_weaponry_wiz*TblTech[[#This Row],[3-5]],0))</f>
        <v>0</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105</v>
      </c>
      <c r="C47" s="160">
        <f ca="1">TblPop[[#This Row],[Military%]]</f>
        <v>1.2696493349455865E-2</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5"/>
      <c r="N47" s="97">
        <f ca="1">TblProd[[#This Row],[Networth]]</f>
        <v>12560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105</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105</v>
      </c>
      <c r="X47" s="262">
        <f ca="1">TblConstr[[#This Row],[Land]]</f>
        <v>530</v>
      </c>
      <c r="Y47" s="265"/>
      <c r="Z47" s="270">
        <f ca="1">IF(TblMili[[#This Row],[Set]]&lt;&gt;"",TblMili[[#This Row],[Set]],OFFSET(TblMili[[#This Row],[Draftrate]],-1,0))</f>
        <v>0.9</v>
      </c>
      <c r="AA47" s="97">
        <f ca="1">OFFSET(TblMili[[#This Row],[Draftees]],-1,0)+OFFSET(TblPop[[#This Row],[Draft Growth]],-1,0) - SUM(TblMili[[#This Row],[Train Unit 1]:[Train Spies]],TblMili[[#This Row],[Train Wiz]]) - TblMili[[#This Row],[Release Draft]] + SUM(TblMili[[#This Row],[Release Unit 1]:[Release AM]]) - TblExplore[[#This Row],[Draftees (2)]]</f>
        <v>105</v>
      </c>
      <c r="AB47" s="157"/>
      <c r="AC47" s="183">
        <f ca="1">(TblConstr[[#This Row],[Tot Smi]]+TblConstr[[#This Row],[Dest Smi]])/(TblConstr[[#This Row],[Land]]-TblExplore[[#This Row],[Land Bonus]]*20)</f>
        <v>0</v>
      </c>
      <c r="AD47" s="140"/>
      <c r="AE47" s="261">
        <f>TblMili[[#This Row],[Hour]]</f>
        <v>44</v>
      </c>
      <c r="AF47" s="141">
        <f ca="1">TblExplore[[#This Row],[Time]]</f>
        <v>45431.541666666562</v>
      </c>
      <c r="AG47" s="182"/>
      <c r="AH47" s="182"/>
      <c r="AI47" s="182"/>
      <c r="AJ47" s="182"/>
      <c r="AK47" s="182"/>
      <c r="AL47" s="182"/>
      <c r="AM47" s="182"/>
      <c r="AN47" s="182"/>
      <c r="AO47" s="145"/>
      <c r="AP47" s="97">
        <f ca="1">TblProd[[#This Row],[Platinum]]</f>
        <v>107787</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45431.541666666562</v>
      </c>
      <c r="AV47" s="97">
        <f ca="1">TblMili[[#This Row],[Draftees]]</f>
        <v>105</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300</v>
      </c>
      <c r="BJ47" s="97">
        <f ca="1">ROUNDUP(IF(race="Gnome",1,(1-MIN(TblMili[[#This Row],[Smithies]]*smithy_bonus,smithy_bonus_cap) + tech_3_5*TblTech[[#This Row],[3-5]] + tech_5_3*TblTech[[#This Row],[5-3]] + tech_5_5*TblTech[[#This Row],[5-5]]))*spec_op_ore,0)</f>
        <v>0</v>
      </c>
      <c r="BK47" s="97">
        <f ca="1">ROUNDUP((1-MIN(TblMili[[#This Row],[Smithies]]*smithy_bonus,smithy_bonus_cap) + tech_3_5*TblTech[[#This Row],[3-5]] + tech_5_3*TblTech[[#This Row],[5-3]] + tech_5_5*TblTech[[#This Row],[5-5]])*spec_dp_plat,0)</f>
        <v>300</v>
      </c>
      <c r="BL47" s="97">
        <f ca="1">ROUNDUP(IF(race="Gnome",1,(1-MIN(TblMili[[#This Row],[Smithies]]*smithy_bonus,smithy_bonus_cap) + tech_3_5*TblTech[[#This Row],[3-5]] + tech_5_3*TblTech[[#This Row],[5-3]] + tech_5_5*TblTech[[#This Row],[5-5]]))*spec_dp_ore,0)</f>
        <v>0</v>
      </c>
      <c r="BM47" s="97">
        <f ca="1">ROUNDUP((1-MIN(TblMili[[#This Row],[Smithies]]*smithy_bonus,smithy_bonus_cap) + tech_3_5*TblTech[[#This Row],[3-5]] + tech_5_3*TblTech[[#This Row],[5-3]] + tech_5_5*TblTech[[#This Row],[5-5]])*elite1_plat,0)</f>
        <v>925</v>
      </c>
      <c r="BN47" s="97">
        <f ca="1">ROUNDUP(IF(race="Gnome",1,(1-MIN(TblMili[[#This Row],[Smithies]]*smithy_bonus,smithy_bonus_cap) + tech_3_5*TblTech[[#This Row],[3-5]] + tech_5_3*TblTech[[#This Row],[5-3]] + tech_5_5*TblTech[[#This Row],[5-5]]))*elite1_ore,0)</f>
        <v>0</v>
      </c>
      <c r="BO47" s="97">
        <f ca="1">ROUNDUP((1-MIN(TblMili[[#This Row],[Smithies]]*smithy_bonus,smithy_bonus_cap) + tech_3_5*TblTech[[#This Row],[3-5]] + tech_5_3*TblTech[[#This Row],[5-3]] + tech_5_5*TblTech[[#This Row],[5-5]])*elite2_plat,0)</f>
        <v>950</v>
      </c>
      <c r="BP47" s="97">
        <f ca="1">ROUNDUP(IF(race="Gnome",1,(1-MIN(TblMili[[#This Row],[Smithies]]*smithy_bonus,smithy_bonus_cap) + tech_3_5*TblTech[[#This Row],[3-5]] + tech_5_3*TblTech[[#This Row],[5-3]] + tech_5_5*TblTech[[#This Row],[5-5]]))*elite2_ore,0)</f>
        <v>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v>
      </c>
      <c r="BW47" s="160">
        <f ca="1">TblMili[[#This Row],[WG''s]]</f>
        <v>0</v>
      </c>
      <c r="BX47" s="266">
        <f ca="1">IF(mystic_cap="none",TblMili[[#This Row],[Hill]]/mystic_bonus,MIN(mystic_cap,TblMili[[#This Row],[Hill]]/mystic_bonus))</f>
        <v>0</v>
      </c>
      <c r="BY47" s="266">
        <f ca="1">IF(druid_op_cap="none",TblMili[[#This Row],[Hill]]/druid_op_bonus,MIN(druid_op_cap,TblMili[[#This Row],[Hill]]/druid_op_bonus))</f>
        <v>0</v>
      </c>
      <c r="BZ47" s="266">
        <f ca="1">IF(druid_dp_cap="none",TblMili[[#This Row],[Hill]]/druid_dp_bonus,MIN(druid_dp_cap,TblMili[[#This Row],[Hill]]/druid_dp_bonus))</f>
        <v>0</v>
      </c>
      <c r="CA47" s="266">
        <f ca="1">MIN(dryad_cap,TblMili[[#This Row],[Hill]]/dryad_bonus)</f>
        <v>0</v>
      </c>
      <c r="CB47" s="266">
        <f ca="1">MIN(rocka_cap,TblMili[[#This Row],[Hill]]/rocka_bonus)</f>
        <v>0</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0</v>
      </c>
      <c r="CH47" s="45">
        <f ca="1">MIN(ice_elem_cap,TblMili[[#This Row],[Raw (2)]]*ice_elem_bonus)</f>
        <v>0</v>
      </c>
      <c r="CI47" s="266">
        <f t="shared" si="2"/>
        <v>0.83333333333333337</v>
      </c>
      <c r="CJ47" s="266">
        <f ca="1">MIN(nox_nightshade_cap,TblConstr[[#This Row],[Homeland]]/TblConstr[[#This Row],[Land]]/nox_nightshade_swamp_bonus)</f>
        <v>0</v>
      </c>
      <c r="CK47" s="267"/>
      <c r="CL47" s="267"/>
      <c r="CM47" s="267"/>
      <c r="CN47" s="266">
        <f ca="1">MIN(6,TblMili[[#This Row],[Mystic]]+Races!$F$19)*1.8 +  IF(TblMili[[#This Row],[Mystic]]+Races!$F$19&gt;6,(TblMili[[#This Row],[Mystic]]+Races!$F$19-6)*0.2,0) - Races!$I$19</f>
        <v>0</v>
      </c>
      <c r="CO47" s="266">
        <f ca="1">1.8 * MIN(MAX(TblMili[[#This Row],[Druid (op)]]+Races!$E$20,TblMili[[#This Row],[Druid (dp)]]+Races!$F$20),6)  +  0.45 * MIN(MIN(TblMili[[#This Row],[Druid (op)]]+Races!$E$20,TblMili[[#This Row],[Druid (dp)]]+Races!$F$20),6)  +  0.2 * ( MAX(TblMili[[#This Row],[Druid (op)]]+Races!$E$20-6,0) + MAX(TblMili[[#This Row],[Druid (dp)]]+Races!$F$20-6,0) )  -  Races!$I$20</f>
        <v>0</v>
      </c>
      <c r="CP47" s="97">
        <f ca="1">TblMili[[#This Row],[Mystic bonus]]*TblMili[[#This Row],[Unit 3]]+TblMili[[#This Row],[Druid bonus]]*TblMili[[#This Row],[Unit 4]]</f>
        <v>0</v>
      </c>
      <c r="CQ47" s="158">
        <f ca="1">MIN(6,TblMili[[#This Row],[Dryad]]+Races!$F$35)*1.8 +  IF(TblMili[[#This Row],[Dryad]]+Races!$F$35&gt;6,(TblMili[[#This Row],[Dryad]]+Races!$F$35-6)*0.2,0) - Races!$I$19</f>
        <v>-1.7999999999999998</v>
      </c>
      <c r="CR47" s="97">
        <f ca="1">sylvan*(TblMili[[#This Row],[Mystic bonus]]*TblMili[[#This Row],[Unit 3]])</f>
        <v>0</v>
      </c>
      <c r="CS47" s="158">
        <f ca="1">1.8 * MIN(MAX(Races!$E$27,TblMili[[#This Row],[Rockapult]]+Races!$F$27),6)  +  0.45 * MIN(MIN(Races!$E$27,TblMili[[#This Row],[Rockapult]]+Races!$F$27),6)  +  0.2 * ( MAX(Races!$E$27-6,0) + MAX(TblMili[[#This Row],[Rockapult]]+Races!$F$27-6,0) )  -  Races!$I$20</f>
        <v>2.2499999999999991</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0</v>
      </c>
      <c r="CX47" s="158">
        <f ca="1">1.8 * MIN(MAX(TblMili[[#This Row],[Ice Elemental]]+Races!$E$71,Races!$F$71),6)  +  0.45 * MIN(MIN(TblMili[[#This Row],[Ice Elemental]]+Races!$E$71,Races!$F$71),6)  +  0.2 * ( MAX(TblMili[[#This Row],[Ice Elemental]]+Races!$E$71-6,0) + MAX(Races!$F$71-6,0) )  -  Races!$I$71</f>
        <v>0</v>
      </c>
      <c r="CY47" s="97">
        <f ca="1">TblMili[[#This Row],[Frost Mage bonus]]*TblMili[[#This Row],[Unit 3]]+TblMili[[#This Row],[Ice Elemental bonus]]*TblMili[[#This Row],[Unit 4]]</f>
        <v>0</v>
      </c>
      <c r="CZ47" s="268"/>
      <c r="DA47" s="146">
        <f ca="1">MIN(SUM(TblConstr[[#This Row],[Plain]:[Water]])/TblMili[[#This Row],[Land]]/favorable_terrain_bonus/100,favorable_terrain_max)</f>
        <v>0</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12560</v>
      </c>
      <c r="DD47" s="145"/>
      <c r="DE47" s="269">
        <f ca="1">(TblMili[[#This Row],[Wizards]]+2*TblMili[[#This Row],[Archmages]])/TblConstr[[#This Row],[Land]]</f>
        <v>0</v>
      </c>
      <c r="DF47" s="269">
        <f ca="1">TblMili[[#This Row],[Raw (2)]]*(1+race_wizard_strength+IF(TblMili[[#This Row],[Hour]]&gt;72,tech_magical_weaponry_wiz*TblTech[[#This Row],[3-5]],0))</f>
        <v>0</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187</v>
      </c>
      <c r="C48" s="160">
        <f ca="1">TblPop[[#This Row],[Military%]]</f>
        <v>2.1718931475029037E-2</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5"/>
      <c r="N48" s="97">
        <f ca="1">TblProd[[#This Row],[Networth]]</f>
        <v>12820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187</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187</v>
      </c>
      <c r="X48" s="262">
        <f ca="1">TblConstr[[#This Row],[Land]]</f>
        <v>540</v>
      </c>
      <c r="Y48" s="265"/>
      <c r="Z48" s="270">
        <f ca="1">IF(TblMili[[#This Row],[Set]]&lt;&gt;"",TblMili[[#This Row],[Set]],OFFSET(TblMili[[#This Row],[Draftrate]],-1,0))</f>
        <v>0.9</v>
      </c>
      <c r="AA48" s="97">
        <f ca="1">OFFSET(TblMili[[#This Row],[Draftees]],-1,0)+OFFSET(TblPop[[#This Row],[Draft Growth]],-1,0) - SUM(TblMili[[#This Row],[Train Unit 1]:[Train Spies]],TblMili[[#This Row],[Train Wiz]]) - TblMili[[#This Row],[Release Draft]] + SUM(TblMili[[#This Row],[Release Unit 1]:[Release AM]]) - TblExplore[[#This Row],[Draftees (2)]]</f>
        <v>187</v>
      </c>
      <c r="AB48" s="157"/>
      <c r="AC48" s="183">
        <f ca="1">(TblConstr[[#This Row],[Tot Smi]]+TblConstr[[#This Row],[Dest Smi]])/(TblConstr[[#This Row],[Land]]-TblExplore[[#This Row],[Land Bonus]]*20)</f>
        <v>0</v>
      </c>
      <c r="AD48" s="140"/>
      <c r="AE48" s="261">
        <f>TblMili[[#This Row],[Hour]]</f>
        <v>45</v>
      </c>
      <c r="AF48" s="141">
        <f ca="1">TblExplore[[#This Row],[Time]]</f>
        <v>45431.583333333227</v>
      </c>
      <c r="AG48" s="182"/>
      <c r="AH48" s="182"/>
      <c r="AI48" s="182"/>
      <c r="AJ48" s="182"/>
      <c r="AK48" s="182"/>
      <c r="AL48" s="182"/>
      <c r="AM48" s="182"/>
      <c r="AN48" s="182"/>
      <c r="AO48" s="145"/>
      <c r="AP48" s="97">
        <f ca="1">TblProd[[#This Row],[Platinum]]</f>
        <v>141605</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45431.583333333227</v>
      </c>
      <c r="AV48" s="97">
        <f ca="1">TblMili[[#This Row],[Draftees]]</f>
        <v>187</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300</v>
      </c>
      <c r="BJ48" s="97">
        <f ca="1">ROUNDUP(IF(race="Gnome",1,(1-MIN(TblMili[[#This Row],[Smithies]]*smithy_bonus,smithy_bonus_cap) + tech_3_5*TblTech[[#This Row],[3-5]] + tech_5_3*TblTech[[#This Row],[5-3]] + tech_5_5*TblTech[[#This Row],[5-5]]))*spec_op_ore,0)</f>
        <v>0</v>
      </c>
      <c r="BK48" s="97">
        <f ca="1">ROUNDUP((1-MIN(TblMili[[#This Row],[Smithies]]*smithy_bonus,smithy_bonus_cap) + tech_3_5*TblTech[[#This Row],[3-5]] + tech_5_3*TblTech[[#This Row],[5-3]] + tech_5_5*TblTech[[#This Row],[5-5]])*spec_dp_plat,0)</f>
        <v>300</v>
      </c>
      <c r="BL48" s="97">
        <f ca="1">ROUNDUP(IF(race="Gnome",1,(1-MIN(TblMili[[#This Row],[Smithies]]*smithy_bonus,smithy_bonus_cap) + tech_3_5*TblTech[[#This Row],[3-5]] + tech_5_3*TblTech[[#This Row],[5-3]] + tech_5_5*TblTech[[#This Row],[5-5]]))*spec_dp_ore,0)</f>
        <v>0</v>
      </c>
      <c r="BM48" s="97">
        <f ca="1">ROUNDUP((1-MIN(TblMili[[#This Row],[Smithies]]*smithy_bonus,smithy_bonus_cap) + tech_3_5*TblTech[[#This Row],[3-5]] + tech_5_3*TblTech[[#This Row],[5-3]] + tech_5_5*TblTech[[#This Row],[5-5]])*elite1_plat,0)</f>
        <v>925</v>
      </c>
      <c r="BN48" s="97">
        <f ca="1">ROUNDUP(IF(race="Gnome",1,(1-MIN(TblMili[[#This Row],[Smithies]]*smithy_bonus,smithy_bonus_cap) + tech_3_5*TblTech[[#This Row],[3-5]] + tech_5_3*TblTech[[#This Row],[5-3]] + tech_5_5*TblTech[[#This Row],[5-5]]))*elite1_ore,0)</f>
        <v>0</v>
      </c>
      <c r="BO48" s="97">
        <f ca="1">ROUNDUP((1-MIN(TblMili[[#This Row],[Smithies]]*smithy_bonus,smithy_bonus_cap) + tech_3_5*TblTech[[#This Row],[3-5]] + tech_5_3*TblTech[[#This Row],[5-3]] + tech_5_5*TblTech[[#This Row],[5-5]])*elite2_plat,0)</f>
        <v>950</v>
      </c>
      <c r="BP48" s="97">
        <f ca="1">ROUNDUP(IF(race="Gnome",1,(1-MIN(TblMili[[#This Row],[Smithies]]*smithy_bonus,smithy_bonus_cap) + tech_3_5*TblTech[[#This Row],[3-5]] + tech_5_3*TblTech[[#This Row],[5-3]] + tech_5_5*TblTech[[#This Row],[5-5]]))*elite2_ore,0)</f>
        <v>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v>
      </c>
      <c r="BW48" s="160">
        <f ca="1">TblMili[[#This Row],[WG''s]]</f>
        <v>0</v>
      </c>
      <c r="BX48" s="266">
        <f ca="1">IF(mystic_cap="none",TblMili[[#This Row],[Hill]]/mystic_bonus,MIN(mystic_cap,TblMili[[#This Row],[Hill]]/mystic_bonus))</f>
        <v>0</v>
      </c>
      <c r="BY48" s="266">
        <f ca="1">IF(druid_op_cap="none",TblMili[[#This Row],[Hill]]/druid_op_bonus,MIN(druid_op_cap,TblMili[[#This Row],[Hill]]/druid_op_bonus))</f>
        <v>0</v>
      </c>
      <c r="BZ48" s="266">
        <f ca="1">IF(druid_dp_cap="none",TblMili[[#This Row],[Hill]]/druid_dp_bonus,MIN(druid_dp_cap,TblMili[[#This Row],[Hill]]/druid_dp_bonus))</f>
        <v>0</v>
      </c>
      <c r="CA48" s="266">
        <f ca="1">MIN(dryad_cap,TblMili[[#This Row],[Hill]]/dryad_bonus)</f>
        <v>0</v>
      </c>
      <c r="CB48" s="266">
        <f ca="1">MIN(rocka_cap,TblMili[[#This Row],[Hill]]/rocka_bonus)</f>
        <v>0</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0</v>
      </c>
      <c r="CH48" s="45">
        <f ca="1">MIN(ice_elem_cap,TblMili[[#This Row],[Raw (2)]]*ice_elem_bonus)</f>
        <v>0</v>
      </c>
      <c r="CI48" s="266">
        <f t="shared" si="2"/>
        <v>0.83333333333333337</v>
      </c>
      <c r="CJ48" s="266">
        <f ca="1">MIN(nox_nightshade_cap,TblConstr[[#This Row],[Homeland]]/TblConstr[[#This Row],[Land]]/nox_nightshade_swamp_bonus)</f>
        <v>0</v>
      </c>
      <c r="CK48" s="267"/>
      <c r="CL48" s="267"/>
      <c r="CM48" s="267"/>
      <c r="CN48" s="266">
        <f ca="1">MIN(6,TblMili[[#This Row],[Mystic]]+Races!$F$19)*1.8 +  IF(TblMili[[#This Row],[Mystic]]+Races!$F$19&gt;6,(TblMili[[#This Row],[Mystic]]+Races!$F$19-6)*0.2,0) - Races!$I$19</f>
        <v>0</v>
      </c>
      <c r="CO48" s="266">
        <f ca="1">1.8 * MIN(MAX(TblMili[[#This Row],[Druid (op)]]+Races!$E$20,TblMili[[#This Row],[Druid (dp)]]+Races!$F$20),6)  +  0.45 * MIN(MIN(TblMili[[#This Row],[Druid (op)]]+Races!$E$20,TblMili[[#This Row],[Druid (dp)]]+Races!$F$20),6)  +  0.2 * ( MAX(TblMili[[#This Row],[Druid (op)]]+Races!$E$20-6,0) + MAX(TblMili[[#This Row],[Druid (dp)]]+Races!$F$20-6,0) )  -  Races!$I$20</f>
        <v>0</v>
      </c>
      <c r="CP48" s="97">
        <f ca="1">TblMili[[#This Row],[Mystic bonus]]*TblMili[[#This Row],[Unit 3]]+TblMili[[#This Row],[Druid bonus]]*TblMili[[#This Row],[Unit 4]]</f>
        <v>0</v>
      </c>
      <c r="CQ48" s="158">
        <f ca="1">MIN(6,TblMili[[#This Row],[Dryad]]+Races!$F$35)*1.8 +  IF(TblMili[[#This Row],[Dryad]]+Races!$F$35&gt;6,(TblMili[[#This Row],[Dryad]]+Races!$F$35-6)*0.2,0) - Races!$I$19</f>
        <v>-1.7999999999999998</v>
      </c>
      <c r="CR48" s="97">
        <f ca="1">sylvan*(TblMili[[#This Row],[Mystic bonus]]*TblMili[[#This Row],[Unit 3]])</f>
        <v>0</v>
      </c>
      <c r="CS48" s="158">
        <f ca="1">1.8 * MIN(MAX(Races!$E$27,TblMili[[#This Row],[Rockapult]]+Races!$F$27),6)  +  0.45 * MIN(MIN(Races!$E$27,TblMili[[#This Row],[Rockapult]]+Races!$F$27),6)  +  0.2 * ( MAX(Races!$E$27-6,0) + MAX(TblMili[[#This Row],[Rockapult]]+Races!$F$27-6,0) )  -  Races!$I$20</f>
        <v>2.2499999999999991</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0</v>
      </c>
      <c r="CX48" s="158">
        <f ca="1">1.8 * MIN(MAX(TblMili[[#This Row],[Ice Elemental]]+Races!$E$71,Races!$F$71),6)  +  0.45 * MIN(MIN(TblMili[[#This Row],[Ice Elemental]]+Races!$E$71,Races!$F$71),6)  +  0.2 * ( MAX(TblMili[[#This Row],[Ice Elemental]]+Races!$E$71-6,0) + MAX(Races!$F$71-6,0) )  -  Races!$I$71</f>
        <v>0</v>
      </c>
      <c r="CY48" s="97">
        <f ca="1">TblMili[[#This Row],[Frost Mage bonus]]*TblMili[[#This Row],[Unit 3]]+TblMili[[#This Row],[Ice Elemental bonus]]*TblMili[[#This Row],[Unit 4]]</f>
        <v>0</v>
      </c>
      <c r="CZ48" s="268"/>
      <c r="DA48" s="146">
        <f ca="1">MIN(SUM(TblConstr[[#This Row],[Plain]:[Water]])/TblMili[[#This Row],[Land]]/favorable_terrain_bonus/100,favorable_terrain_max)</f>
        <v>0</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12820</v>
      </c>
      <c r="DD48" s="145"/>
      <c r="DE48" s="269">
        <f ca="1">(TblMili[[#This Row],[Wizards]]+2*TblMili[[#This Row],[Archmages]])/TblConstr[[#This Row],[Land]]</f>
        <v>0</v>
      </c>
      <c r="DF48" s="269">
        <f ca="1">TblMili[[#This Row],[Raw (2)]]*(1+race_wizard_strength+IF(TblMili[[#This Row],[Hour]]&gt;72,tech_magical_weaponry_wiz*TblTech[[#This Row],[3-5]],0))</f>
        <v>0</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271</v>
      </c>
      <c r="C49" s="160">
        <f ca="1">TblPop[[#This Row],[Military%]]</f>
        <v>3.0876153583228892E-2</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5"/>
      <c r="N49" s="97">
        <f ca="1">TblProd[[#This Row],[Networth]]</f>
        <v>13055</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271</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271</v>
      </c>
      <c r="X49" s="262">
        <f ca="1">TblConstr[[#This Row],[Land]]</f>
        <v>551</v>
      </c>
      <c r="Y49" s="265"/>
      <c r="Z49" s="270">
        <f ca="1">IF(TblMili[[#This Row],[Set]]&lt;&gt;"",TblMili[[#This Row],[Set]],OFFSET(TblMili[[#This Row],[Draftrate]],-1,0))</f>
        <v>0.9</v>
      </c>
      <c r="AA49" s="97">
        <f ca="1">OFFSET(TblMili[[#This Row],[Draftees]],-1,0)+OFFSET(TblPop[[#This Row],[Draft Growth]],-1,0) - SUM(TblMili[[#This Row],[Train Unit 1]:[Train Spies]],TblMili[[#This Row],[Train Wiz]]) - TblMili[[#This Row],[Release Draft]] + SUM(TblMili[[#This Row],[Release Unit 1]:[Release AM]]) - TblExplore[[#This Row],[Draftees (2)]]</f>
        <v>271</v>
      </c>
      <c r="AB49" s="157"/>
      <c r="AC49" s="183">
        <f ca="1">(TblConstr[[#This Row],[Tot Smi]]+TblConstr[[#This Row],[Dest Smi]])/(TblConstr[[#This Row],[Land]]-TblExplore[[#This Row],[Land Bonus]]*20)</f>
        <v>0</v>
      </c>
      <c r="AD49" s="140"/>
      <c r="AE49" s="261">
        <f>TblMili[[#This Row],[Hour]]</f>
        <v>46</v>
      </c>
      <c r="AF49" s="141">
        <f ca="1">TblExplore[[#This Row],[Time]]</f>
        <v>45431.624999999891</v>
      </c>
      <c r="AG49" s="182"/>
      <c r="AH49" s="182"/>
      <c r="AI49" s="182"/>
      <c r="AJ49" s="182"/>
      <c r="AK49" s="182"/>
      <c r="AL49" s="182"/>
      <c r="AM49" s="182"/>
      <c r="AN49" s="182"/>
      <c r="AO49" s="145"/>
      <c r="AP49" s="97">
        <f ca="1">TblProd[[#This Row],[Platinum]]</f>
        <v>175641</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45431.624999999891</v>
      </c>
      <c r="AV49" s="97">
        <f ca="1">TblMili[[#This Row],[Draftees]]</f>
        <v>271</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300</v>
      </c>
      <c r="BJ49" s="97">
        <f ca="1">ROUNDUP(IF(race="Gnome",1,(1-MIN(TblMili[[#This Row],[Smithies]]*smithy_bonus,smithy_bonus_cap) + tech_3_5*TblTech[[#This Row],[3-5]] + tech_5_3*TblTech[[#This Row],[5-3]] + tech_5_5*TblTech[[#This Row],[5-5]]))*spec_op_ore,0)</f>
        <v>0</v>
      </c>
      <c r="BK49" s="97">
        <f ca="1">ROUNDUP((1-MIN(TblMili[[#This Row],[Smithies]]*smithy_bonus,smithy_bonus_cap) + tech_3_5*TblTech[[#This Row],[3-5]] + tech_5_3*TblTech[[#This Row],[5-3]] + tech_5_5*TblTech[[#This Row],[5-5]])*spec_dp_plat,0)</f>
        <v>300</v>
      </c>
      <c r="BL49" s="97">
        <f ca="1">ROUNDUP(IF(race="Gnome",1,(1-MIN(TblMili[[#This Row],[Smithies]]*smithy_bonus,smithy_bonus_cap) + tech_3_5*TblTech[[#This Row],[3-5]] + tech_5_3*TblTech[[#This Row],[5-3]] + tech_5_5*TblTech[[#This Row],[5-5]]))*spec_dp_ore,0)</f>
        <v>0</v>
      </c>
      <c r="BM49" s="97">
        <f ca="1">ROUNDUP((1-MIN(TblMili[[#This Row],[Smithies]]*smithy_bonus,smithy_bonus_cap) + tech_3_5*TblTech[[#This Row],[3-5]] + tech_5_3*TblTech[[#This Row],[5-3]] + tech_5_5*TblTech[[#This Row],[5-5]])*elite1_plat,0)</f>
        <v>925</v>
      </c>
      <c r="BN49" s="97">
        <f ca="1">ROUNDUP(IF(race="Gnome",1,(1-MIN(TblMili[[#This Row],[Smithies]]*smithy_bonus,smithy_bonus_cap) + tech_3_5*TblTech[[#This Row],[3-5]] + tech_5_3*TblTech[[#This Row],[5-3]] + tech_5_5*TblTech[[#This Row],[5-5]]))*elite1_ore,0)</f>
        <v>0</v>
      </c>
      <c r="BO49" s="97">
        <f ca="1">ROUNDUP((1-MIN(TblMili[[#This Row],[Smithies]]*smithy_bonus,smithy_bonus_cap) + tech_3_5*TblTech[[#This Row],[3-5]] + tech_5_3*TblTech[[#This Row],[5-3]] + tech_5_5*TblTech[[#This Row],[5-5]])*elite2_plat,0)</f>
        <v>950</v>
      </c>
      <c r="BP49" s="97">
        <f ca="1">ROUNDUP(IF(race="Gnome",1,(1-MIN(TblMili[[#This Row],[Smithies]]*smithy_bonus,smithy_bonus_cap) + tech_3_5*TblTech[[#This Row],[3-5]] + tech_5_3*TblTech[[#This Row],[5-3]] + tech_5_5*TblTech[[#This Row],[5-5]]))*elite2_ore,0)</f>
        <v>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v>
      </c>
      <c r="BW49" s="160">
        <f ca="1">TblMili[[#This Row],[WG''s]]</f>
        <v>0</v>
      </c>
      <c r="BX49" s="266">
        <f ca="1">IF(mystic_cap="none",TblMili[[#This Row],[Hill]]/mystic_bonus,MIN(mystic_cap,TblMili[[#This Row],[Hill]]/mystic_bonus))</f>
        <v>0</v>
      </c>
      <c r="BY49" s="266">
        <f ca="1">IF(druid_op_cap="none",TblMili[[#This Row],[Hill]]/druid_op_bonus,MIN(druid_op_cap,TblMili[[#This Row],[Hill]]/druid_op_bonus))</f>
        <v>0</v>
      </c>
      <c r="BZ49" s="266">
        <f ca="1">IF(druid_dp_cap="none",TblMili[[#This Row],[Hill]]/druid_dp_bonus,MIN(druid_dp_cap,TblMili[[#This Row],[Hill]]/druid_dp_bonus))</f>
        <v>0</v>
      </c>
      <c r="CA49" s="266">
        <f ca="1">MIN(dryad_cap,TblMili[[#This Row],[Hill]]/dryad_bonus)</f>
        <v>0</v>
      </c>
      <c r="CB49" s="266">
        <f ca="1">MIN(rocka_cap,TblMili[[#This Row],[Hill]]/rocka_bonus)</f>
        <v>0</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0</v>
      </c>
      <c r="CH49" s="45">
        <f ca="1">MIN(ice_elem_cap,TblMili[[#This Row],[Raw (2)]]*ice_elem_bonus)</f>
        <v>0</v>
      </c>
      <c r="CI49" s="266">
        <f t="shared" si="2"/>
        <v>0.83333333333333337</v>
      </c>
      <c r="CJ49" s="266">
        <f ca="1">MIN(nox_nightshade_cap,TblConstr[[#This Row],[Homeland]]/TblConstr[[#This Row],[Land]]/nox_nightshade_swamp_bonus)</f>
        <v>0</v>
      </c>
      <c r="CK49" s="267"/>
      <c r="CL49" s="267"/>
      <c r="CM49" s="267"/>
      <c r="CN49" s="266">
        <f ca="1">MIN(6,TblMili[[#This Row],[Mystic]]+Races!$F$19)*1.8 +  IF(TblMili[[#This Row],[Mystic]]+Races!$F$19&gt;6,(TblMili[[#This Row],[Mystic]]+Races!$F$19-6)*0.2,0) - Races!$I$19</f>
        <v>0</v>
      </c>
      <c r="CO49" s="266">
        <f ca="1">1.8 * MIN(MAX(TblMili[[#This Row],[Druid (op)]]+Races!$E$20,TblMili[[#This Row],[Druid (dp)]]+Races!$F$20),6)  +  0.45 * MIN(MIN(TblMili[[#This Row],[Druid (op)]]+Races!$E$20,TblMili[[#This Row],[Druid (dp)]]+Races!$F$20),6)  +  0.2 * ( MAX(TblMili[[#This Row],[Druid (op)]]+Races!$E$20-6,0) + MAX(TblMili[[#This Row],[Druid (dp)]]+Races!$F$20-6,0) )  -  Races!$I$20</f>
        <v>0</v>
      </c>
      <c r="CP49" s="97">
        <f ca="1">TblMili[[#This Row],[Mystic bonus]]*TblMili[[#This Row],[Unit 3]]+TblMili[[#This Row],[Druid bonus]]*TblMili[[#This Row],[Unit 4]]</f>
        <v>0</v>
      </c>
      <c r="CQ49" s="158">
        <f ca="1">MIN(6,TblMili[[#This Row],[Dryad]]+Races!$F$35)*1.8 +  IF(TblMili[[#This Row],[Dryad]]+Races!$F$35&gt;6,(TblMili[[#This Row],[Dryad]]+Races!$F$35-6)*0.2,0) - Races!$I$19</f>
        <v>-1.7999999999999998</v>
      </c>
      <c r="CR49" s="97">
        <f ca="1">sylvan*(TblMili[[#This Row],[Mystic bonus]]*TblMili[[#This Row],[Unit 3]])</f>
        <v>0</v>
      </c>
      <c r="CS49" s="158">
        <f ca="1">1.8 * MIN(MAX(Races!$E$27,TblMili[[#This Row],[Rockapult]]+Races!$F$27),6)  +  0.45 * MIN(MIN(Races!$E$27,TblMili[[#This Row],[Rockapult]]+Races!$F$27),6)  +  0.2 * ( MAX(Races!$E$27-6,0) + MAX(TblMili[[#This Row],[Rockapult]]+Races!$F$27-6,0) )  -  Races!$I$20</f>
        <v>2.2499999999999991</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0</v>
      </c>
      <c r="CX49" s="158">
        <f ca="1">1.8 * MIN(MAX(TblMili[[#This Row],[Ice Elemental]]+Races!$E$71,Races!$F$71),6)  +  0.45 * MIN(MIN(TblMili[[#This Row],[Ice Elemental]]+Races!$E$71,Races!$F$71),6)  +  0.2 * ( MAX(TblMili[[#This Row],[Ice Elemental]]+Races!$E$71-6,0) + MAX(Races!$F$71-6,0) )  -  Races!$I$71</f>
        <v>0</v>
      </c>
      <c r="CY49" s="97">
        <f ca="1">TblMili[[#This Row],[Frost Mage bonus]]*TblMili[[#This Row],[Unit 3]]+TblMili[[#This Row],[Ice Elemental bonus]]*TblMili[[#This Row],[Unit 4]]</f>
        <v>0</v>
      </c>
      <c r="CZ49" s="268"/>
      <c r="DA49" s="146">
        <f ca="1">MIN(SUM(TblConstr[[#This Row],[Plain]:[Water]])/TblMili[[#This Row],[Land]]/favorable_terrain_bonus/100,favorable_terrain_max)</f>
        <v>0</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13055</v>
      </c>
      <c r="DD49" s="145"/>
      <c r="DE49" s="269">
        <f ca="1">(TblMili[[#This Row],[Wizards]]+2*TblMili[[#This Row],[Archmages]])/TblConstr[[#This Row],[Land]]</f>
        <v>0</v>
      </c>
      <c r="DF49" s="269">
        <f ca="1">TblMili[[#This Row],[Raw (2)]]*(1+race_wizard_strength+IF(TblMili[[#This Row],[Hour]]&gt;72,tech_magical_weaponry_wiz*TblTech[[#This Row],[3-5]],0))</f>
        <v>0</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356</v>
      </c>
      <c r="C50" s="160">
        <f ca="1">TblPop[[#This Row],[Military%]]</f>
        <v>3.9732142857142855E-2</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5"/>
      <c r="N50" s="97">
        <f ca="1">TblProd[[#This Row],[Networth]]</f>
        <v>13305</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356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356</v>
      </c>
      <c r="X50" s="262">
        <f ca="1">TblConstr[[#This Row],[Land]]</f>
        <v>563</v>
      </c>
      <c r="Y50" s="265"/>
      <c r="Z50" s="270">
        <f ca="1">IF(TblMili[[#This Row],[Set]]&lt;&gt;"",TblMili[[#This Row],[Set]],OFFSET(TblMili[[#This Row],[Draftrate]],-1,0))</f>
        <v>0.9</v>
      </c>
      <c r="AA50" s="97">
        <f ca="1">OFFSET(TblMili[[#This Row],[Draftees]],-1,0)+OFFSET(TblPop[[#This Row],[Draft Growth]],-1,0) - SUM(TblMili[[#This Row],[Train Unit 1]:[Train Spies]],TblMili[[#This Row],[Train Wiz]]) - TblMili[[#This Row],[Release Draft]] + SUM(TblMili[[#This Row],[Release Unit 1]:[Release AM]]) - TblExplore[[#This Row],[Draftees (2)]]</f>
        <v>356</v>
      </c>
      <c r="AB50" s="157"/>
      <c r="AC50" s="183">
        <f ca="1">(TblConstr[[#This Row],[Tot Smi]]+TblConstr[[#This Row],[Dest Smi]])/(TblConstr[[#This Row],[Land]]-TblExplore[[#This Row],[Land Bonus]]*20)</f>
        <v>0</v>
      </c>
      <c r="AD50" s="140"/>
      <c r="AE50" s="261">
        <f>TblMili[[#This Row],[Hour]]</f>
        <v>47</v>
      </c>
      <c r="AF50" s="141">
        <f ca="1">TblExplore[[#This Row],[Time]]</f>
        <v>45431.666666666555</v>
      </c>
      <c r="AG50" s="182"/>
      <c r="AH50" s="182"/>
      <c r="AI50" s="182"/>
      <c r="AJ50" s="182"/>
      <c r="AK50" s="182"/>
      <c r="AL50" s="182"/>
      <c r="AM50" s="182"/>
      <c r="AN50" s="182"/>
      <c r="AO50" s="145"/>
      <c r="AP50" s="97">
        <f ca="1">TblProd[[#This Row],[Platinum]]</f>
        <v>209248</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45431.666666666555</v>
      </c>
      <c r="AV50" s="97">
        <f ca="1">TblMili[[#This Row],[Draftees]]</f>
        <v>356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300</v>
      </c>
      <c r="BJ50" s="97">
        <f ca="1">ROUNDUP(IF(race="Gnome",1,(1-MIN(TblMili[[#This Row],[Smithies]]*smithy_bonus,smithy_bonus_cap) + tech_3_5*TblTech[[#This Row],[3-5]] + tech_5_3*TblTech[[#This Row],[5-3]] + tech_5_5*TblTech[[#This Row],[5-5]]))*spec_op_ore,0)</f>
        <v>0</v>
      </c>
      <c r="BK50" s="97">
        <f ca="1">ROUNDUP((1-MIN(TblMili[[#This Row],[Smithies]]*smithy_bonus,smithy_bonus_cap) + tech_3_5*TblTech[[#This Row],[3-5]] + tech_5_3*TblTech[[#This Row],[5-3]] + tech_5_5*TblTech[[#This Row],[5-5]])*spec_dp_plat,0)</f>
        <v>300</v>
      </c>
      <c r="BL50" s="97">
        <f ca="1">ROUNDUP(IF(race="Gnome",1,(1-MIN(TblMili[[#This Row],[Smithies]]*smithy_bonus,smithy_bonus_cap) + tech_3_5*TblTech[[#This Row],[3-5]] + tech_5_3*TblTech[[#This Row],[5-3]] + tech_5_5*TblTech[[#This Row],[5-5]]))*spec_dp_ore,0)</f>
        <v>0</v>
      </c>
      <c r="BM50" s="97">
        <f ca="1">ROUNDUP((1-MIN(TblMili[[#This Row],[Smithies]]*smithy_bonus,smithy_bonus_cap) + tech_3_5*TblTech[[#This Row],[3-5]] + tech_5_3*TblTech[[#This Row],[5-3]] + tech_5_5*TblTech[[#This Row],[5-5]])*elite1_plat,0)</f>
        <v>925</v>
      </c>
      <c r="BN50" s="97">
        <f ca="1">ROUNDUP(IF(race="Gnome",1,(1-MIN(TblMili[[#This Row],[Smithies]]*smithy_bonus,smithy_bonus_cap) + tech_3_5*TblTech[[#This Row],[3-5]] + tech_5_3*TblTech[[#This Row],[5-3]] + tech_5_5*TblTech[[#This Row],[5-5]]))*elite1_ore,0)</f>
        <v>0</v>
      </c>
      <c r="BO50" s="97">
        <f ca="1">ROUNDUP((1-MIN(TblMili[[#This Row],[Smithies]]*smithy_bonus,smithy_bonus_cap) + tech_3_5*TblTech[[#This Row],[3-5]] + tech_5_3*TblTech[[#This Row],[5-3]] + tech_5_5*TblTech[[#This Row],[5-5]])*elite2_plat,0)</f>
        <v>950</v>
      </c>
      <c r="BP50" s="97">
        <f ca="1">ROUNDUP(IF(race="Gnome",1,(1-MIN(TblMili[[#This Row],[Smithies]]*smithy_bonus,smithy_bonus_cap) + tech_3_5*TblTech[[#This Row],[3-5]] + tech_5_3*TblTech[[#This Row],[5-3]] + tech_5_5*TblTech[[#This Row],[5-5]]))*elite2_ore,0)</f>
        <v>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v>
      </c>
      <c r="BW50" s="160">
        <f ca="1">TblMili[[#This Row],[WG''s]]</f>
        <v>0</v>
      </c>
      <c r="BX50" s="266">
        <f ca="1">IF(mystic_cap="none",TblMili[[#This Row],[Hill]]/mystic_bonus,MIN(mystic_cap,TblMili[[#This Row],[Hill]]/mystic_bonus))</f>
        <v>0</v>
      </c>
      <c r="BY50" s="266">
        <f ca="1">IF(druid_op_cap="none",TblMili[[#This Row],[Hill]]/druid_op_bonus,MIN(druid_op_cap,TblMili[[#This Row],[Hill]]/druid_op_bonus))</f>
        <v>0</v>
      </c>
      <c r="BZ50" s="266">
        <f ca="1">IF(druid_dp_cap="none",TblMili[[#This Row],[Hill]]/druid_dp_bonus,MIN(druid_dp_cap,TblMili[[#This Row],[Hill]]/druid_dp_bonus))</f>
        <v>0</v>
      </c>
      <c r="CA50" s="266">
        <f ca="1">MIN(dryad_cap,TblMili[[#This Row],[Hill]]/dryad_bonus)</f>
        <v>0</v>
      </c>
      <c r="CB50" s="266">
        <f ca="1">MIN(rocka_cap,TblMili[[#This Row],[Hill]]/rocka_bonus)</f>
        <v>0</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0</v>
      </c>
      <c r="CH50" s="45">
        <f ca="1">MIN(ice_elem_cap,TblMili[[#This Row],[Raw (2)]]*ice_elem_bonus)</f>
        <v>0</v>
      </c>
      <c r="CI50" s="266">
        <f t="shared" si="2"/>
        <v>0.83333333333333337</v>
      </c>
      <c r="CJ50" s="266">
        <f ca="1">MIN(nox_nightshade_cap,TblConstr[[#This Row],[Homeland]]/TblConstr[[#This Row],[Land]]/nox_nightshade_swamp_bonus)</f>
        <v>0</v>
      </c>
      <c r="CK50" s="267"/>
      <c r="CL50" s="267"/>
      <c r="CM50" s="267"/>
      <c r="CN50" s="266">
        <f ca="1">MIN(6,TblMili[[#This Row],[Mystic]]+Races!$F$19)*1.8 +  IF(TblMili[[#This Row],[Mystic]]+Races!$F$19&gt;6,(TblMili[[#This Row],[Mystic]]+Races!$F$19-6)*0.2,0) - Races!$I$19</f>
        <v>0</v>
      </c>
      <c r="CO50" s="266">
        <f ca="1">1.8 * MIN(MAX(TblMili[[#This Row],[Druid (op)]]+Races!$E$20,TblMili[[#This Row],[Druid (dp)]]+Races!$F$20),6)  +  0.45 * MIN(MIN(TblMili[[#This Row],[Druid (op)]]+Races!$E$20,TblMili[[#This Row],[Druid (dp)]]+Races!$F$20),6)  +  0.2 * ( MAX(TblMili[[#This Row],[Druid (op)]]+Races!$E$20-6,0) + MAX(TblMili[[#This Row],[Druid (dp)]]+Races!$F$20-6,0) )  -  Races!$I$20</f>
        <v>0</v>
      </c>
      <c r="CP50" s="97">
        <f ca="1">TblMili[[#This Row],[Mystic bonus]]*TblMili[[#This Row],[Unit 3]]+TblMili[[#This Row],[Druid bonus]]*TblMili[[#This Row],[Unit 4]]</f>
        <v>0</v>
      </c>
      <c r="CQ50" s="158">
        <f ca="1">MIN(6,TblMili[[#This Row],[Dryad]]+Races!$F$35)*1.8 +  IF(TblMili[[#This Row],[Dryad]]+Races!$F$35&gt;6,(TblMili[[#This Row],[Dryad]]+Races!$F$35-6)*0.2,0) - Races!$I$19</f>
        <v>-1.7999999999999998</v>
      </c>
      <c r="CR50" s="97">
        <f ca="1">sylvan*(TblMili[[#This Row],[Mystic bonus]]*TblMili[[#This Row],[Unit 3]])</f>
        <v>0</v>
      </c>
      <c r="CS50" s="158">
        <f ca="1">1.8 * MIN(MAX(Races!$E$27,TblMili[[#This Row],[Rockapult]]+Races!$F$27),6)  +  0.45 * MIN(MIN(Races!$E$27,TblMili[[#This Row],[Rockapult]]+Races!$F$27),6)  +  0.2 * ( MAX(Races!$E$27-6,0) + MAX(TblMili[[#This Row],[Rockapult]]+Races!$F$27-6,0) )  -  Races!$I$20</f>
        <v>2.2499999999999991</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0</v>
      </c>
      <c r="CX50" s="158">
        <f ca="1">1.8 * MIN(MAX(TblMili[[#This Row],[Ice Elemental]]+Races!$E$71,Races!$F$71),6)  +  0.45 * MIN(MIN(TblMili[[#This Row],[Ice Elemental]]+Races!$E$71,Races!$F$71),6)  +  0.2 * ( MAX(TblMili[[#This Row],[Ice Elemental]]+Races!$E$71-6,0) + MAX(Races!$F$71-6,0) )  -  Races!$I$71</f>
        <v>0</v>
      </c>
      <c r="CY50" s="97">
        <f ca="1">TblMili[[#This Row],[Frost Mage bonus]]*TblMili[[#This Row],[Unit 3]]+TblMili[[#This Row],[Ice Elemental bonus]]*TblMili[[#This Row],[Unit 4]]</f>
        <v>0</v>
      </c>
      <c r="CZ50" s="268"/>
      <c r="DA50" s="146">
        <f ca="1">MIN(SUM(TblConstr[[#This Row],[Plain]:[Water]])/TblMili[[#This Row],[Land]]/favorable_terrain_bonus/100,favorable_terrain_max)</f>
        <v>0</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13305</v>
      </c>
      <c r="DD50" s="145"/>
      <c r="DE50" s="269">
        <f ca="1">(TblMili[[#This Row],[Wizards]]+2*TblMili[[#This Row],[Archmages]])/TblConstr[[#This Row],[Land]]</f>
        <v>0</v>
      </c>
      <c r="DF50" s="269">
        <f ca="1">TblMili[[#This Row],[Raw (2)]]*(1+race_wizard_strength+IF(TblMili[[#This Row],[Hour]]&gt;72,tech_magical_weaponry_wiz*TblTech[[#This Row],[3-5]],0))</f>
        <v>0</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442</v>
      </c>
      <c r="C51" s="160">
        <f ca="1">TblPop[[#This Row],[Military%]]</f>
        <v>4.8258543509116715E-2</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5"/>
      <c r="N51" s="97">
        <f ca="1">TblProd[[#This Row],[Networth]]</f>
        <v>14015</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442</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442</v>
      </c>
      <c r="X51" s="262">
        <f ca="1">TblConstr[[#This Row],[Land]]</f>
        <v>596</v>
      </c>
      <c r="Y51" s="265"/>
      <c r="Z51" s="270">
        <f ca="1">IF(TblMili[[#This Row],[Set]]&lt;&gt;"",TblMili[[#This Row],[Set]],OFFSET(TblMili[[#This Row],[Draftrate]],-1,0))</f>
        <v>0.9</v>
      </c>
      <c r="AA51" s="97">
        <f ca="1">OFFSET(TblMili[[#This Row],[Draftees]],-1,0)+OFFSET(TblPop[[#This Row],[Draft Growth]],-1,0) - SUM(TblMili[[#This Row],[Train Unit 1]:[Train Spies]],TblMili[[#This Row],[Train Wiz]]) - TblMili[[#This Row],[Release Draft]] + SUM(TblMili[[#This Row],[Release Unit 1]:[Release AM]]) - TblExplore[[#This Row],[Draftees (2)]]</f>
        <v>442</v>
      </c>
      <c r="AB51" s="157"/>
      <c r="AC51" s="183">
        <f ca="1">(TblConstr[[#This Row],[Tot Smi]]+TblConstr[[#This Row],[Dest Smi]])/(TblConstr[[#This Row],[Land]]-TblExplore[[#This Row],[Land Bonus]]*20)</f>
        <v>0</v>
      </c>
      <c r="AD51" s="140"/>
      <c r="AE51" s="261">
        <f>TblMili[[#This Row],[Hour]]</f>
        <v>48</v>
      </c>
      <c r="AF51" s="141">
        <f ca="1">TblExplore[[#This Row],[Time]]</f>
        <v>45431.708333333219</v>
      </c>
      <c r="AG51" s="182"/>
      <c r="AH51" s="182"/>
      <c r="AI51" s="182"/>
      <c r="AJ51" s="182"/>
      <c r="AK51" s="182"/>
      <c r="AL51" s="182"/>
      <c r="AM51" s="182"/>
      <c r="AN51" s="182"/>
      <c r="AO51" s="145"/>
      <c r="AP51" s="97">
        <f ca="1">TblProd[[#This Row],[Platinum]]</f>
        <v>267289</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45431.708333333219</v>
      </c>
      <c r="AV51" s="97">
        <f ca="1">TblMili[[#This Row],[Draftees]]</f>
        <v>442</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300</v>
      </c>
      <c r="BJ51" s="97">
        <f ca="1">ROUNDUP(IF(race="Gnome",1,(1-MIN(TblMili[[#This Row],[Smithies]]*smithy_bonus,smithy_bonus_cap) + tech_3_5*TblTech[[#This Row],[3-5]] + tech_5_3*TblTech[[#This Row],[5-3]] + tech_5_5*TblTech[[#This Row],[5-5]]))*spec_op_ore,0)</f>
        <v>0</v>
      </c>
      <c r="BK51" s="97">
        <f ca="1">ROUNDUP((1-MIN(TblMili[[#This Row],[Smithies]]*smithy_bonus,smithy_bonus_cap) + tech_3_5*TblTech[[#This Row],[3-5]] + tech_5_3*TblTech[[#This Row],[5-3]] + tech_5_5*TblTech[[#This Row],[5-5]])*spec_dp_plat,0)</f>
        <v>300</v>
      </c>
      <c r="BL51" s="97">
        <f ca="1">ROUNDUP(IF(race="Gnome",1,(1-MIN(TblMili[[#This Row],[Smithies]]*smithy_bonus,smithy_bonus_cap) + tech_3_5*TblTech[[#This Row],[3-5]] + tech_5_3*TblTech[[#This Row],[5-3]] + tech_5_5*TblTech[[#This Row],[5-5]]))*spec_dp_ore,0)</f>
        <v>0</v>
      </c>
      <c r="BM51" s="97">
        <f ca="1">ROUNDUP((1-MIN(TblMili[[#This Row],[Smithies]]*smithy_bonus,smithy_bonus_cap) + tech_3_5*TblTech[[#This Row],[3-5]] + tech_5_3*TblTech[[#This Row],[5-3]] + tech_5_5*TblTech[[#This Row],[5-5]])*elite1_plat,0)</f>
        <v>925</v>
      </c>
      <c r="BN51" s="97">
        <f ca="1">ROUNDUP(IF(race="Gnome",1,(1-MIN(TblMili[[#This Row],[Smithies]]*smithy_bonus,smithy_bonus_cap) + tech_3_5*TblTech[[#This Row],[3-5]] + tech_5_3*TblTech[[#This Row],[5-3]] + tech_5_5*TblTech[[#This Row],[5-5]]))*elite1_ore,0)</f>
        <v>0</v>
      </c>
      <c r="BO51" s="97">
        <f ca="1">ROUNDUP((1-MIN(TblMili[[#This Row],[Smithies]]*smithy_bonus,smithy_bonus_cap) + tech_3_5*TblTech[[#This Row],[3-5]] + tech_5_3*TblTech[[#This Row],[5-3]] + tech_5_5*TblTech[[#This Row],[5-5]])*elite2_plat,0)</f>
        <v>950</v>
      </c>
      <c r="BP51" s="97">
        <f ca="1">ROUNDUP(IF(race="Gnome",1,(1-MIN(TblMili[[#This Row],[Smithies]]*smithy_bonus,smithy_bonus_cap) + tech_3_5*TblTech[[#This Row],[3-5]] + tech_5_3*TblTech[[#This Row],[5-3]] + tech_5_5*TblTech[[#This Row],[5-5]]))*elite2_ore,0)</f>
        <v>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3.3557046979865772E-2</v>
      </c>
      <c r="BW51" s="160">
        <f ca="1">TblMili[[#This Row],[WG''s]]</f>
        <v>0</v>
      </c>
      <c r="BX51" s="266">
        <f ca="1">IF(mystic_cap="none",TblMili[[#This Row],[Hill]]/mystic_bonus,MIN(mystic_cap,TblMili[[#This Row],[Hill]]/mystic_bonus))</f>
        <v>0.16778523489932884</v>
      </c>
      <c r="BY51" s="266">
        <f ca="1">IF(druid_op_cap="none",TblMili[[#This Row],[Hill]]/druid_op_bonus,MIN(druid_op_cap,TblMili[[#This Row],[Hill]]/druid_op_bonus))</f>
        <v>0.16778523489932884</v>
      </c>
      <c r="BZ51" s="266">
        <f ca="1">IF(druid_dp_cap="none",TblMili[[#This Row],[Hill]]/druid_dp_bonus,MIN(druid_dp_cap,TblMili[[#This Row],[Hill]]/druid_dp_bonus))</f>
        <v>0.16778523489932884</v>
      </c>
      <c r="CA51" s="266">
        <f ca="1">MIN(dryad_cap,TblMili[[#This Row],[Hill]]/dryad_bonus)</f>
        <v>0.16778523489932884</v>
      </c>
      <c r="CB51" s="266">
        <f ca="1">MIN(rocka_cap,TblMili[[#This Row],[Hill]]/rocka_bonus)</f>
        <v>0.16778523489932884</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0.16778523489932884</v>
      </c>
      <c r="CH51" s="45">
        <f ca="1">MIN(ice_elem_cap,TblMili[[#This Row],[Raw (2)]]*ice_elem_bonus)</f>
        <v>0</v>
      </c>
      <c r="CI51" s="266">
        <f t="shared" si="2"/>
        <v>0.83333333333333337</v>
      </c>
      <c r="CJ51" s="266">
        <f ca="1">MIN(nox_nightshade_cap,TblConstr[[#This Row],[Homeland]]/TblConstr[[#This Row],[Land]]/nox_nightshade_swamp_bonus)</f>
        <v>0.33557046979865768</v>
      </c>
      <c r="CK51" s="267"/>
      <c r="CL51" s="267"/>
      <c r="CM51" s="267"/>
      <c r="CN51" s="266">
        <f ca="1">MIN(6,TblMili[[#This Row],[Mystic]]+Races!$F$19)*1.8 +  IF(TblMili[[#This Row],[Mystic]]+Races!$F$19&gt;6,(TblMili[[#This Row],[Mystic]]+Races!$F$19-6)*0.2,0) - Races!$I$19</f>
        <v>0.30201342281879207</v>
      </c>
      <c r="CO51" s="266">
        <f ca="1">1.8 * MIN(MAX(TblMili[[#This Row],[Druid (op)]]+Races!$E$20,TblMili[[#This Row],[Druid (dp)]]+Races!$F$20),6)  +  0.45 * MIN(MIN(TblMili[[#This Row],[Druid (op)]]+Races!$E$20,TblMili[[#This Row],[Druid (dp)]]+Races!$F$20),6)  +  0.2 * ( MAX(TblMili[[#This Row],[Druid (op)]]+Races!$E$20-6,0) + MAX(TblMili[[#This Row],[Druid (dp)]]+Races!$F$20-6,0) )  -  Races!$I$20</f>
        <v>0.37751677852348919</v>
      </c>
      <c r="CP51" s="97">
        <f ca="1">TblMili[[#This Row],[Mystic bonus]]*TblMili[[#This Row],[Unit 3]]+TblMili[[#This Row],[Druid bonus]]*TblMili[[#This Row],[Unit 4]]</f>
        <v>0</v>
      </c>
      <c r="CQ51" s="158">
        <f ca="1">MIN(6,TblMili[[#This Row],[Dryad]]+Races!$F$35)*1.8 +  IF(TblMili[[#This Row],[Dryad]]+Races!$F$35&gt;6,(TblMili[[#This Row],[Dryad]]+Races!$F$35-6)*0.2,0) - Races!$I$19</f>
        <v>-1.4979865771812086</v>
      </c>
      <c r="CR51" s="97">
        <f ca="1">sylvan*(TblMili[[#This Row],[Mystic bonus]]*TblMili[[#This Row],[Unit 3]])</f>
        <v>0</v>
      </c>
      <c r="CS51" s="158">
        <f ca="1">1.8 * MIN(MAX(Races!$E$27,TblMili[[#This Row],[Rockapult]]+Races!$F$27),6)  +  0.45 * MIN(MIN(Races!$E$27,TblMili[[#This Row],[Rockapult]]+Races!$F$27),6)  +  0.2 * ( MAX(Races!$E$27-6,0) + MAX(TblMili[[#This Row],[Rockapult]]+Races!$F$27-6,0) )  -  Races!$I$20</f>
        <v>2.5520134228187912</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0.30201342281879207</v>
      </c>
      <c r="CX51" s="158">
        <f ca="1">1.8 * MIN(MAX(TblMili[[#This Row],[Ice Elemental]]+Races!$E$71,Races!$F$71),6)  +  0.45 * MIN(MIN(TblMili[[#This Row],[Ice Elemental]]+Races!$E$71,Races!$F$71),6)  +  0.2 * ( MAX(TblMili[[#This Row],[Ice Elemental]]+Races!$E$71-6,0) + MAX(Races!$F$71-6,0) )  -  Races!$I$71</f>
        <v>0</v>
      </c>
      <c r="CY51" s="97">
        <f ca="1">TblMili[[#This Row],[Frost Mage bonus]]*TblMili[[#This Row],[Unit 3]]+TblMili[[#This Row],[Ice Elemental bonus]]*TblMili[[#This Row],[Unit 4]]</f>
        <v>0</v>
      </c>
      <c r="CZ51" s="268"/>
      <c r="DA51" s="146">
        <f ca="1">MIN(SUM(TblConstr[[#This Row],[Plain]:[Water]])/TblMili[[#This Row],[Land]]/favorable_terrain_bonus/100,favorable_terrain_max)</f>
        <v>0</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14015</v>
      </c>
      <c r="DD51" s="145"/>
      <c r="DE51" s="269">
        <f ca="1">(TblMili[[#This Row],[Wizards]]+2*TblMili[[#This Row],[Archmages]])/TblConstr[[#This Row],[Land]]</f>
        <v>0</v>
      </c>
      <c r="DF51" s="269">
        <f ca="1">TblMili[[#This Row],[Raw (2)]]*(1+race_wizard_strength+IF(TblMili[[#This Row],[Hour]]&gt;72,tech_magical_weaponry_wiz*TblTech[[#This Row],[3-5]],0))</f>
        <v>0</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529</v>
      </c>
      <c r="C52" s="160">
        <f ca="1">TblPop[[#This Row],[Military%]]</f>
        <v>5.4722250956863554E-2</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5"/>
      <c r="N52" s="97">
        <f ca="1">TblProd[[#This Row],[Networth]]</f>
        <v>14675</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529</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529</v>
      </c>
      <c r="X52" s="262">
        <f ca="1">TblConstr[[#This Row],[Land]]</f>
        <v>629</v>
      </c>
      <c r="Y52" s="265"/>
      <c r="Z52" s="270">
        <f ca="1">IF(TblMili[[#This Row],[Set]]&lt;&gt;"",TblMili[[#This Row],[Set]],OFFSET(TblMili[[#This Row],[Draftrate]],-1,0))</f>
        <v>0.9</v>
      </c>
      <c r="AA52" s="97">
        <f ca="1">OFFSET(TblMili[[#This Row],[Draftees]],-1,0)+OFFSET(TblPop[[#This Row],[Draft Growth]],-1,0) - SUM(TblMili[[#This Row],[Train Unit 1]:[Train Spies]],TblMili[[#This Row],[Train Wiz]]) - TblMili[[#This Row],[Release Draft]] + SUM(TblMili[[#This Row],[Release Unit 1]:[Release AM]]) - TblExplore[[#This Row],[Draftees (2)]]</f>
        <v>529</v>
      </c>
      <c r="AB52" s="157"/>
      <c r="AC52" s="183">
        <f ca="1">(TblConstr[[#This Row],[Tot Smi]]+TblConstr[[#This Row],[Dest Smi]])/(TblConstr[[#This Row],[Land]]-TblExplore[[#This Row],[Land Bonus]]*20)</f>
        <v>0</v>
      </c>
      <c r="AD52" s="271"/>
      <c r="AE52" s="272">
        <f>TblMili[[#This Row],[Hour]]</f>
        <v>49</v>
      </c>
      <c r="AF52" s="141">
        <f ca="1">TblExplore[[#This Row],[Time]]</f>
        <v>45431.749999999884</v>
      </c>
      <c r="AG52" s="182"/>
      <c r="AH52" s="182"/>
      <c r="AI52" s="182"/>
      <c r="AJ52" s="182"/>
      <c r="AK52" s="182"/>
      <c r="AL52" s="182"/>
      <c r="AM52" s="182"/>
      <c r="AN52" s="182"/>
      <c r="AO52" s="145"/>
      <c r="AP52" s="97">
        <f ca="1">TblProd[[#This Row],[Platinum]]</f>
        <v>290264</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45431.749999999884</v>
      </c>
      <c r="AV52" s="97">
        <f ca="1">TblMili[[#This Row],[Draftees]]</f>
        <v>529</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300</v>
      </c>
      <c r="BJ52" s="97">
        <f ca="1">ROUNDUP(IF(race="Gnome",1,(1-MIN(TblMili[[#This Row],[Smithies]]*smithy_bonus,smithy_bonus_cap) + tech_3_5*TblTech[[#This Row],[3-5]] + tech_5_3*TblTech[[#This Row],[5-3]] + tech_5_5*TblTech[[#This Row],[5-5]]))*spec_op_ore,0)</f>
        <v>0</v>
      </c>
      <c r="BK52" s="97">
        <f ca="1">ROUNDUP((1-MIN(TblMili[[#This Row],[Smithies]]*smithy_bonus,smithy_bonus_cap) + tech_3_5*TblTech[[#This Row],[3-5]] + tech_5_3*TblTech[[#This Row],[5-3]] + tech_5_5*TblTech[[#This Row],[5-5]])*spec_dp_plat,0)</f>
        <v>300</v>
      </c>
      <c r="BL52" s="97">
        <f ca="1">ROUNDUP(IF(race="Gnome",1,(1-MIN(TblMili[[#This Row],[Smithies]]*smithy_bonus,smithy_bonus_cap) + tech_3_5*TblTech[[#This Row],[3-5]] + tech_5_3*TblTech[[#This Row],[5-3]] + tech_5_5*TblTech[[#This Row],[5-5]]))*spec_dp_ore,0)</f>
        <v>0</v>
      </c>
      <c r="BM52" s="97">
        <f ca="1">ROUNDUP((1-MIN(TblMili[[#This Row],[Smithies]]*smithy_bonus,smithy_bonus_cap) + tech_3_5*TblTech[[#This Row],[3-5]] + tech_5_3*TblTech[[#This Row],[5-3]] + tech_5_5*TblTech[[#This Row],[5-5]])*elite1_plat,0)</f>
        <v>925</v>
      </c>
      <c r="BN52" s="97">
        <f ca="1">ROUNDUP(IF(race="Gnome",1,(1-MIN(TblMili[[#This Row],[Smithies]]*smithy_bonus,smithy_bonus_cap) + tech_3_5*TblTech[[#This Row],[3-5]] + tech_5_3*TblTech[[#This Row],[5-3]] + tech_5_5*TblTech[[#This Row],[5-5]]))*elite1_ore,0)</f>
        <v>0</v>
      </c>
      <c r="BO52" s="97">
        <f ca="1">ROUNDUP((1-MIN(TblMili[[#This Row],[Smithies]]*smithy_bonus,smithy_bonus_cap) + tech_3_5*TblTech[[#This Row],[3-5]] + tech_5_3*TblTech[[#This Row],[5-3]] + tech_5_5*TblTech[[#This Row],[5-5]])*elite2_plat,0)</f>
        <v>950</v>
      </c>
      <c r="BP52" s="97">
        <f ca="1">ROUNDUP(IF(race="Gnome",1,(1-MIN(TblMili[[#This Row],[Smithies]]*smithy_bonus,smithy_bonus_cap) + tech_3_5*TblTech[[#This Row],[3-5]] + tech_5_3*TblTech[[#This Row],[5-3]] + tech_5_5*TblTech[[#This Row],[5-5]]))*elite2_ore,0)</f>
        <v>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6.3593004769475353E-2</v>
      </c>
      <c r="BW52" s="160">
        <f ca="1">TblMili[[#This Row],[WG''s]]</f>
        <v>0</v>
      </c>
      <c r="BX52" s="266">
        <f ca="1">IF(mystic_cap="none",TblMili[[#This Row],[Hill]]/mystic_bonus,MIN(mystic_cap,TblMili[[#This Row],[Hill]]/mystic_bonus))</f>
        <v>0.31796502384737674</v>
      </c>
      <c r="BY52" s="266">
        <f ca="1">IF(druid_op_cap="none",TblMili[[#This Row],[Hill]]/druid_op_bonus,MIN(druid_op_cap,TblMili[[#This Row],[Hill]]/druid_op_bonus))</f>
        <v>0.31796502384737674</v>
      </c>
      <c r="BZ52" s="266">
        <f ca="1">IF(druid_dp_cap="none",TblMili[[#This Row],[Hill]]/druid_dp_bonus,MIN(druid_dp_cap,TblMili[[#This Row],[Hill]]/druid_dp_bonus))</f>
        <v>0.31796502384737674</v>
      </c>
      <c r="CA52" s="266">
        <f ca="1">MIN(dryad_cap,TblMili[[#This Row],[Hill]]/dryad_bonus)</f>
        <v>0.31796502384737674</v>
      </c>
      <c r="CB52" s="266">
        <f ca="1">MIN(rocka_cap,TblMili[[#This Row],[Hill]]/rocka_bonus)</f>
        <v>0.31796502384737674</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0.31796502384737674</v>
      </c>
      <c r="CH52" s="45">
        <f ca="1">MIN(ice_elem_cap,TblMili[[#This Row],[Raw (2)]]*ice_elem_bonus)</f>
        <v>0</v>
      </c>
      <c r="CI52" s="266">
        <f t="shared" si="2"/>
        <v>0.83333333333333337</v>
      </c>
      <c r="CJ52" s="266">
        <f ca="1">MIN(nox_nightshade_cap,TblConstr[[#This Row],[Homeland]]/TblConstr[[#This Row],[Land]]/nox_nightshade_swamp_bonus)</f>
        <v>0.63593004769475348</v>
      </c>
      <c r="CK52" s="267"/>
      <c r="CL52" s="267"/>
      <c r="CM52" s="267"/>
      <c r="CN52" s="266">
        <f ca="1">MIN(6,TblMili[[#This Row],[Mystic]]+Races!$F$19)*1.8 +  IF(TblMili[[#This Row],[Mystic]]+Races!$F$19&gt;6,(TblMili[[#This Row],[Mystic]]+Races!$F$19-6)*0.2,0) - Races!$I$19</f>
        <v>0.57233704292527765</v>
      </c>
      <c r="CO52" s="266">
        <f ca="1">1.8 * MIN(MAX(TblMili[[#This Row],[Druid (op)]]+Races!$E$20,TblMili[[#This Row],[Druid (dp)]]+Races!$F$20),6)  +  0.45 * MIN(MIN(TblMili[[#This Row],[Druid (op)]]+Races!$E$20,TblMili[[#This Row],[Druid (dp)]]+Races!$F$20),6)  +  0.2 * ( MAX(TblMili[[#This Row],[Druid (op)]]+Races!$E$20-6,0) + MAX(TblMili[[#This Row],[Druid (dp)]]+Races!$F$20-6,0) )  -  Races!$I$20</f>
        <v>0.71542130365659684</v>
      </c>
      <c r="CP52" s="97">
        <f ca="1">TblMili[[#This Row],[Mystic bonus]]*TblMili[[#This Row],[Unit 3]]+TblMili[[#This Row],[Druid bonus]]*TblMili[[#This Row],[Unit 4]]</f>
        <v>0</v>
      </c>
      <c r="CQ52" s="158">
        <f ca="1">MIN(6,TblMili[[#This Row],[Dryad]]+Races!$F$35)*1.8 +  IF(TblMili[[#This Row],[Dryad]]+Races!$F$35&gt;6,(TblMili[[#This Row],[Dryad]]+Races!$F$35-6)*0.2,0) - Races!$I$19</f>
        <v>-1.2276629570747222</v>
      </c>
      <c r="CR52" s="97">
        <f ca="1">sylvan*(TblMili[[#This Row],[Mystic bonus]]*TblMili[[#This Row],[Unit 3]])</f>
        <v>0</v>
      </c>
      <c r="CS52" s="158">
        <f ca="1">1.8 * MIN(MAX(Races!$E$27,TblMili[[#This Row],[Rockapult]]+Races!$F$27),6)  +  0.45 * MIN(MIN(Races!$E$27,TblMili[[#This Row],[Rockapult]]+Races!$F$27),6)  +  0.2 * ( MAX(Races!$E$27-6,0) + MAX(TblMili[[#This Row],[Rockapult]]+Races!$F$27-6,0) )  -  Races!$I$20</f>
        <v>2.8223370429252777</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0.57233704292527854</v>
      </c>
      <c r="CX52" s="158">
        <f ca="1">1.8 * MIN(MAX(TblMili[[#This Row],[Ice Elemental]]+Races!$E$71,Races!$F$71),6)  +  0.45 * MIN(MIN(TblMili[[#This Row],[Ice Elemental]]+Races!$E$71,Races!$F$71),6)  +  0.2 * ( MAX(TblMili[[#This Row],[Ice Elemental]]+Races!$E$71-6,0) + MAX(Races!$F$71-6,0) )  -  Races!$I$71</f>
        <v>0</v>
      </c>
      <c r="CY52" s="97">
        <f ca="1">TblMili[[#This Row],[Frost Mage bonus]]*TblMili[[#This Row],[Unit 3]]+TblMili[[#This Row],[Ice Elemental bonus]]*TblMili[[#This Row],[Unit 4]]</f>
        <v>0</v>
      </c>
      <c r="CZ52" s="268"/>
      <c r="DA52" s="146">
        <f ca="1">MIN(SUM(TblConstr[[#This Row],[Plain]:[Water]])/TblMili[[#This Row],[Land]]/favorable_terrain_bonus/100,favorable_terrain_max)</f>
        <v>0</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14675</v>
      </c>
      <c r="DD52" s="145"/>
      <c r="DE52" s="269">
        <f ca="1">(TblMili[[#This Row],[Wizards]]+2*TblMili[[#This Row],[Archmages]])/TblConstr[[#This Row],[Land]]</f>
        <v>0</v>
      </c>
      <c r="DF52" s="269">
        <f ca="1">TblMili[[#This Row],[Raw (2)]]*(1+race_wizard_strength+IF(TblMili[[#This Row],[Hour]]&gt;72,tech_magical_weaponry_wiz*TblTech[[#This Row],[3-5]],0))</f>
        <v>0</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620</v>
      </c>
      <c r="C53" s="160">
        <f ca="1">TblPop[[#This Row],[Military%]]</f>
        <v>6.0826057098008438E-2</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5"/>
      <c r="N53" s="97">
        <f ca="1">TblProd[[#This Row],[Networth]]</f>
        <v>14935</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620</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620</v>
      </c>
      <c r="X53" s="262">
        <f ca="1">TblConstr[[#This Row],[Land]]</f>
        <v>642</v>
      </c>
      <c r="Y53" s="265"/>
      <c r="Z53" s="270">
        <f ca="1">IF(TblMili[[#This Row],[Set]]&lt;&gt;"",TblMili[[#This Row],[Set]],OFFSET(TblMili[[#This Row],[Draftrate]],-1,0))</f>
        <v>0.9</v>
      </c>
      <c r="AA53" s="97">
        <f ca="1">OFFSET(TblMili[[#This Row],[Draftees]],-1,0)+OFFSET(TblPop[[#This Row],[Draft Growth]],-1,0) - SUM(TblMili[[#This Row],[Train Unit 1]:[Train Spies]],TblMili[[#This Row],[Train Wiz]]) - TblMili[[#This Row],[Release Draft]] + SUM(TblMili[[#This Row],[Release Unit 1]:[Release AM]]) - TblExplore[[#This Row],[Draftees (2)]]</f>
        <v>620</v>
      </c>
      <c r="AB53" s="157"/>
      <c r="AC53" s="183">
        <f ca="1">(TblConstr[[#This Row],[Tot Smi]]+TblConstr[[#This Row],[Dest Smi]])/(TblConstr[[#This Row],[Land]]-TblExplore[[#This Row],[Land Bonus]]*20)</f>
        <v>0</v>
      </c>
      <c r="AD53" s="140"/>
      <c r="AE53" s="261">
        <f>TblMili[[#This Row],[Hour]]</f>
        <v>50</v>
      </c>
      <c r="AF53" s="141">
        <f ca="1">TblExplore[[#This Row],[Time]]</f>
        <v>45431.791666666548</v>
      </c>
      <c r="AG53" s="161"/>
      <c r="AH53" s="182"/>
      <c r="AI53" s="161"/>
      <c r="AJ53" s="182"/>
      <c r="AK53" s="182"/>
      <c r="AL53" s="182"/>
      <c r="AM53" s="182"/>
      <c r="AN53" s="182"/>
      <c r="AO53" s="145"/>
      <c r="AP53" s="97">
        <f ca="1">TblProd[[#This Row],[Platinum]]</f>
        <v>323598</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45431.791666666548</v>
      </c>
      <c r="AV53" s="97">
        <f ca="1">TblMili[[#This Row],[Draftees]]</f>
        <v>620</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300</v>
      </c>
      <c r="BJ53" s="97">
        <f ca="1">ROUNDUP(IF(race="Gnome",1,(1-MIN(TblMili[[#This Row],[Smithies]]*smithy_bonus,smithy_bonus_cap) + tech_3_5*TblTech[[#This Row],[3-5]] + tech_5_3*TblTech[[#This Row],[5-3]] + tech_5_5*TblTech[[#This Row],[5-5]]))*spec_op_ore,0)</f>
        <v>0</v>
      </c>
      <c r="BK53" s="97">
        <f ca="1">ROUNDUP((1-MIN(TblMili[[#This Row],[Smithies]]*smithy_bonus,smithy_bonus_cap) + tech_3_5*TblTech[[#This Row],[3-5]] + tech_5_3*TblTech[[#This Row],[5-3]] + tech_5_5*TblTech[[#This Row],[5-5]])*spec_dp_plat,0)</f>
        <v>300</v>
      </c>
      <c r="BL53" s="97">
        <f ca="1">ROUNDUP(IF(race="Gnome",1,(1-MIN(TblMili[[#This Row],[Smithies]]*smithy_bonus,smithy_bonus_cap) + tech_3_5*TblTech[[#This Row],[3-5]] + tech_5_3*TblTech[[#This Row],[5-3]] + tech_5_5*TblTech[[#This Row],[5-5]]))*spec_dp_ore,0)</f>
        <v>0</v>
      </c>
      <c r="BM53" s="97">
        <f ca="1">ROUNDUP((1-MIN(TblMili[[#This Row],[Smithies]]*smithy_bonus,smithy_bonus_cap) + tech_3_5*TblTech[[#This Row],[3-5]] + tech_5_3*TblTech[[#This Row],[5-3]] + tech_5_5*TblTech[[#This Row],[5-5]])*elite1_plat,0)</f>
        <v>925</v>
      </c>
      <c r="BN53" s="97">
        <f ca="1">ROUNDUP(IF(race="Gnome",1,(1-MIN(TblMili[[#This Row],[Smithies]]*smithy_bonus,smithy_bonus_cap) + tech_3_5*TblTech[[#This Row],[3-5]] + tech_5_3*TblTech[[#This Row],[5-3]] + tech_5_5*TblTech[[#This Row],[5-5]]))*elite1_ore,0)</f>
        <v>0</v>
      </c>
      <c r="BO53" s="97">
        <f ca="1">ROUNDUP((1-MIN(TblMili[[#This Row],[Smithies]]*smithy_bonus,smithy_bonus_cap) + tech_3_5*TblTech[[#This Row],[3-5]] + tech_5_3*TblTech[[#This Row],[5-3]] + tech_5_5*TblTech[[#This Row],[5-5]])*elite2_plat,0)</f>
        <v>950</v>
      </c>
      <c r="BP53" s="97">
        <f ca="1">ROUNDUP(IF(race="Gnome",1,(1-MIN(TblMili[[#This Row],[Smithies]]*smithy_bonus,smithy_bonus_cap) + tech_3_5*TblTech[[#This Row],[3-5]] + tech_5_3*TblTech[[#This Row],[5-3]] + tech_5_5*TblTech[[#This Row],[5-5]]))*elite2_ore,0)</f>
        <v>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6.2305295950155763E-2</v>
      </c>
      <c r="BW53" s="160">
        <f ca="1">TblMili[[#This Row],[WG''s]]</f>
        <v>0</v>
      </c>
      <c r="BX53" s="266">
        <f ca="1">IF(mystic_cap="none",TblMili[[#This Row],[Hill]]/mystic_bonus,MIN(mystic_cap,TblMili[[#This Row],[Hill]]/mystic_bonus))</f>
        <v>0.3115264797507788</v>
      </c>
      <c r="BY53" s="266">
        <f ca="1">IF(druid_op_cap="none",TblMili[[#This Row],[Hill]]/druid_op_bonus,MIN(druid_op_cap,TblMili[[#This Row],[Hill]]/druid_op_bonus))</f>
        <v>0.3115264797507788</v>
      </c>
      <c r="BZ53" s="266">
        <f ca="1">IF(druid_dp_cap="none",TblMili[[#This Row],[Hill]]/druid_dp_bonus,MIN(druid_dp_cap,TblMili[[#This Row],[Hill]]/druid_dp_bonus))</f>
        <v>0.3115264797507788</v>
      </c>
      <c r="CA53" s="266">
        <f ca="1">MIN(dryad_cap,TblMili[[#This Row],[Hill]]/dryad_bonus)</f>
        <v>0.3115264797507788</v>
      </c>
      <c r="CB53" s="266">
        <f ca="1">MIN(rocka_cap,TblMili[[#This Row],[Hill]]/rocka_bonus)</f>
        <v>0.3115264797507788</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0.3115264797507788</v>
      </c>
      <c r="CH53" s="45">
        <f ca="1">MIN(ice_elem_cap,TblMili[[#This Row],[Raw (2)]]*ice_elem_bonus)</f>
        <v>0</v>
      </c>
      <c r="CI53" s="266">
        <f t="shared" si="2"/>
        <v>0.83333333333333337</v>
      </c>
      <c r="CJ53" s="266">
        <f ca="1">MIN(nox_nightshade_cap,TblConstr[[#This Row],[Homeland]]/TblConstr[[#This Row],[Land]]/nox_nightshade_swamp_bonus)</f>
        <v>0.62305295950155759</v>
      </c>
      <c r="CK53" s="267"/>
      <c r="CL53" s="267"/>
      <c r="CM53" s="267"/>
      <c r="CN53" s="266">
        <f ca="1">MIN(6,TblMili[[#This Row],[Mystic]]+Races!$F$19)*1.8 +  IF(TblMili[[#This Row],[Mystic]]+Races!$F$19&gt;6,(TblMili[[#This Row],[Mystic]]+Races!$F$19-6)*0.2,0) - Races!$I$19</f>
        <v>0.56074766355140149</v>
      </c>
      <c r="CO53" s="266">
        <f ca="1">1.8 * MIN(MAX(TblMili[[#This Row],[Druid (op)]]+Races!$E$20,TblMili[[#This Row],[Druid (dp)]]+Races!$F$20),6)  +  0.45 * MIN(MIN(TblMili[[#This Row],[Druid (op)]]+Races!$E$20,TblMili[[#This Row],[Druid (dp)]]+Races!$F$20),6)  +  0.2 * ( MAX(TblMili[[#This Row],[Druid (op)]]+Races!$E$20-6,0) + MAX(TblMili[[#This Row],[Druid (dp)]]+Races!$F$20-6,0) )  -  Races!$I$20</f>
        <v>0.70093457943925142</v>
      </c>
      <c r="CP53" s="97">
        <f ca="1">TblMili[[#This Row],[Mystic bonus]]*TblMili[[#This Row],[Unit 3]]+TblMili[[#This Row],[Druid bonus]]*TblMili[[#This Row],[Unit 4]]</f>
        <v>0</v>
      </c>
      <c r="CQ53" s="158">
        <f ca="1">MIN(6,TblMili[[#This Row],[Dryad]]+Races!$F$35)*1.8 +  IF(TblMili[[#This Row],[Dryad]]+Races!$F$35&gt;6,(TblMili[[#This Row],[Dryad]]+Races!$F$35-6)*0.2,0) - Races!$I$19</f>
        <v>-1.2392523364485983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2.8107476635514006</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0.56074766355140149</v>
      </c>
      <c r="CX53" s="158">
        <f ca="1">1.8 * MIN(MAX(TblMili[[#This Row],[Ice Elemental]]+Races!$E$71,Races!$F$71),6)  +  0.45 * MIN(MIN(TblMili[[#This Row],[Ice Elemental]]+Races!$E$71,Races!$F$71),6)  +  0.2 * ( MAX(TblMili[[#This Row],[Ice Elemental]]+Races!$E$71-6,0) + MAX(Races!$F$71-6,0) )  -  Races!$I$71</f>
        <v>0</v>
      </c>
      <c r="CY53" s="97">
        <f ca="1">TblMili[[#This Row],[Frost Mage bonus]]*TblMili[[#This Row],[Unit 3]]+TblMili[[#This Row],[Ice Elemental bonus]]*TblMili[[#This Row],[Unit 4]]</f>
        <v>0</v>
      </c>
      <c r="CZ53" s="268"/>
      <c r="DA53" s="146">
        <f ca="1">MIN(SUM(TblConstr[[#This Row],[Plain]:[Water]])/TblMili[[#This Row],[Land]]/favorable_terrain_bonus/100,favorable_terrain_max)</f>
        <v>0</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14935</v>
      </c>
      <c r="DD53" s="145"/>
      <c r="DE53" s="269">
        <f ca="1">(TblMili[[#This Row],[Wizards]]+2*TblMili[[#This Row],[Archmages]])/TblConstr[[#This Row],[Land]]</f>
        <v>0</v>
      </c>
      <c r="DF53" s="269">
        <f ca="1">TblMili[[#This Row],[Raw (2)]]*(1+race_wizard_strength+IF(TblMili[[#This Row],[Hour]]&gt;72,tech_magical_weaponry_wiz*TblTech[[#This Row],[3-5]],0))</f>
        <v>0</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716</v>
      </c>
      <c r="C54" s="160">
        <f ca="1">TblPop[[#This Row],[Military%]]</f>
        <v>6.8582375478927204E-2</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5"/>
      <c r="N54" s="97">
        <f ca="1">TblProd[[#This Row],[Networth]]</f>
        <v>15215</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716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716</v>
      </c>
      <c r="X54" s="262">
        <f ca="1">TblConstr[[#This Row],[Land]]</f>
        <v>656</v>
      </c>
      <c r="Y54" s="265"/>
      <c r="Z54" s="270">
        <f ca="1">IF(TblMili[[#This Row],[Set]]&lt;&gt;"",TblMili[[#This Row],[Set]],OFFSET(TblMili[[#This Row],[Draftrate]],-1,0))</f>
        <v>0.9</v>
      </c>
      <c r="AA54" s="97">
        <f ca="1">OFFSET(TblMili[[#This Row],[Draftees]],-1,0)+OFFSET(TblPop[[#This Row],[Draft Growth]],-1,0) - SUM(TblMili[[#This Row],[Train Unit 1]:[Train Spies]],TblMili[[#This Row],[Train Wiz]]) - TblMili[[#This Row],[Release Draft]] + SUM(TblMili[[#This Row],[Release Unit 1]:[Release AM]]) - TblExplore[[#This Row],[Draftees (2)]]</f>
        <v>716</v>
      </c>
      <c r="AB54" s="157"/>
      <c r="AC54" s="183">
        <f ca="1">(TblConstr[[#This Row],[Tot Smi]]+TblConstr[[#This Row],[Dest Smi]])/(TblConstr[[#This Row],[Land]]-TblExplore[[#This Row],[Land Bonus]]*20)</f>
        <v>0</v>
      </c>
      <c r="AD54" s="140"/>
      <c r="AE54" s="261">
        <f>TblMili[[#This Row],[Hour]]</f>
        <v>51</v>
      </c>
      <c r="AF54" s="141">
        <f ca="1">TblExplore[[#This Row],[Time]]</f>
        <v>45431.833333333212</v>
      </c>
      <c r="AG54" s="182"/>
      <c r="AH54" s="182"/>
      <c r="AI54" s="182"/>
      <c r="AJ54" s="182"/>
      <c r="AK54" s="182"/>
      <c r="AL54" s="182"/>
      <c r="AM54" s="182"/>
      <c r="AN54" s="182"/>
      <c r="AO54" s="145"/>
      <c r="AP54" s="97">
        <f ca="1">TblProd[[#This Row],[Platinum]]</f>
        <v>356298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45431.833333333212</v>
      </c>
      <c r="AV54" s="97">
        <f ca="1">TblMili[[#This Row],[Draftees]]</f>
        <v>716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300</v>
      </c>
      <c r="BJ54" s="97">
        <f ca="1">ROUNDUP(IF(race="Gnome",1,(1-MIN(TblMili[[#This Row],[Smithies]]*smithy_bonus,smithy_bonus_cap) + tech_3_5*TblTech[[#This Row],[3-5]] + tech_5_3*TblTech[[#This Row],[5-3]] + tech_5_5*TblTech[[#This Row],[5-5]]))*spec_op_ore,0)</f>
        <v>0</v>
      </c>
      <c r="BK54" s="97">
        <f ca="1">ROUNDUP((1-MIN(TblMili[[#This Row],[Smithies]]*smithy_bonus,smithy_bonus_cap) + tech_3_5*TblTech[[#This Row],[3-5]] + tech_5_3*TblTech[[#This Row],[5-3]] + tech_5_5*TblTech[[#This Row],[5-5]])*spec_dp_plat,0)</f>
        <v>300</v>
      </c>
      <c r="BL54" s="97">
        <f ca="1">ROUNDUP(IF(race="Gnome",1,(1-MIN(TblMili[[#This Row],[Smithies]]*smithy_bonus,smithy_bonus_cap) + tech_3_5*TblTech[[#This Row],[3-5]] + tech_5_3*TblTech[[#This Row],[5-3]] + tech_5_5*TblTech[[#This Row],[5-5]]))*spec_dp_ore,0)</f>
        <v>0</v>
      </c>
      <c r="BM54" s="97">
        <f ca="1">ROUNDUP((1-MIN(TblMili[[#This Row],[Smithies]]*smithy_bonus,smithy_bonus_cap) + tech_3_5*TblTech[[#This Row],[3-5]] + tech_5_3*TblTech[[#This Row],[5-3]] + tech_5_5*TblTech[[#This Row],[5-5]])*elite1_plat,0)</f>
        <v>925</v>
      </c>
      <c r="BN54" s="97">
        <f ca="1">ROUNDUP(IF(race="Gnome",1,(1-MIN(TblMili[[#This Row],[Smithies]]*smithy_bonus,smithy_bonus_cap) + tech_3_5*TblTech[[#This Row],[3-5]] + tech_5_3*TblTech[[#This Row],[5-3]] + tech_5_5*TblTech[[#This Row],[5-5]]))*elite1_ore,0)</f>
        <v>0</v>
      </c>
      <c r="BO54" s="97">
        <f ca="1">ROUNDUP((1-MIN(TblMili[[#This Row],[Smithies]]*smithy_bonus,smithy_bonus_cap) + tech_3_5*TblTech[[#This Row],[3-5]] + tech_5_3*TblTech[[#This Row],[5-3]] + tech_5_5*TblTech[[#This Row],[5-5]])*elite2_plat,0)</f>
        <v>950</v>
      </c>
      <c r="BP54" s="97">
        <f ca="1">ROUNDUP(IF(race="Gnome",1,(1-MIN(TblMili[[#This Row],[Smithies]]*smithy_bonus,smithy_bonus_cap) + tech_3_5*TblTech[[#This Row],[3-5]] + tech_5_3*TblTech[[#This Row],[5-3]] + tech_5_5*TblTech[[#This Row],[5-5]]))*elite2_ore,0)</f>
        <v>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6.097560975609756E-2</v>
      </c>
      <c r="BW54" s="160">
        <f ca="1">TblMili[[#This Row],[WG''s]]</f>
        <v>0</v>
      </c>
      <c r="BX54" s="266">
        <f ca="1">IF(mystic_cap="none",TblMili[[#This Row],[Hill]]/mystic_bonus,MIN(mystic_cap,TblMili[[#This Row],[Hill]]/mystic_bonus))</f>
        <v>0.3048780487804878</v>
      </c>
      <c r="BY54" s="266">
        <f ca="1">IF(druid_op_cap="none",TblMili[[#This Row],[Hill]]/druid_op_bonus,MIN(druid_op_cap,TblMili[[#This Row],[Hill]]/druid_op_bonus))</f>
        <v>0.3048780487804878</v>
      </c>
      <c r="BZ54" s="266">
        <f ca="1">IF(druid_dp_cap="none",TblMili[[#This Row],[Hill]]/druid_dp_bonus,MIN(druid_dp_cap,TblMili[[#This Row],[Hill]]/druid_dp_bonus))</f>
        <v>0.3048780487804878</v>
      </c>
      <c r="CA54" s="266">
        <f ca="1">MIN(dryad_cap,TblMili[[#This Row],[Hill]]/dryad_bonus)</f>
        <v>0.3048780487804878</v>
      </c>
      <c r="CB54" s="266">
        <f ca="1">MIN(rocka_cap,TblMili[[#This Row],[Hill]]/rocka_bonus)</f>
        <v>0.3048780487804878</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0.3048780487804878</v>
      </c>
      <c r="CH54" s="45">
        <f ca="1">MIN(ice_elem_cap,TblMili[[#This Row],[Raw (2)]]*ice_elem_bonus)</f>
        <v>0</v>
      </c>
      <c r="CI54" s="266">
        <f t="shared" si="2"/>
        <v>0.83333333333333337</v>
      </c>
      <c r="CJ54" s="266">
        <f ca="1">MIN(nox_nightshade_cap,TblConstr[[#This Row],[Homeland]]/TblConstr[[#This Row],[Land]]/nox_nightshade_swamp_bonus)</f>
        <v>0.6097560975609756</v>
      </c>
      <c r="CK54" s="267"/>
      <c r="CL54" s="267"/>
      <c r="CM54" s="267"/>
      <c r="CN54" s="266">
        <f ca="1">MIN(6,TblMili[[#This Row],[Mystic]]+Races!$F$19)*1.8 +  IF(TblMili[[#This Row],[Mystic]]+Races!$F$19&gt;6,(TblMili[[#This Row],[Mystic]]+Races!$F$19-6)*0.2,0) - Races!$I$19</f>
        <v>0.54878048780487809</v>
      </c>
      <c r="CO54" s="266">
        <f ca="1">1.8 * MIN(MAX(TblMili[[#This Row],[Druid (op)]]+Races!$E$20,TblMili[[#This Row],[Druid (dp)]]+Races!$F$20),6)  +  0.45 * MIN(MIN(TblMili[[#This Row],[Druid (op)]]+Races!$E$20,TblMili[[#This Row],[Druid (dp)]]+Races!$F$20),6)  +  0.2 * ( MAX(TblMili[[#This Row],[Druid (op)]]+Races!$E$20-6,0) + MAX(TblMili[[#This Row],[Druid (dp)]]+Races!$F$20-6,0) )  -  Races!$I$20</f>
        <v>0.68597560975609628</v>
      </c>
      <c r="CP54" s="97">
        <f ca="1">TblMili[[#This Row],[Mystic bonus]]*TblMili[[#This Row],[Unit 3]]+TblMili[[#This Row],[Druid bonus]]*TblMili[[#This Row],[Unit 4]]</f>
        <v>0</v>
      </c>
      <c r="CQ54" s="158">
        <f ca="1">MIN(6,TblMili[[#This Row],[Dryad]]+Races!$F$35)*1.8 +  IF(TblMili[[#This Row],[Dryad]]+Races!$F$35&gt;6,(TblMili[[#This Row],[Dryad]]+Races!$F$35-6)*0.2,0) - Races!$I$19</f>
        <v>-1.2512195121951226</v>
      </c>
      <c r="CR54" s="97">
        <f ca="1">sylvan*(TblMili[[#This Row],[Mystic bonus]]*TblMili[[#This Row],[Unit 3]])</f>
        <v>0</v>
      </c>
      <c r="CS54" s="158">
        <f ca="1">1.8 * MIN(MAX(Races!$E$27,TblMili[[#This Row],[Rockapult]]+Races!$F$27),6)  +  0.45 * MIN(MIN(Races!$E$27,TblMili[[#This Row],[Rockapult]]+Races!$F$27),6)  +  0.2 * ( MAX(Races!$E$27-6,0) + MAX(TblMili[[#This Row],[Rockapult]]+Races!$F$27-6,0) )  -  Races!$I$20</f>
        <v>2.7987804878048772</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0.54878048780487809</v>
      </c>
      <c r="CX54" s="158">
        <f ca="1">1.8 * MIN(MAX(TblMili[[#This Row],[Ice Elemental]]+Races!$E$71,Races!$F$71),6)  +  0.45 * MIN(MIN(TblMili[[#This Row],[Ice Elemental]]+Races!$E$71,Races!$F$71),6)  +  0.2 * ( MAX(TblMili[[#This Row],[Ice Elemental]]+Races!$E$71-6,0) + MAX(Races!$F$71-6,0) )  -  Races!$I$71</f>
        <v>0</v>
      </c>
      <c r="CY54" s="97">
        <f ca="1">TblMili[[#This Row],[Frost Mage bonus]]*TblMili[[#This Row],[Unit 3]]+TblMili[[#This Row],[Ice Elemental bonus]]*TblMili[[#This Row],[Unit 4]]</f>
        <v>0</v>
      </c>
      <c r="CZ54" s="268"/>
      <c r="DA54" s="146">
        <f ca="1">MIN(SUM(TblConstr[[#This Row],[Plain]:[Water]])/TblMili[[#This Row],[Land]]/favorable_terrain_bonus/100,favorable_terrain_max)</f>
        <v>0</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15215</v>
      </c>
      <c r="DD54" s="145"/>
      <c r="DE54" s="269">
        <f ca="1">(TblMili[[#This Row],[Wizards]]+2*TblMili[[#This Row],[Archmages]])/TblConstr[[#This Row],[Land]]</f>
        <v>0</v>
      </c>
      <c r="DF54" s="269">
        <f ca="1">TblMili[[#This Row],[Raw (2)]]*(1+race_wizard_strength+IF(TblMili[[#This Row],[Hour]]&gt;72,tech_magical_weaponry_wiz*TblTech[[#This Row],[3-5]],0))</f>
        <v>0</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813</v>
      </c>
      <c r="C55" s="160">
        <f ca="1">TblPop[[#This Row],[Military%]]</f>
        <v>7.6266416510318943E-2</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5"/>
      <c r="N55" s="97">
        <f ca="1">TblProd[[#This Row],[Networth]]</f>
        <v>15475</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813</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813</v>
      </c>
      <c r="X55" s="262">
        <f ca="1">TblConstr[[#This Row],[Land]]</f>
        <v>669</v>
      </c>
      <c r="Y55" s="265"/>
      <c r="Z55" s="270">
        <f ca="1">IF(TblMili[[#This Row],[Set]]&lt;&gt;"",TblMili[[#This Row],[Set]],OFFSET(TblMili[[#This Row],[Draftrate]],-1,0))</f>
        <v>0.9</v>
      </c>
      <c r="AA55" s="97">
        <f ca="1">OFFSET(TblMili[[#This Row],[Draftees]],-1,0)+OFFSET(TblPop[[#This Row],[Draft Growth]],-1,0) - SUM(TblMili[[#This Row],[Train Unit 1]:[Train Spies]],TblMili[[#This Row],[Train Wiz]]) - TblMili[[#This Row],[Release Draft]] + SUM(TblMili[[#This Row],[Release Unit 1]:[Release AM]]) - TblExplore[[#This Row],[Draftees (2)]]</f>
        <v>813</v>
      </c>
      <c r="AB55" s="157"/>
      <c r="AC55" s="183">
        <f ca="1">(TblConstr[[#This Row],[Tot Smi]]+TblConstr[[#This Row],[Dest Smi]])/(TblConstr[[#This Row],[Land]]-TblExplore[[#This Row],[Land Bonus]]*20)</f>
        <v>0</v>
      </c>
      <c r="AD55" s="140"/>
      <c r="AE55" s="261">
        <f>TblMili[[#This Row],[Hour]]</f>
        <v>52</v>
      </c>
      <c r="AF55" s="141">
        <f ca="1">TblExplore[[#This Row],[Time]]</f>
        <v>45431.874999999876</v>
      </c>
      <c r="AG55" s="182"/>
      <c r="AH55" s="182"/>
      <c r="AI55" s="182"/>
      <c r="AJ55" s="182"/>
      <c r="AK55" s="182"/>
      <c r="AL55" s="182"/>
      <c r="AM55" s="182"/>
      <c r="AN55" s="182"/>
      <c r="AO55" s="145"/>
      <c r="AP55" s="97">
        <f ca="1">TblProd[[#This Row],[Platinum]]</f>
        <v>389463</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45431.874999999876</v>
      </c>
      <c r="AV55" s="97">
        <f ca="1">TblMili[[#This Row],[Draftees]]</f>
        <v>813</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300</v>
      </c>
      <c r="BJ55" s="97">
        <f ca="1">ROUNDUP(IF(race="Gnome",1,(1-MIN(TblMili[[#This Row],[Smithies]]*smithy_bonus,smithy_bonus_cap) + tech_3_5*TblTech[[#This Row],[3-5]] + tech_5_3*TblTech[[#This Row],[5-3]] + tech_5_5*TblTech[[#This Row],[5-5]]))*spec_op_ore,0)</f>
        <v>0</v>
      </c>
      <c r="BK55" s="97">
        <f ca="1">ROUNDUP((1-MIN(TblMili[[#This Row],[Smithies]]*smithy_bonus,smithy_bonus_cap) + tech_3_5*TblTech[[#This Row],[3-5]] + tech_5_3*TblTech[[#This Row],[5-3]] + tech_5_5*TblTech[[#This Row],[5-5]])*spec_dp_plat,0)</f>
        <v>300</v>
      </c>
      <c r="BL55" s="97">
        <f ca="1">ROUNDUP(IF(race="Gnome",1,(1-MIN(TblMili[[#This Row],[Smithies]]*smithy_bonus,smithy_bonus_cap) + tech_3_5*TblTech[[#This Row],[3-5]] + tech_5_3*TblTech[[#This Row],[5-3]] + tech_5_5*TblTech[[#This Row],[5-5]]))*spec_dp_ore,0)</f>
        <v>0</v>
      </c>
      <c r="BM55" s="97">
        <f ca="1">ROUNDUP((1-MIN(TblMili[[#This Row],[Smithies]]*smithy_bonus,smithy_bonus_cap) + tech_3_5*TblTech[[#This Row],[3-5]] + tech_5_3*TblTech[[#This Row],[5-3]] + tech_5_5*TblTech[[#This Row],[5-5]])*elite1_plat,0)</f>
        <v>925</v>
      </c>
      <c r="BN55" s="97">
        <f ca="1">ROUNDUP(IF(race="Gnome",1,(1-MIN(TblMili[[#This Row],[Smithies]]*smithy_bonus,smithy_bonus_cap) + tech_3_5*TblTech[[#This Row],[3-5]] + tech_5_3*TblTech[[#This Row],[5-3]] + tech_5_5*TblTech[[#This Row],[5-5]]))*elite1_ore,0)</f>
        <v>0</v>
      </c>
      <c r="BO55" s="97">
        <f ca="1">ROUNDUP((1-MIN(TblMili[[#This Row],[Smithies]]*smithy_bonus,smithy_bonus_cap) + tech_3_5*TblTech[[#This Row],[3-5]] + tech_5_3*TblTech[[#This Row],[5-3]] + tech_5_5*TblTech[[#This Row],[5-5]])*elite2_plat,0)</f>
        <v>950</v>
      </c>
      <c r="BP55" s="97">
        <f ca="1">ROUNDUP(IF(race="Gnome",1,(1-MIN(TblMili[[#This Row],[Smithies]]*smithy_bonus,smithy_bonus_cap) + tech_3_5*TblTech[[#This Row],[3-5]] + tech_5_3*TblTech[[#This Row],[5-3]] + tech_5_5*TblTech[[#This Row],[5-5]]))*elite2_ore,0)</f>
        <v>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5.9790732436472344E-2</v>
      </c>
      <c r="BW55" s="160">
        <f ca="1">TblMili[[#This Row],[WG''s]]</f>
        <v>0</v>
      </c>
      <c r="BX55" s="266">
        <f ca="1">IF(mystic_cap="none",TblMili[[#This Row],[Hill]]/mystic_bonus,MIN(mystic_cap,TblMili[[#This Row],[Hill]]/mystic_bonus))</f>
        <v>0.29895366218236169</v>
      </c>
      <c r="BY55" s="266">
        <f ca="1">IF(druid_op_cap="none",TblMili[[#This Row],[Hill]]/druid_op_bonus,MIN(druid_op_cap,TblMili[[#This Row],[Hill]]/druid_op_bonus))</f>
        <v>0.29895366218236169</v>
      </c>
      <c r="BZ55" s="266">
        <f ca="1">IF(druid_dp_cap="none",TblMili[[#This Row],[Hill]]/druid_dp_bonus,MIN(druid_dp_cap,TblMili[[#This Row],[Hill]]/druid_dp_bonus))</f>
        <v>0.29895366218236169</v>
      </c>
      <c r="CA55" s="266">
        <f ca="1">MIN(dryad_cap,TblMili[[#This Row],[Hill]]/dryad_bonus)</f>
        <v>0.29895366218236169</v>
      </c>
      <c r="CB55" s="266">
        <f ca="1">MIN(rocka_cap,TblMili[[#This Row],[Hill]]/rocka_bonus)</f>
        <v>0.29895366218236169</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0.29895366218236169</v>
      </c>
      <c r="CH55" s="45">
        <f ca="1">MIN(ice_elem_cap,TblMili[[#This Row],[Raw (2)]]*ice_elem_bonus)</f>
        <v>0</v>
      </c>
      <c r="CI55" s="266">
        <f t="shared" si="2"/>
        <v>0.83333333333333337</v>
      </c>
      <c r="CJ55" s="266">
        <f ca="1">MIN(nox_nightshade_cap,TblConstr[[#This Row],[Homeland]]/TblConstr[[#This Row],[Land]]/nox_nightshade_swamp_bonus)</f>
        <v>0.59790732436472338</v>
      </c>
      <c r="CK55" s="267"/>
      <c r="CL55" s="267"/>
      <c r="CM55" s="267"/>
      <c r="CN55" s="266">
        <f ca="1">MIN(6,TblMili[[#This Row],[Mystic]]+Races!$F$19)*1.8 +  IF(TblMili[[#This Row],[Mystic]]+Races!$F$19&gt;6,(TblMili[[#This Row],[Mystic]]+Races!$F$19-6)*0.2,0) - Races!$I$19</f>
        <v>0.5381165919282509</v>
      </c>
      <c r="CO55" s="266">
        <f ca="1">1.8 * MIN(MAX(TblMili[[#This Row],[Druid (op)]]+Races!$E$20,TblMili[[#This Row],[Druid (dp)]]+Races!$F$20),6)  +  0.45 * MIN(MIN(TblMili[[#This Row],[Druid (op)]]+Races!$E$20,TblMili[[#This Row],[Druid (dp)]]+Races!$F$20),6)  +  0.2 * ( MAX(TblMili[[#This Row],[Druid (op)]]+Races!$E$20-6,0) + MAX(TblMili[[#This Row],[Druid (dp)]]+Races!$F$20-6,0) )  -  Races!$I$20</f>
        <v>0.67264573991031362</v>
      </c>
      <c r="CP55" s="97">
        <f ca="1">TblMili[[#This Row],[Mystic bonus]]*TblMili[[#This Row],[Unit 3]]+TblMili[[#This Row],[Druid bonus]]*TblMili[[#This Row],[Unit 4]]</f>
        <v>0</v>
      </c>
      <c r="CQ55" s="158">
        <f ca="1">MIN(6,TblMili[[#This Row],[Dryad]]+Races!$F$35)*1.8 +  IF(TblMili[[#This Row],[Dryad]]+Races!$F$35&gt;6,(TblMili[[#This Row],[Dryad]]+Races!$F$35-6)*0.2,0) - Races!$I$19</f>
        <v>-1.2618834080717489</v>
      </c>
      <c r="CR55" s="97">
        <f ca="1">sylvan*(TblMili[[#This Row],[Mystic bonus]]*TblMili[[#This Row],[Unit 3]])</f>
        <v>0</v>
      </c>
      <c r="CS55" s="158">
        <f ca="1">1.8 * MIN(MAX(Races!$E$27,TblMili[[#This Row],[Rockapult]]+Races!$F$27),6)  +  0.45 * MIN(MIN(Races!$E$27,TblMili[[#This Row],[Rockapult]]+Races!$F$27),6)  +  0.2 * ( MAX(Races!$E$27-6,0) + MAX(TblMili[[#This Row],[Rockapult]]+Races!$F$27-6,0) )  -  Races!$I$20</f>
        <v>2.78811659192825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0.5381165919282509</v>
      </c>
      <c r="CX55" s="158">
        <f ca="1">1.8 * MIN(MAX(TblMili[[#This Row],[Ice Elemental]]+Races!$E$71,Races!$F$71),6)  +  0.45 * MIN(MIN(TblMili[[#This Row],[Ice Elemental]]+Races!$E$71,Races!$F$71),6)  +  0.2 * ( MAX(TblMili[[#This Row],[Ice Elemental]]+Races!$E$71-6,0) + MAX(Races!$F$71-6,0) )  -  Races!$I$71</f>
        <v>0</v>
      </c>
      <c r="CY55" s="97">
        <f ca="1">TblMili[[#This Row],[Frost Mage bonus]]*TblMili[[#This Row],[Unit 3]]+TblMili[[#This Row],[Ice Elemental bonus]]*TblMili[[#This Row],[Unit 4]]</f>
        <v>0</v>
      </c>
      <c r="CZ55" s="268"/>
      <c r="DA55" s="146">
        <f ca="1">MIN(SUM(TblConstr[[#This Row],[Plain]:[Water]])/TblMili[[#This Row],[Land]]/favorable_terrain_bonus/100,favorable_terrain_max)</f>
        <v>0</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15475</v>
      </c>
      <c r="DD55" s="145"/>
      <c r="DE55" s="269">
        <f ca="1">(TblMili[[#This Row],[Wizards]]+2*TblMili[[#This Row],[Archmages]])/TblConstr[[#This Row],[Land]]</f>
        <v>0</v>
      </c>
      <c r="DF55" s="269">
        <f ca="1">TblMili[[#This Row],[Raw (2)]]*(1+race_wizard_strength+IF(TblMili[[#This Row],[Hour]]&gt;72,tech_magical_weaponry_wiz*TblTech[[#This Row],[3-5]],0))</f>
        <v>0</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911</v>
      </c>
      <c r="C56" s="160">
        <f ca="1">TblPop[[#This Row],[Military%]]</f>
        <v>8.3893544525278571E-2</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5"/>
      <c r="N56" s="97">
        <f ca="1">TblProd[[#This Row],[Networth]]</f>
        <v>16105</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911</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911</v>
      </c>
      <c r="X56" s="262">
        <f ca="1">TblConstr[[#This Row],[Land]]</f>
        <v>680</v>
      </c>
      <c r="Y56" s="265"/>
      <c r="Z56" s="270">
        <f ca="1">IF(TblMili[[#This Row],[Set]]&lt;&gt;"",TblMili[[#This Row],[Set]],OFFSET(TblMili[[#This Row],[Draftrate]],-1,0))</f>
        <v>0.9</v>
      </c>
      <c r="AA56" s="97">
        <f ca="1">OFFSET(TblMili[[#This Row],[Draftees]],-1,0)+OFFSET(TblPop[[#This Row],[Draft Growth]],-1,0) - SUM(TblMili[[#This Row],[Train Unit 1]:[Train Spies]],TblMili[[#This Row],[Train Wiz]]) - TblMili[[#This Row],[Release Draft]] + SUM(TblMili[[#This Row],[Release Unit 1]:[Release AM]]) - TblExplore[[#This Row],[Draftees (2)]]</f>
        <v>911</v>
      </c>
      <c r="AB56" s="157"/>
      <c r="AC56" s="183">
        <f ca="1">(TblConstr[[#This Row],[Tot Smi]]+TblConstr[[#This Row],[Dest Smi]])/(TblConstr[[#This Row],[Land]]-TblExplore[[#This Row],[Land Bonus]]*20)</f>
        <v>6.9117647058823534E-2</v>
      </c>
      <c r="AD56" s="140"/>
      <c r="AE56" s="261">
        <f>TblMili[[#This Row],[Hour]]</f>
        <v>53</v>
      </c>
      <c r="AF56" s="141">
        <f ca="1">TblExplore[[#This Row],[Time]]</f>
        <v>45431.916666666541</v>
      </c>
      <c r="AG56" s="182"/>
      <c r="AH56" s="182"/>
      <c r="AI56" s="182"/>
      <c r="AJ56" s="182"/>
      <c r="AK56" s="182"/>
      <c r="AL56" s="182"/>
      <c r="AM56" s="182"/>
      <c r="AN56" s="182"/>
      <c r="AO56" s="145"/>
      <c r="AP56" s="97">
        <f ca="1">TblProd[[#This Row],[Platinum]]</f>
        <v>429145</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45431.916666666541</v>
      </c>
      <c r="AV56" s="97">
        <f ca="1">TblMili[[#This Row],[Draftees]]</f>
        <v>911</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259</v>
      </c>
      <c r="BJ56" s="97">
        <f ca="1">ROUNDUP(IF(race="Gnome",1,(1-MIN(TblMili[[#This Row],[Smithies]]*smithy_bonus,smithy_bonus_cap) + tech_3_5*TblTech[[#This Row],[3-5]] + tech_5_3*TblTech[[#This Row],[5-3]] + tech_5_5*TblTech[[#This Row],[5-5]]))*spec_op_ore,0)</f>
        <v>0</v>
      </c>
      <c r="BK56" s="97">
        <f ca="1">ROUNDUP((1-MIN(TblMili[[#This Row],[Smithies]]*smithy_bonus,smithy_bonus_cap) + tech_3_5*TblTech[[#This Row],[3-5]] + tech_5_3*TblTech[[#This Row],[5-3]] + tech_5_5*TblTech[[#This Row],[5-5]])*spec_dp_plat,0)</f>
        <v>259</v>
      </c>
      <c r="BL56" s="97">
        <f ca="1">ROUNDUP(IF(race="Gnome",1,(1-MIN(TblMili[[#This Row],[Smithies]]*smithy_bonus,smithy_bonus_cap) + tech_3_5*TblTech[[#This Row],[3-5]] + tech_5_3*TblTech[[#This Row],[5-3]] + tech_5_5*TblTech[[#This Row],[5-5]]))*spec_dp_ore,0)</f>
        <v>0</v>
      </c>
      <c r="BM56" s="97">
        <f ca="1">ROUNDUP((1-MIN(TblMili[[#This Row],[Smithies]]*smithy_bonus,smithy_bonus_cap) + tech_3_5*TblTech[[#This Row],[3-5]] + tech_5_3*TblTech[[#This Row],[5-3]] + tech_5_5*TblTech[[#This Row],[5-5]])*elite1_plat,0)</f>
        <v>798</v>
      </c>
      <c r="BN56" s="97">
        <f ca="1">ROUNDUP(IF(race="Gnome",1,(1-MIN(TblMili[[#This Row],[Smithies]]*smithy_bonus,smithy_bonus_cap) + tech_3_5*TblTech[[#This Row],[3-5]] + tech_5_3*TblTech[[#This Row],[5-3]] + tech_5_5*TblTech[[#This Row],[5-5]]))*elite1_ore,0)</f>
        <v>0</v>
      </c>
      <c r="BO56" s="97">
        <f ca="1">ROUNDUP((1-MIN(TblMili[[#This Row],[Smithies]]*smithy_bonus,smithy_bonus_cap) + tech_3_5*TblTech[[#This Row],[3-5]] + tech_5_3*TblTech[[#This Row],[5-3]] + tech_5_5*TblTech[[#This Row],[5-5]])*elite2_plat,0)</f>
        <v>819</v>
      </c>
      <c r="BP56" s="97">
        <f ca="1">ROUNDUP(IF(race="Gnome",1,(1-MIN(TblMili[[#This Row],[Smithies]]*smithy_bonus,smithy_bonus_cap) + tech_3_5*TblTech[[#This Row],[3-5]] + tech_5_3*TblTech[[#This Row],[5-3]] + tech_5_5*TblTech[[#This Row],[5-5]]))*elite2_ore,0)</f>
        <v>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5.8823529411764705E-2</v>
      </c>
      <c r="BW56" s="160">
        <f ca="1">TblMili[[#This Row],[WG''s]]</f>
        <v>0</v>
      </c>
      <c r="BX56" s="266">
        <f ca="1">IF(mystic_cap="none",TblMili[[#This Row],[Hill]]/mystic_bonus,MIN(mystic_cap,TblMili[[#This Row],[Hill]]/mystic_bonus))</f>
        <v>0.29411764705882348</v>
      </c>
      <c r="BY56" s="266">
        <f ca="1">IF(druid_op_cap="none",TblMili[[#This Row],[Hill]]/druid_op_bonus,MIN(druid_op_cap,TblMili[[#This Row],[Hill]]/druid_op_bonus))</f>
        <v>0.29411764705882348</v>
      </c>
      <c r="BZ56" s="266">
        <f ca="1">IF(druid_dp_cap="none",TblMili[[#This Row],[Hill]]/druid_dp_bonus,MIN(druid_dp_cap,TblMili[[#This Row],[Hill]]/druid_dp_bonus))</f>
        <v>0.29411764705882348</v>
      </c>
      <c r="CA56" s="266">
        <f ca="1">MIN(dryad_cap,TblMili[[#This Row],[Hill]]/dryad_bonus)</f>
        <v>0.29411764705882348</v>
      </c>
      <c r="CB56" s="266">
        <f ca="1">MIN(rocka_cap,TblMili[[#This Row],[Hill]]/rocka_bonus)</f>
        <v>0.29411764705882348</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0.29411764705882348</v>
      </c>
      <c r="CH56" s="45">
        <f ca="1">MIN(ice_elem_cap,TblMili[[#This Row],[Raw (2)]]*ice_elem_bonus)</f>
        <v>0</v>
      </c>
      <c r="CI56" s="266">
        <f t="shared" si="2"/>
        <v>0.83333333333333337</v>
      </c>
      <c r="CJ56" s="266">
        <f ca="1">MIN(nox_nightshade_cap,TblConstr[[#This Row],[Homeland]]/TblConstr[[#This Row],[Land]]/nox_nightshade_swamp_bonus)</f>
        <v>0.58823529411764697</v>
      </c>
      <c r="CK56" s="267"/>
      <c r="CL56" s="267"/>
      <c r="CM56" s="267"/>
      <c r="CN56" s="266">
        <f ca="1">MIN(6,TblMili[[#This Row],[Mystic]]+Races!$F$19)*1.8 +  IF(TblMili[[#This Row],[Mystic]]+Races!$F$19&gt;6,(TblMili[[#This Row],[Mystic]]+Races!$F$19-6)*0.2,0) - Races!$I$19</f>
        <v>0.52941176470588225</v>
      </c>
      <c r="CO56" s="266">
        <f ca="1">1.8 * MIN(MAX(TblMili[[#This Row],[Druid (op)]]+Races!$E$20,TblMili[[#This Row],[Druid (dp)]]+Races!$F$20),6)  +  0.45 * MIN(MIN(TblMili[[#This Row],[Druid (op)]]+Races!$E$20,TblMili[[#This Row],[Druid (dp)]]+Races!$F$20),6)  +  0.2 * ( MAX(TblMili[[#This Row],[Druid (op)]]+Races!$E$20-6,0) + MAX(TblMili[[#This Row],[Druid (dp)]]+Races!$F$20-6,0) )  -  Races!$I$20</f>
        <v>0.66176470588235237</v>
      </c>
      <c r="CP56" s="97">
        <f ca="1">TblMili[[#This Row],[Mystic bonus]]*TblMili[[#This Row],[Unit 3]]+TblMili[[#This Row],[Druid bonus]]*TblMili[[#This Row],[Unit 4]]</f>
        <v>0</v>
      </c>
      <c r="CQ56" s="158">
        <f ca="1">MIN(6,TblMili[[#This Row],[Dryad]]+Races!$F$35)*1.8 +  IF(TblMili[[#This Row],[Dryad]]+Races!$F$35&gt;6,(TblMili[[#This Row],[Dryad]]+Races!$F$35-6)*0.2,0) - Races!$I$19</f>
        <v>-1.2705882352941176</v>
      </c>
      <c r="CR56" s="97">
        <f ca="1">sylvan*(TblMili[[#This Row],[Mystic bonus]]*TblMili[[#This Row],[Unit 3]])</f>
        <v>0</v>
      </c>
      <c r="CS56" s="158">
        <f ca="1">1.8 * MIN(MAX(Races!$E$27,TblMili[[#This Row],[Rockapult]]+Races!$F$27),6)  +  0.45 * MIN(MIN(Races!$E$27,TblMili[[#This Row],[Rockapult]]+Races!$F$27),6)  +  0.2 * ( MAX(Races!$E$27-6,0) + MAX(TblMili[[#This Row],[Rockapult]]+Races!$F$27-6,0) )  -  Races!$I$20</f>
        <v>2.7794117647058814</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0.52941176470588225</v>
      </c>
      <c r="CX56" s="158">
        <f ca="1">1.8 * MIN(MAX(TblMili[[#This Row],[Ice Elemental]]+Races!$E$71,Races!$F$71),6)  +  0.45 * MIN(MIN(TblMili[[#This Row],[Ice Elemental]]+Races!$E$71,Races!$F$71),6)  +  0.2 * ( MAX(TblMili[[#This Row],[Ice Elemental]]+Races!$E$71-6,0) + MAX(Races!$F$71-6,0) )  -  Races!$I$71</f>
        <v>0</v>
      </c>
      <c r="CY56" s="97">
        <f ca="1">TblMili[[#This Row],[Frost Mage bonus]]*TblMili[[#This Row],[Unit 3]]+TblMili[[#This Row],[Ice Elemental bonus]]*TblMili[[#This Row],[Unit 4]]</f>
        <v>0</v>
      </c>
      <c r="CZ56" s="268"/>
      <c r="DA56" s="146">
        <f ca="1">MIN(SUM(TblConstr[[#This Row],[Plain]:[Water]])/TblMili[[#This Row],[Land]]/favorable_terrain_bonus/100,favorable_terrain_max)</f>
        <v>0</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16105</v>
      </c>
      <c r="DD56" s="145"/>
      <c r="DE56" s="269">
        <f ca="1">(TblMili[[#This Row],[Wizards]]+2*TblMili[[#This Row],[Archmages]])/TblConstr[[#This Row],[Land]]</f>
        <v>0</v>
      </c>
      <c r="DF56" s="269">
        <f ca="1">TblMili[[#This Row],[Raw (2)]]*(1+race_wizard_strength+IF(TblMili[[#This Row],[Hour]]&gt;72,tech_magical_weaponry_wiz*TblTech[[#This Row],[3-5]],0))</f>
        <v>0</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1010</v>
      </c>
      <c r="C57" s="160">
        <f ca="1">TblPop[[#This Row],[Military%]]</f>
        <v>9.146893678681399E-2</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5"/>
      <c r="N57" s="97">
        <f ca="1">TblProd[[#This Row],[Networth]]</f>
        <v>16390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1010</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1010</v>
      </c>
      <c r="X57" s="262">
        <f ca="1">TblConstr[[#This Row],[Land]]</f>
        <v>692</v>
      </c>
      <c r="Y57" s="265"/>
      <c r="Z57" s="270">
        <f ca="1">IF(TblMili[[#This Row],[Set]]&lt;&gt;"",TblMili[[#This Row],[Set]],OFFSET(TblMili[[#This Row],[Draftrate]],-1,0))</f>
        <v>0.9</v>
      </c>
      <c r="AA57" s="97">
        <f ca="1">OFFSET(TblMili[[#This Row],[Draftees]],-1,0)+OFFSET(TblPop[[#This Row],[Draft Growth]],-1,0) - SUM(TblMili[[#This Row],[Train Unit 1]:[Train Spies]],TblMili[[#This Row],[Train Wiz]]) - TblMili[[#This Row],[Release Draft]] + SUM(TblMili[[#This Row],[Release Unit 1]:[Release AM]]) - TblExplore[[#This Row],[Draftees (2)]]</f>
        <v>1010</v>
      </c>
      <c r="AB57" s="157"/>
      <c r="AC57" s="183">
        <f ca="1">(TblConstr[[#This Row],[Tot Smi]]+TblConstr[[#This Row],[Dest Smi]])/(TblConstr[[#This Row],[Land]]-TblExplore[[#This Row],[Land Bonus]]*20)</f>
        <v>7.947976878612717E-2</v>
      </c>
      <c r="AD57" s="140"/>
      <c r="AE57" s="261">
        <f>TblMili[[#This Row],[Hour]]</f>
        <v>54</v>
      </c>
      <c r="AF57" s="141">
        <f ca="1">TblExplore[[#This Row],[Time]]</f>
        <v>45431.958333333205</v>
      </c>
      <c r="AG57" s="182"/>
      <c r="AH57" s="182"/>
      <c r="AI57" s="182"/>
      <c r="AJ57" s="182"/>
      <c r="AK57" s="182"/>
      <c r="AL57" s="182"/>
      <c r="AM57" s="182"/>
      <c r="AN57" s="182"/>
      <c r="AO57" s="145"/>
      <c r="AP57" s="97">
        <f ca="1">TblProd[[#This Row],[Platinum]]</f>
        <v>468410</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45431.958333333205</v>
      </c>
      <c r="AV57" s="97">
        <f ca="1">TblMili[[#This Row],[Draftees]]</f>
        <v>1010</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253</v>
      </c>
      <c r="BJ57" s="97">
        <f ca="1">ROUNDUP(IF(race="Gnome",1,(1-MIN(TblMili[[#This Row],[Smithies]]*smithy_bonus,smithy_bonus_cap) + tech_3_5*TblTech[[#This Row],[3-5]] + tech_5_3*TblTech[[#This Row],[5-3]] + tech_5_5*TblTech[[#This Row],[5-5]]))*spec_op_ore,0)</f>
        <v>0</v>
      </c>
      <c r="BK57" s="97">
        <f ca="1">ROUNDUP((1-MIN(TblMili[[#This Row],[Smithies]]*smithy_bonus,smithy_bonus_cap) + tech_3_5*TblTech[[#This Row],[3-5]] + tech_5_3*TblTech[[#This Row],[5-3]] + tech_5_5*TblTech[[#This Row],[5-5]])*spec_dp_plat,0)</f>
        <v>253</v>
      </c>
      <c r="BL57" s="97">
        <f ca="1">ROUNDUP(IF(race="Gnome",1,(1-MIN(TblMili[[#This Row],[Smithies]]*smithy_bonus,smithy_bonus_cap) + tech_3_5*TblTech[[#This Row],[3-5]] + tech_5_3*TblTech[[#This Row],[5-3]] + tech_5_5*TblTech[[#This Row],[5-5]]))*spec_dp_ore,0)</f>
        <v>0</v>
      </c>
      <c r="BM57" s="97">
        <f ca="1">ROUNDUP((1-MIN(TblMili[[#This Row],[Smithies]]*smithy_bonus,smithy_bonus_cap) + tech_3_5*TblTech[[#This Row],[3-5]] + tech_5_3*TblTech[[#This Row],[5-3]] + tech_5_5*TblTech[[#This Row],[5-5]])*elite1_plat,0)</f>
        <v>778</v>
      </c>
      <c r="BN57" s="97">
        <f ca="1">ROUNDUP(IF(race="Gnome",1,(1-MIN(TblMili[[#This Row],[Smithies]]*smithy_bonus,smithy_bonus_cap) + tech_3_5*TblTech[[#This Row],[3-5]] + tech_5_3*TblTech[[#This Row],[5-3]] + tech_5_5*TblTech[[#This Row],[5-5]]))*elite1_ore,0)</f>
        <v>0</v>
      </c>
      <c r="BO57" s="97">
        <f ca="1">ROUNDUP((1-MIN(TblMili[[#This Row],[Smithies]]*smithy_bonus,smithy_bonus_cap) + tech_3_5*TblTech[[#This Row],[3-5]] + tech_5_3*TblTech[[#This Row],[5-3]] + tech_5_5*TblTech[[#This Row],[5-5]])*elite2_plat,0)</f>
        <v>799</v>
      </c>
      <c r="BP57" s="97">
        <f ca="1">ROUNDUP(IF(race="Gnome",1,(1-MIN(TblMili[[#This Row],[Smithies]]*smithy_bonus,smithy_bonus_cap) + tech_3_5*TblTech[[#This Row],[3-5]] + tech_5_3*TblTech[[#This Row],[5-3]] + tech_5_5*TblTech[[#This Row],[5-5]]))*elite2_ore,0)</f>
        <v>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5.7803468208092484E-2</v>
      </c>
      <c r="BW57" s="160">
        <f ca="1">TblMili[[#This Row],[WG''s]]</f>
        <v>0</v>
      </c>
      <c r="BX57" s="266">
        <f ca="1">IF(mystic_cap="none",TblMili[[#This Row],[Hill]]/mystic_bonus,MIN(mystic_cap,TblMili[[#This Row],[Hill]]/mystic_bonus))</f>
        <v>0.28901734104046239</v>
      </c>
      <c r="BY57" s="266">
        <f ca="1">IF(druid_op_cap="none",TblMili[[#This Row],[Hill]]/druid_op_bonus,MIN(druid_op_cap,TblMili[[#This Row],[Hill]]/druid_op_bonus))</f>
        <v>0.28901734104046239</v>
      </c>
      <c r="BZ57" s="266">
        <f ca="1">IF(druid_dp_cap="none",TblMili[[#This Row],[Hill]]/druid_dp_bonus,MIN(druid_dp_cap,TblMili[[#This Row],[Hill]]/druid_dp_bonus))</f>
        <v>0.28901734104046239</v>
      </c>
      <c r="CA57" s="266">
        <f ca="1">MIN(dryad_cap,TblMili[[#This Row],[Hill]]/dryad_bonus)</f>
        <v>0.28901734104046239</v>
      </c>
      <c r="CB57" s="266">
        <f ca="1">MIN(rocka_cap,TblMili[[#This Row],[Hill]]/rocka_bonus)</f>
        <v>0.28901734104046239</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0.28901734104046239</v>
      </c>
      <c r="CH57" s="45">
        <f ca="1">MIN(ice_elem_cap,TblMili[[#This Row],[Raw (2)]]*ice_elem_bonus)</f>
        <v>0</v>
      </c>
      <c r="CI57" s="266">
        <f t="shared" si="2"/>
        <v>0.83333333333333337</v>
      </c>
      <c r="CJ57" s="266">
        <f ca="1">MIN(nox_nightshade_cap,TblConstr[[#This Row],[Homeland]]/TblConstr[[#This Row],[Land]]/nox_nightshade_swamp_bonus)</f>
        <v>0.57803468208092479</v>
      </c>
      <c r="CK57" s="267"/>
      <c r="CL57" s="267"/>
      <c r="CM57" s="267"/>
      <c r="CN57" s="266">
        <f ca="1">MIN(6,TblMili[[#This Row],[Mystic]]+Races!$F$19)*1.8 +  IF(TblMili[[#This Row],[Mystic]]+Races!$F$19&gt;6,(TblMili[[#This Row],[Mystic]]+Races!$F$19-6)*0.2,0) - Races!$I$19</f>
        <v>0.52023121387283311</v>
      </c>
      <c r="CO57" s="266">
        <f ca="1">1.8 * MIN(MAX(TblMili[[#This Row],[Druid (op)]]+Races!$E$20,TblMili[[#This Row],[Druid (dp)]]+Races!$F$20),6)  +  0.45 * MIN(MIN(TblMili[[#This Row],[Druid (op)]]+Races!$E$20,TblMili[[#This Row],[Druid (dp)]]+Races!$F$20),6)  +  0.2 * ( MAX(TblMili[[#This Row],[Druid (op)]]+Races!$E$20-6,0) + MAX(TblMili[[#This Row],[Druid (dp)]]+Races!$F$20-6,0) )  -  Races!$I$20</f>
        <v>0.6502890173410405</v>
      </c>
      <c r="CP57" s="97">
        <f ca="1">TblMili[[#This Row],[Mystic bonus]]*TblMili[[#This Row],[Unit 3]]+TblMili[[#This Row],[Druid bonus]]*TblMili[[#This Row],[Unit 4]]</f>
        <v>0</v>
      </c>
      <c r="CQ57" s="158">
        <f ca="1">MIN(6,TblMili[[#This Row],[Dryad]]+Races!$F$35)*1.8 +  IF(TblMili[[#This Row],[Dryad]]+Races!$F$35&gt;6,(TblMili[[#This Row],[Dryad]]+Races!$F$35-6)*0.2,0) - Races!$I$19</f>
        <v>-1.2797687861271676</v>
      </c>
      <c r="CR57" s="97">
        <f ca="1">sylvan*(TblMili[[#This Row],[Mystic bonus]]*TblMili[[#This Row],[Unit 3]])</f>
        <v>0</v>
      </c>
      <c r="CS57" s="158">
        <f ca="1">1.8 * MIN(MAX(Races!$E$27,TblMili[[#This Row],[Rockapult]]+Races!$F$27),6)  +  0.45 * MIN(MIN(Races!$E$27,TblMili[[#This Row],[Rockapult]]+Races!$F$27),6)  +  0.2 * ( MAX(Races!$E$27-6,0) + MAX(TblMili[[#This Row],[Rockapult]]+Races!$F$27-6,0) )  -  Races!$I$20</f>
        <v>2.7702312138728322</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0.52023121387283311</v>
      </c>
      <c r="CX57" s="158">
        <f ca="1">1.8 * MIN(MAX(TblMili[[#This Row],[Ice Elemental]]+Races!$E$71,Races!$F$71),6)  +  0.45 * MIN(MIN(TblMili[[#This Row],[Ice Elemental]]+Races!$E$71,Races!$F$71),6)  +  0.2 * ( MAX(TblMili[[#This Row],[Ice Elemental]]+Races!$E$71-6,0) + MAX(Races!$F$71-6,0) )  -  Races!$I$71</f>
        <v>0</v>
      </c>
      <c r="CY57" s="97">
        <f ca="1">TblMili[[#This Row],[Frost Mage bonus]]*TblMili[[#This Row],[Unit 3]]+TblMili[[#This Row],[Ice Elemental bonus]]*TblMili[[#This Row],[Unit 4]]</f>
        <v>0</v>
      </c>
      <c r="CZ57" s="268"/>
      <c r="DA57" s="146">
        <f ca="1">MIN(SUM(TblConstr[[#This Row],[Plain]:[Water]])/TblMili[[#This Row],[Land]]/favorable_terrain_bonus/100,favorable_terrain_max)</f>
        <v>0</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16390</v>
      </c>
      <c r="DD57" s="145"/>
      <c r="DE57" s="269">
        <f ca="1">(TblMili[[#This Row],[Wizards]]+2*TblMili[[#This Row],[Archmages]])/TblConstr[[#This Row],[Land]]</f>
        <v>0</v>
      </c>
      <c r="DF57" s="269">
        <f ca="1">TblMili[[#This Row],[Raw (2)]]*(1+race_wizard_strength+IF(TblMili[[#This Row],[Hour]]&gt;72,tech_magical_weaponry_wiz*TblTech[[#This Row],[3-5]],0))</f>
        <v>0</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1110</v>
      </c>
      <c r="C58" s="160">
        <f ca="1">TblPop[[#This Row],[Military%]]</f>
        <v>9.897458760588497E-2</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5"/>
      <c r="N58" s="97">
        <f ca="1">TblProd[[#This Row],[Networth]]</f>
        <v>16600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1110</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1110</v>
      </c>
      <c r="X58" s="262">
        <f ca="1">TblConstr[[#This Row],[Land]]</f>
        <v>700</v>
      </c>
      <c r="Y58" s="265"/>
      <c r="Z58" s="270">
        <f ca="1">IF(TblMili[[#This Row],[Set]]&lt;&gt;"",TblMili[[#This Row],[Set]],OFFSET(TblMili[[#This Row],[Draftrate]],-1,0))</f>
        <v>0.9</v>
      </c>
      <c r="AA58" s="97">
        <f ca="1">OFFSET(TblMili[[#This Row],[Draftees]],-1,0)+OFFSET(TblPop[[#This Row],[Draft Growth]],-1,0) - SUM(TblMili[[#This Row],[Train Unit 1]:[Train Spies]],TblMili[[#This Row],[Train Wiz]]) - TblMili[[#This Row],[Release Draft]] + SUM(TblMili[[#This Row],[Release Unit 1]:[Release AM]]) - TblExplore[[#This Row],[Draftees (2)]]</f>
        <v>1110</v>
      </c>
      <c r="AB58" s="157"/>
      <c r="AC58" s="183">
        <f ca="1">(TblConstr[[#This Row],[Tot Smi]]+TblConstr[[#This Row],[Dest Smi]])/(TblConstr[[#This Row],[Land]]-TblExplore[[#This Row],[Land Bonus]]*20)</f>
        <v>9.1428571428571428E-2</v>
      </c>
      <c r="AD58" s="140"/>
      <c r="AE58" s="261">
        <f>TblMili[[#This Row],[Hour]]</f>
        <v>55</v>
      </c>
      <c r="AF58" s="141">
        <f ca="1">TblExplore[[#This Row],[Time]]</f>
        <v>45431.999999999869</v>
      </c>
      <c r="AG58" s="182"/>
      <c r="AH58" s="182"/>
      <c r="AI58" s="182"/>
      <c r="AJ58" s="182"/>
      <c r="AK58" s="182"/>
      <c r="AL58" s="182"/>
      <c r="AM58" s="182"/>
      <c r="AN58" s="182"/>
      <c r="AO58" s="145"/>
      <c r="AP58" s="97">
        <f ca="1">TblProd[[#This Row],[Platinum]]</f>
        <v>510224</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45431.999999999869</v>
      </c>
      <c r="AV58" s="97">
        <f ca="1">TblMili[[#This Row],[Draftees]]</f>
        <v>1110</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246</v>
      </c>
      <c r="BJ58" s="97">
        <f ca="1">ROUNDUP(IF(race="Gnome",1,(1-MIN(TblMili[[#This Row],[Smithies]]*smithy_bonus,smithy_bonus_cap) + tech_3_5*TblTech[[#This Row],[3-5]] + tech_5_3*TblTech[[#This Row],[5-3]] + tech_5_5*TblTech[[#This Row],[5-5]]))*spec_op_ore,0)</f>
        <v>0</v>
      </c>
      <c r="BK58" s="97">
        <f ca="1">ROUNDUP((1-MIN(TblMili[[#This Row],[Smithies]]*smithy_bonus,smithy_bonus_cap) + tech_3_5*TblTech[[#This Row],[3-5]] + tech_5_3*TblTech[[#This Row],[5-3]] + tech_5_5*TblTech[[#This Row],[5-5]])*spec_dp_plat,0)</f>
        <v>246</v>
      </c>
      <c r="BL58" s="97">
        <f ca="1">ROUNDUP(IF(race="Gnome",1,(1-MIN(TblMili[[#This Row],[Smithies]]*smithy_bonus,smithy_bonus_cap) + tech_3_5*TblTech[[#This Row],[3-5]] + tech_5_3*TblTech[[#This Row],[5-3]] + tech_5_5*TblTech[[#This Row],[5-5]]))*spec_dp_ore,0)</f>
        <v>0</v>
      </c>
      <c r="BM58" s="97">
        <f ca="1">ROUNDUP((1-MIN(TblMili[[#This Row],[Smithies]]*smithy_bonus,smithy_bonus_cap) + tech_3_5*TblTech[[#This Row],[3-5]] + tech_5_3*TblTech[[#This Row],[5-3]] + tech_5_5*TblTech[[#This Row],[5-5]])*elite1_plat,0)</f>
        <v>756</v>
      </c>
      <c r="BN58" s="97">
        <f ca="1">ROUNDUP(IF(race="Gnome",1,(1-MIN(TblMili[[#This Row],[Smithies]]*smithy_bonus,smithy_bonus_cap) + tech_3_5*TblTech[[#This Row],[3-5]] + tech_5_3*TblTech[[#This Row],[5-3]] + tech_5_5*TblTech[[#This Row],[5-5]]))*elite1_ore,0)</f>
        <v>0</v>
      </c>
      <c r="BO58" s="97">
        <f ca="1">ROUNDUP((1-MIN(TblMili[[#This Row],[Smithies]]*smithy_bonus,smithy_bonus_cap) + tech_3_5*TblTech[[#This Row],[3-5]] + tech_5_3*TblTech[[#This Row],[5-3]] + tech_5_5*TblTech[[#This Row],[5-5]])*elite2_plat,0)</f>
        <v>777</v>
      </c>
      <c r="BP58" s="97">
        <f ca="1">ROUNDUP(IF(race="Gnome",1,(1-MIN(TblMili[[#This Row],[Smithies]]*smithy_bonus,smithy_bonus_cap) + tech_3_5*TblTech[[#This Row],[3-5]] + tech_5_3*TblTech[[#This Row],[5-3]] + tech_5_5*TblTech[[#This Row],[5-5]]))*elite2_ore,0)</f>
        <v>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5.7142857142857141E-2</v>
      </c>
      <c r="BW58" s="160">
        <f ca="1">TblMili[[#This Row],[WG''s]]</f>
        <v>0</v>
      </c>
      <c r="BX58" s="266">
        <f ca="1">IF(mystic_cap="none",TblMili[[#This Row],[Hill]]/mystic_bonus,MIN(mystic_cap,TblMili[[#This Row],[Hill]]/mystic_bonus))</f>
        <v>0.2857142857142857</v>
      </c>
      <c r="BY58" s="266">
        <f ca="1">IF(druid_op_cap="none",TblMili[[#This Row],[Hill]]/druid_op_bonus,MIN(druid_op_cap,TblMili[[#This Row],[Hill]]/druid_op_bonus))</f>
        <v>0.2857142857142857</v>
      </c>
      <c r="BZ58" s="266">
        <f ca="1">IF(druid_dp_cap="none",TblMili[[#This Row],[Hill]]/druid_dp_bonus,MIN(druid_dp_cap,TblMili[[#This Row],[Hill]]/druid_dp_bonus))</f>
        <v>0.2857142857142857</v>
      </c>
      <c r="CA58" s="266">
        <f ca="1">MIN(dryad_cap,TblMili[[#This Row],[Hill]]/dryad_bonus)</f>
        <v>0.2857142857142857</v>
      </c>
      <c r="CB58" s="266">
        <f ca="1">MIN(rocka_cap,TblMili[[#This Row],[Hill]]/rocka_bonus)</f>
        <v>0.2857142857142857</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0.2857142857142857</v>
      </c>
      <c r="CH58" s="45">
        <f ca="1">MIN(ice_elem_cap,TblMili[[#This Row],[Raw (2)]]*ice_elem_bonus)</f>
        <v>0</v>
      </c>
      <c r="CI58" s="266">
        <f t="shared" si="2"/>
        <v>0.83333333333333337</v>
      </c>
      <c r="CJ58" s="266">
        <f ca="1">MIN(nox_nightshade_cap,TblConstr[[#This Row],[Homeland]]/TblConstr[[#This Row],[Land]]/nox_nightshade_swamp_bonus)</f>
        <v>0.5714285714285714</v>
      </c>
      <c r="CK58" s="267"/>
      <c r="CL58" s="267"/>
      <c r="CM58" s="267"/>
      <c r="CN58" s="266">
        <f ca="1">MIN(6,TblMili[[#This Row],[Mystic]]+Races!$F$19)*1.8 +  IF(TblMili[[#This Row],[Mystic]]+Races!$F$19&gt;6,(TblMili[[#This Row],[Mystic]]+Races!$F$19-6)*0.2,0) - Races!$I$19</f>
        <v>0.51428571428571423</v>
      </c>
      <c r="CO5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58" s="97">
        <f ca="1">TblMili[[#This Row],[Mystic bonus]]*TblMili[[#This Row],[Unit 3]]+TblMili[[#This Row],[Druid bonus]]*TblMili[[#This Row],[Unit 4]]</f>
        <v>0</v>
      </c>
      <c r="CQ58" s="158">
        <f ca="1">MIN(6,TblMili[[#This Row],[Dryad]]+Races!$F$35)*1.8 +  IF(TblMili[[#This Row],[Dryad]]+Races!$F$35&gt;6,(TblMili[[#This Row],[Dryad]]+Races!$F$35-6)*0.2,0) - Races!$I$19</f>
        <v>-1.2857142857142856</v>
      </c>
      <c r="CR58" s="97">
        <f ca="1">sylvan*(TblMili[[#This Row],[Mystic bonus]]*TblMili[[#This Row],[Unit 3]])</f>
        <v>0</v>
      </c>
      <c r="CS58" s="158">
        <f ca="1">1.8 * MIN(MAX(Races!$E$27,TblMili[[#This Row],[Rockapult]]+Races!$F$27),6)  +  0.45 * MIN(MIN(Races!$E$27,TblMili[[#This Row],[Rockapult]]+Races!$F$27),6)  +  0.2 * ( MAX(Races!$E$27-6,0) + MAX(TblMili[[#This Row],[Rockapult]]+Races!$F$27-6,0) )  -  Races!$I$20</f>
        <v>2.7642857142857133</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0.51428571428571423</v>
      </c>
      <c r="CX58" s="158">
        <f ca="1">1.8 * MIN(MAX(TblMili[[#This Row],[Ice Elemental]]+Races!$E$71,Races!$F$71),6)  +  0.45 * MIN(MIN(TblMili[[#This Row],[Ice Elemental]]+Races!$E$71,Races!$F$71),6)  +  0.2 * ( MAX(TblMili[[#This Row],[Ice Elemental]]+Races!$E$71-6,0) + MAX(Races!$F$71-6,0) )  -  Races!$I$71</f>
        <v>0</v>
      </c>
      <c r="CY58" s="97">
        <f ca="1">TblMili[[#This Row],[Frost Mage bonus]]*TblMili[[#This Row],[Unit 3]]+TblMili[[#This Row],[Ice Elemental bonus]]*TblMili[[#This Row],[Unit 4]]</f>
        <v>0</v>
      </c>
      <c r="CZ58" s="268"/>
      <c r="DA58" s="146">
        <f ca="1">MIN(SUM(TblConstr[[#This Row],[Plain]:[Water]])/TblMili[[#This Row],[Land]]/favorable_terrain_bonus/100,favorable_terrain_max)</f>
        <v>0</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16600</v>
      </c>
      <c r="DD58" s="145"/>
      <c r="DE58" s="269">
        <f ca="1">(TblMili[[#This Row],[Wizards]]+2*TblMili[[#This Row],[Archmages]])/TblConstr[[#This Row],[Land]]</f>
        <v>0</v>
      </c>
      <c r="DF58" s="269">
        <f ca="1">TblMili[[#This Row],[Raw (2)]]*(1+race_wizard_strength+IF(TblMili[[#This Row],[Hour]]&gt;72,tech_magical_weaponry_wiz*TblTech[[#This Row],[3-5]],0))</f>
        <v>0</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1211</v>
      </c>
      <c r="C59" s="160">
        <f ca="1">TblPop[[#This Row],[Military%]]</f>
        <v>0.10715865852579418</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5"/>
      <c r="N59" s="97">
        <f ca="1">TblProd[[#This Row],[Networth]]</f>
        <v>16645</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1211</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1211</v>
      </c>
      <c r="X59" s="262">
        <f ca="1">TblConstr[[#This Row],[Land]]</f>
        <v>700</v>
      </c>
      <c r="Y59" s="265"/>
      <c r="Z59" s="270">
        <f ca="1">IF(TblMili[[#This Row],[Set]]&lt;&gt;"",TblMili[[#This Row],[Set]],OFFSET(TblMili[[#This Row],[Draftrate]],-1,0))</f>
        <v>0.9</v>
      </c>
      <c r="AA59" s="97">
        <f ca="1">OFFSET(TblMili[[#This Row],[Draftees]],-1,0)+OFFSET(TblPop[[#This Row],[Draft Growth]],-1,0) - SUM(TblMili[[#This Row],[Train Unit 1]:[Train Spies]],TblMili[[#This Row],[Train Wiz]]) - TblMili[[#This Row],[Release Draft]] + SUM(TblMili[[#This Row],[Release Unit 1]:[Release AM]]) - TblExplore[[#This Row],[Draftees (2)]]</f>
        <v>1211</v>
      </c>
      <c r="AB59" s="157"/>
      <c r="AC59" s="183">
        <f ca="1">(TblConstr[[#This Row],[Tot Smi]]+TblConstr[[#This Row],[Dest Smi]])/(TblConstr[[#This Row],[Land]]-TblExplore[[#This Row],[Land Bonus]]*20)</f>
        <v>0.10428571428571429</v>
      </c>
      <c r="AD59" s="140"/>
      <c r="AE59" s="261">
        <f>TblMili[[#This Row],[Hour]]</f>
        <v>56</v>
      </c>
      <c r="AF59" s="141">
        <f ca="1">TblExplore[[#This Row],[Time]]</f>
        <v>45432.041666666533</v>
      </c>
      <c r="AG59" s="182"/>
      <c r="AH59" s="182"/>
      <c r="AI59" s="182"/>
      <c r="AJ59" s="182"/>
      <c r="AK59" s="182"/>
      <c r="AL59" s="182"/>
      <c r="AM59" s="182"/>
      <c r="AN59" s="182"/>
      <c r="AO59" s="145"/>
      <c r="AP59" s="97">
        <f ca="1">TblProd[[#This Row],[Platinum]]</f>
        <v>556484</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45432.041666666533</v>
      </c>
      <c r="AV59" s="97">
        <f ca="1">TblMili[[#This Row],[Draftees]]</f>
        <v>1211</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238</v>
      </c>
      <c r="BJ59" s="97">
        <f ca="1">ROUNDUP(IF(race="Gnome",1,(1-MIN(TblMili[[#This Row],[Smithies]]*smithy_bonus,smithy_bonus_cap) + tech_3_5*TblTech[[#This Row],[3-5]] + tech_5_3*TblTech[[#This Row],[5-3]] + tech_5_5*TblTech[[#This Row],[5-5]]))*spec_op_ore,0)</f>
        <v>0</v>
      </c>
      <c r="BK59" s="97">
        <f ca="1">ROUNDUP((1-MIN(TblMili[[#This Row],[Smithies]]*smithy_bonus,smithy_bonus_cap) + tech_3_5*TblTech[[#This Row],[3-5]] + tech_5_3*TblTech[[#This Row],[5-3]] + tech_5_5*TblTech[[#This Row],[5-5]])*spec_dp_plat,0)</f>
        <v>238</v>
      </c>
      <c r="BL59" s="97">
        <f ca="1">ROUNDUP(IF(race="Gnome",1,(1-MIN(TblMili[[#This Row],[Smithies]]*smithy_bonus,smithy_bonus_cap) + tech_3_5*TblTech[[#This Row],[3-5]] + tech_5_3*TblTech[[#This Row],[5-3]] + tech_5_5*TblTech[[#This Row],[5-5]]))*spec_dp_ore,0)</f>
        <v>0</v>
      </c>
      <c r="BM59" s="97">
        <f ca="1">ROUNDUP((1-MIN(TblMili[[#This Row],[Smithies]]*smithy_bonus,smithy_bonus_cap) + tech_3_5*TblTech[[#This Row],[3-5]] + tech_5_3*TblTech[[#This Row],[5-3]] + tech_5_5*TblTech[[#This Row],[5-5]])*elite1_plat,0)</f>
        <v>733</v>
      </c>
      <c r="BN59" s="97">
        <f ca="1">ROUNDUP(IF(race="Gnome",1,(1-MIN(TblMili[[#This Row],[Smithies]]*smithy_bonus,smithy_bonus_cap) + tech_3_5*TblTech[[#This Row],[3-5]] + tech_5_3*TblTech[[#This Row],[5-3]] + tech_5_5*TblTech[[#This Row],[5-5]]))*elite1_ore,0)</f>
        <v>0</v>
      </c>
      <c r="BO59" s="97">
        <f ca="1">ROUNDUP((1-MIN(TblMili[[#This Row],[Smithies]]*smithy_bonus,smithy_bonus_cap) + tech_3_5*TblTech[[#This Row],[3-5]] + tech_5_3*TblTech[[#This Row],[5-3]] + tech_5_5*TblTech[[#This Row],[5-5]])*elite2_plat,0)</f>
        <v>752</v>
      </c>
      <c r="BP59" s="97">
        <f ca="1">ROUNDUP(IF(race="Gnome",1,(1-MIN(TblMili[[#This Row],[Smithies]]*smithy_bonus,smithy_bonus_cap) + tech_3_5*TblTech[[#This Row],[3-5]] + tech_5_3*TblTech[[#This Row],[5-3]] + tech_5_5*TblTech[[#This Row],[5-5]]))*elite2_ore,0)</f>
        <v>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5.7142857142857141E-2</v>
      </c>
      <c r="BW59" s="160">
        <f ca="1">TblMili[[#This Row],[WG''s]]</f>
        <v>0</v>
      </c>
      <c r="BX59" s="266">
        <f ca="1">IF(mystic_cap="none",TblMili[[#This Row],[Hill]]/mystic_bonus,MIN(mystic_cap,TblMili[[#This Row],[Hill]]/mystic_bonus))</f>
        <v>0.2857142857142857</v>
      </c>
      <c r="BY59" s="266">
        <f ca="1">IF(druid_op_cap="none",TblMili[[#This Row],[Hill]]/druid_op_bonus,MIN(druid_op_cap,TblMili[[#This Row],[Hill]]/druid_op_bonus))</f>
        <v>0.2857142857142857</v>
      </c>
      <c r="BZ59" s="266">
        <f ca="1">IF(druid_dp_cap="none",TblMili[[#This Row],[Hill]]/druid_dp_bonus,MIN(druid_dp_cap,TblMili[[#This Row],[Hill]]/druid_dp_bonus))</f>
        <v>0.2857142857142857</v>
      </c>
      <c r="CA59" s="266">
        <f ca="1">MIN(dryad_cap,TblMili[[#This Row],[Hill]]/dryad_bonus)</f>
        <v>0.2857142857142857</v>
      </c>
      <c r="CB59" s="266">
        <f ca="1">MIN(rocka_cap,TblMili[[#This Row],[Hill]]/rocka_bonus)</f>
        <v>0.2857142857142857</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0.2857142857142857</v>
      </c>
      <c r="CH59" s="45">
        <f ca="1">MIN(ice_elem_cap,TblMili[[#This Row],[Raw (2)]]*ice_elem_bonus)</f>
        <v>0</v>
      </c>
      <c r="CI59" s="266">
        <f t="shared" si="2"/>
        <v>0.83333333333333337</v>
      </c>
      <c r="CJ59" s="266">
        <f ca="1">MIN(nox_nightshade_cap,TblConstr[[#This Row],[Homeland]]/TblConstr[[#This Row],[Land]]/nox_nightshade_swamp_bonus)</f>
        <v>0.5714285714285714</v>
      </c>
      <c r="CK59" s="267"/>
      <c r="CL59" s="267"/>
      <c r="CM59" s="267"/>
      <c r="CN59" s="266">
        <f ca="1">MIN(6,TblMili[[#This Row],[Mystic]]+Races!$F$19)*1.8 +  IF(TblMili[[#This Row],[Mystic]]+Races!$F$19&gt;6,(TblMili[[#This Row],[Mystic]]+Races!$F$19-6)*0.2,0) - Races!$I$19</f>
        <v>0.51428571428571423</v>
      </c>
      <c r="CO5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59" s="97">
        <f ca="1">TblMili[[#This Row],[Mystic bonus]]*TblMili[[#This Row],[Unit 3]]+TblMili[[#This Row],[Druid bonus]]*TblMili[[#This Row],[Unit 4]]</f>
        <v>0</v>
      </c>
      <c r="CQ59" s="158">
        <f ca="1">MIN(6,TblMili[[#This Row],[Dryad]]+Races!$F$35)*1.8 +  IF(TblMili[[#This Row],[Dryad]]+Races!$F$35&gt;6,(TblMili[[#This Row],[Dryad]]+Races!$F$35-6)*0.2,0) - Races!$I$19</f>
        <v>-1.2857142857142856</v>
      </c>
      <c r="CR59" s="97">
        <f ca="1">sylvan*(TblMili[[#This Row],[Mystic bonus]]*TblMili[[#This Row],[Unit 3]])</f>
        <v>0</v>
      </c>
      <c r="CS59" s="158">
        <f ca="1">1.8 * MIN(MAX(Races!$E$27,TblMili[[#This Row],[Rockapult]]+Races!$F$27),6)  +  0.45 * MIN(MIN(Races!$E$27,TblMili[[#This Row],[Rockapult]]+Races!$F$27),6)  +  0.2 * ( MAX(Races!$E$27-6,0) + MAX(TblMili[[#This Row],[Rockapult]]+Races!$F$27-6,0) )  -  Races!$I$20</f>
        <v>2.7642857142857133</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0.51428571428571423</v>
      </c>
      <c r="CX59" s="158">
        <f ca="1">1.8 * MIN(MAX(TblMili[[#This Row],[Ice Elemental]]+Races!$E$71,Races!$F$71),6)  +  0.45 * MIN(MIN(TblMili[[#This Row],[Ice Elemental]]+Races!$E$71,Races!$F$71),6)  +  0.2 * ( MAX(TblMili[[#This Row],[Ice Elemental]]+Races!$E$71-6,0) + MAX(Races!$F$71-6,0) )  -  Races!$I$71</f>
        <v>0</v>
      </c>
      <c r="CY59" s="97">
        <f ca="1">TblMili[[#This Row],[Frost Mage bonus]]*TblMili[[#This Row],[Unit 3]]+TblMili[[#This Row],[Ice Elemental bonus]]*TblMili[[#This Row],[Unit 4]]</f>
        <v>0</v>
      </c>
      <c r="CZ59" s="268"/>
      <c r="DA59" s="146">
        <f ca="1">MIN(SUM(TblConstr[[#This Row],[Plain]:[Water]])/TblMili[[#This Row],[Land]]/favorable_terrain_bonus/100,favorable_terrain_max)</f>
        <v>0</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16645</v>
      </c>
      <c r="DD59" s="145"/>
      <c r="DE59" s="269">
        <f ca="1">(TblMili[[#This Row],[Wizards]]+2*TblMili[[#This Row],[Archmages]])/TblConstr[[#This Row],[Land]]</f>
        <v>0</v>
      </c>
      <c r="DF59" s="269">
        <f ca="1">TblMili[[#This Row],[Raw (2)]]*(1+race_wizard_strength+IF(TblMili[[#This Row],[Hour]]&gt;72,tech_magical_weaponry_wiz*TblTech[[#This Row],[3-5]],0))</f>
        <v>0</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1312</v>
      </c>
      <c r="C60" s="160">
        <f ca="1">TblPop[[#This Row],[Military%]]</f>
        <v>0.11609592071498097</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5"/>
      <c r="N60" s="97">
        <f ca="1">TblProd[[#This Row],[Networth]]</f>
        <v>16690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1312</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1312</v>
      </c>
      <c r="X60" s="262">
        <f ca="1">TblConstr[[#This Row],[Land]]</f>
        <v>700</v>
      </c>
      <c r="Y60" s="265"/>
      <c r="Z60" s="270">
        <f ca="1">IF(TblMili[[#This Row],[Set]]&lt;&gt;"",TblMili[[#This Row],[Set]],OFFSET(TblMili[[#This Row],[Draftrate]],-1,0))</f>
        <v>0.9</v>
      </c>
      <c r="AA60" s="97">
        <f ca="1">OFFSET(TblMili[[#This Row],[Draftees]],-1,0)+OFFSET(TblPop[[#This Row],[Draft Growth]],-1,0) - SUM(TblMili[[#This Row],[Train Unit 1]:[Train Spies]],TblMili[[#This Row],[Train Wiz]]) - TblMili[[#This Row],[Release Draft]] + SUM(TblMili[[#This Row],[Release Unit 1]:[Release AM]]) - TblExplore[[#This Row],[Draftees (2)]]</f>
        <v>1312</v>
      </c>
      <c r="AB60" s="157"/>
      <c r="AC60" s="183">
        <f ca="1">(TblConstr[[#This Row],[Tot Smi]]+TblConstr[[#This Row],[Dest Smi]])/(TblConstr[[#This Row],[Land]]-TblExplore[[#This Row],[Land Bonus]]*20)</f>
        <v>0.11714285714285715</v>
      </c>
      <c r="AD60" s="140"/>
      <c r="AE60" s="261">
        <f>TblMili[[#This Row],[Hour]]</f>
        <v>57</v>
      </c>
      <c r="AF60" s="141">
        <f ca="1">TblExplore[[#This Row],[Time]]</f>
        <v>45432.083333333198</v>
      </c>
      <c r="AG60" s="182"/>
      <c r="AH60" s="182"/>
      <c r="AI60" s="182"/>
      <c r="AJ60" s="182"/>
      <c r="AK60" s="182"/>
      <c r="AL60" s="182"/>
      <c r="AM60" s="182"/>
      <c r="AN60" s="182"/>
      <c r="AO60" s="145"/>
      <c r="AP60" s="97">
        <f ca="1">TblProd[[#This Row],[Platinum]]</f>
        <v>602753</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45432.083333333198</v>
      </c>
      <c r="AV60" s="97">
        <f ca="1">TblMili[[#This Row],[Draftees]]</f>
        <v>1312</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230</v>
      </c>
      <c r="BJ60" s="97">
        <f ca="1">ROUNDUP(IF(race="Gnome",1,(1-MIN(TblMili[[#This Row],[Smithies]]*smithy_bonus,smithy_bonus_cap) + tech_3_5*TblTech[[#This Row],[3-5]] + tech_5_3*TblTech[[#This Row],[5-3]] + tech_5_5*TblTech[[#This Row],[5-5]]))*spec_op_ore,0)</f>
        <v>0</v>
      </c>
      <c r="BK60" s="97">
        <f ca="1">ROUNDUP((1-MIN(TblMili[[#This Row],[Smithies]]*smithy_bonus,smithy_bonus_cap) + tech_3_5*TblTech[[#This Row],[3-5]] + tech_5_3*TblTech[[#This Row],[5-3]] + tech_5_5*TblTech[[#This Row],[5-5]])*spec_dp_plat,0)</f>
        <v>230</v>
      </c>
      <c r="BL60" s="97">
        <f ca="1">ROUNDUP(IF(race="Gnome",1,(1-MIN(TblMili[[#This Row],[Smithies]]*smithy_bonus,smithy_bonus_cap) + tech_3_5*TblTech[[#This Row],[3-5]] + tech_5_3*TblTech[[#This Row],[5-3]] + tech_5_5*TblTech[[#This Row],[5-5]]))*spec_dp_ore,0)</f>
        <v>0</v>
      </c>
      <c r="BM60" s="97">
        <f ca="1">ROUNDUP((1-MIN(TblMili[[#This Row],[Smithies]]*smithy_bonus,smithy_bonus_cap) + tech_3_5*TblTech[[#This Row],[3-5]] + tech_5_3*TblTech[[#This Row],[5-3]] + tech_5_5*TblTech[[#This Row],[5-5]])*elite1_plat,0)</f>
        <v>709</v>
      </c>
      <c r="BN60" s="97">
        <f ca="1">ROUNDUP(IF(race="Gnome",1,(1-MIN(TblMili[[#This Row],[Smithies]]*smithy_bonus,smithy_bonus_cap) + tech_3_5*TblTech[[#This Row],[3-5]] + tech_5_3*TblTech[[#This Row],[5-3]] + tech_5_5*TblTech[[#This Row],[5-5]]))*elite1_ore,0)</f>
        <v>0</v>
      </c>
      <c r="BO60" s="97">
        <f ca="1">ROUNDUP((1-MIN(TblMili[[#This Row],[Smithies]]*smithy_bonus,smithy_bonus_cap) + tech_3_5*TblTech[[#This Row],[3-5]] + tech_5_3*TblTech[[#This Row],[5-3]] + tech_5_5*TblTech[[#This Row],[5-5]])*elite2_plat,0)</f>
        <v>728</v>
      </c>
      <c r="BP60" s="97">
        <f ca="1">ROUNDUP(IF(race="Gnome",1,(1-MIN(TblMili[[#This Row],[Smithies]]*smithy_bonus,smithy_bonus_cap) + tech_3_5*TblTech[[#This Row],[3-5]] + tech_5_3*TblTech[[#This Row],[5-3]] + tech_5_5*TblTech[[#This Row],[5-5]]))*elite2_ore,0)</f>
        <v>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5.7142857142857141E-2</v>
      </c>
      <c r="BW60" s="160">
        <f ca="1">TblMili[[#This Row],[WG''s]]</f>
        <v>0</v>
      </c>
      <c r="BX60" s="266">
        <f ca="1">IF(mystic_cap="none",TblMili[[#This Row],[Hill]]/mystic_bonus,MIN(mystic_cap,TblMili[[#This Row],[Hill]]/mystic_bonus))</f>
        <v>0.2857142857142857</v>
      </c>
      <c r="BY60" s="266">
        <f ca="1">IF(druid_op_cap="none",TblMili[[#This Row],[Hill]]/druid_op_bonus,MIN(druid_op_cap,TblMili[[#This Row],[Hill]]/druid_op_bonus))</f>
        <v>0.2857142857142857</v>
      </c>
      <c r="BZ60" s="266">
        <f ca="1">IF(druid_dp_cap="none",TblMili[[#This Row],[Hill]]/druid_dp_bonus,MIN(druid_dp_cap,TblMili[[#This Row],[Hill]]/druid_dp_bonus))</f>
        <v>0.2857142857142857</v>
      </c>
      <c r="CA60" s="266">
        <f ca="1">MIN(dryad_cap,TblMili[[#This Row],[Hill]]/dryad_bonus)</f>
        <v>0.2857142857142857</v>
      </c>
      <c r="CB60" s="266">
        <f ca="1">MIN(rocka_cap,TblMili[[#This Row],[Hill]]/rocka_bonus)</f>
        <v>0.2857142857142857</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0.2857142857142857</v>
      </c>
      <c r="CH60" s="45">
        <f ca="1">MIN(ice_elem_cap,TblMili[[#This Row],[Raw (2)]]*ice_elem_bonus)</f>
        <v>0</v>
      </c>
      <c r="CI60" s="266">
        <f t="shared" si="2"/>
        <v>0.83333333333333337</v>
      </c>
      <c r="CJ60" s="266">
        <f ca="1">MIN(nox_nightshade_cap,TblConstr[[#This Row],[Homeland]]/TblConstr[[#This Row],[Land]]/nox_nightshade_swamp_bonus)</f>
        <v>0.5714285714285714</v>
      </c>
      <c r="CK60" s="267"/>
      <c r="CL60" s="267"/>
      <c r="CM60" s="267"/>
      <c r="CN60" s="266">
        <f ca="1">MIN(6,TblMili[[#This Row],[Mystic]]+Races!$F$19)*1.8 +  IF(TblMili[[#This Row],[Mystic]]+Races!$F$19&gt;6,(TblMili[[#This Row],[Mystic]]+Races!$F$19-6)*0.2,0) - Races!$I$19</f>
        <v>0.51428571428571423</v>
      </c>
      <c r="CO6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0" s="97">
        <f ca="1">TblMili[[#This Row],[Mystic bonus]]*TblMili[[#This Row],[Unit 3]]+TblMili[[#This Row],[Druid bonus]]*TblMili[[#This Row],[Unit 4]]</f>
        <v>0</v>
      </c>
      <c r="CQ60" s="158">
        <f ca="1">MIN(6,TblMili[[#This Row],[Dryad]]+Races!$F$35)*1.8 +  IF(TblMili[[#This Row],[Dryad]]+Races!$F$35&gt;6,(TblMili[[#This Row],[Dryad]]+Races!$F$35-6)*0.2,0) - Races!$I$19</f>
        <v>-1.2857142857142856</v>
      </c>
      <c r="CR60" s="97">
        <f ca="1">sylvan*(TblMili[[#This Row],[Mystic bonus]]*TblMili[[#This Row],[Unit 3]])</f>
        <v>0</v>
      </c>
      <c r="CS60" s="158">
        <f ca="1">1.8 * MIN(MAX(Races!$E$27,TblMili[[#This Row],[Rockapult]]+Races!$F$27),6)  +  0.45 * MIN(MIN(Races!$E$27,TblMili[[#This Row],[Rockapult]]+Races!$F$27),6)  +  0.2 * ( MAX(Races!$E$27-6,0) + MAX(TblMili[[#This Row],[Rockapult]]+Races!$F$27-6,0) )  -  Races!$I$20</f>
        <v>2.7642857142857133</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0.51428571428571423</v>
      </c>
      <c r="CX60" s="158">
        <f ca="1">1.8 * MIN(MAX(TblMili[[#This Row],[Ice Elemental]]+Races!$E$71,Races!$F$71),6)  +  0.45 * MIN(MIN(TblMili[[#This Row],[Ice Elemental]]+Races!$E$71,Races!$F$71),6)  +  0.2 * ( MAX(TblMili[[#This Row],[Ice Elemental]]+Races!$E$71-6,0) + MAX(Races!$F$71-6,0) )  -  Races!$I$71</f>
        <v>0</v>
      </c>
      <c r="CY60" s="97">
        <f ca="1">TblMili[[#This Row],[Frost Mage bonus]]*TblMili[[#This Row],[Unit 3]]+TblMili[[#This Row],[Ice Elemental bonus]]*TblMili[[#This Row],[Unit 4]]</f>
        <v>0</v>
      </c>
      <c r="CZ60" s="268"/>
      <c r="DA60" s="146">
        <f ca="1">MIN(SUM(TblConstr[[#This Row],[Plain]:[Water]])/TblMili[[#This Row],[Land]]/favorable_terrain_bonus/100,favorable_terrain_max)</f>
        <v>0</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16690</v>
      </c>
      <c r="DD60" s="145"/>
      <c r="DE60" s="269">
        <f ca="1">(TblMili[[#This Row],[Wizards]]+2*TblMili[[#This Row],[Archmages]])/TblConstr[[#This Row],[Land]]</f>
        <v>0</v>
      </c>
      <c r="DF60" s="269">
        <f ca="1">TblMili[[#This Row],[Raw (2)]]*(1+race_wizard_strength+IF(TblMili[[#This Row],[Hour]]&gt;72,tech_magical_weaponry_wiz*TblTech[[#This Row],[3-5]],0))</f>
        <v>0</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1412</v>
      </c>
      <c r="C61" s="160">
        <f ca="1">TblPop[[#This Row],[Military%]]</f>
        <v>0.12494469515972038</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5"/>
      <c r="N61" s="97">
        <f ca="1">TblProd[[#This Row],[Networth]]</f>
        <v>16740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1412</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1412</v>
      </c>
      <c r="X61" s="262">
        <f ca="1">TblConstr[[#This Row],[Land]]</f>
        <v>700</v>
      </c>
      <c r="Y61" s="265"/>
      <c r="Z61" s="270">
        <f ca="1">IF(TblMili[[#This Row],[Set]]&lt;&gt;"",TblMili[[#This Row],[Set]],OFFSET(TblMili[[#This Row],[Draftrate]],-1,0))</f>
        <v>0.9</v>
      </c>
      <c r="AA61" s="97">
        <f ca="1">OFFSET(TblMili[[#This Row],[Draftees]],-1,0)+OFFSET(TblPop[[#This Row],[Draft Growth]],-1,0) - SUM(TblMili[[#This Row],[Train Unit 1]:[Train Spies]],TblMili[[#This Row],[Train Wiz]]) - TblMili[[#This Row],[Release Draft]] + SUM(TblMili[[#This Row],[Release Unit 1]:[Release AM]]) - TblExplore[[#This Row],[Draftees (2)]]</f>
        <v>1412</v>
      </c>
      <c r="AB61" s="157"/>
      <c r="AC61" s="183">
        <f ca="1">(TblConstr[[#This Row],[Tot Smi]]+TblConstr[[#This Row],[Dest Smi]])/(TblConstr[[#This Row],[Land]]-TblExplore[[#This Row],[Land Bonus]]*20)</f>
        <v>0.13142857142857142</v>
      </c>
      <c r="AD61" s="140"/>
      <c r="AE61" s="261">
        <f>TblMili[[#This Row],[Hour]]</f>
        <v>58</v>
      </c>
      <c r="AF61" s="141">
        <f ca="1">TblExplore[[#This Row],[Time]]</f>
        <v>45432.124999999862</v>
      </c>
      <c r="AG61" s="182"/>
      <c r="AH61" s="182"/>
      <c r="AI61" s="182"/>
      <c r="AJ61" s="182"/>
      <c r="AK61" s="182"/>
      <c r="AL61" s="182"/>
      <c r="AM61" s="182"/>
      <c r="AN61" s="182"/>
      <c r="AO61" s="145"/>
      <c r="AP61" s="97">
        <f ca="1">TblProd[[#This Row],[Platinum]]</f>
        <v>648776</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45432.124999999862</v>
      </c>
      <c r="AV61" s="97">
        <f ca="1">TblMili[[#This Row],[Draftees]]</f>
        <v>1412</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222</v>
      </c>
      <c r="BJ61" s="97">
        <f ca="1">ROUNDUP(IF(race="Gnome",1,(1-MIN(TblMili[[#This Row],[Smithies]]*smithy_bonus,smithy_bonus_cap) + tech_3_5*TblTech[[#This Row],[3-5]] + tech_5_3*TblTech[[#This Row],[5-3]] + tech_5_5*TblTech[[#This Row],[5-5]]))*spec_op_ore,0)</f>
        <v>0</v>
      </c>
      <c r="BK61" s="97">
        <f ca="1">ROUNDUP((1-MIN(TblMili[[#This Row],[Smithies]]*smithy_bonus,smithy_bonus_cap) + tech_3_5*TblTech[[#This Row],[3-5]] + tech_5_3*TblTech[[#This Row],[5-3]] + tech_5_5*TblTech[[#This Row],[5-5]])*spec_dp_plat,0)</f>
        <v>222</v>
      </c>
      <c r="BL61" s="97">
        <f ca="1">ROUNDUP(IF(race="Gnome",1,(1-MIN(TblMili[[#This Row],[Smithies]]*smithy_bonus,smithy_bonus_cap) + tech_3_5*TblTech[[#This Row],[3-5]] + tech_5_3*TblTech[[#This Row],[5-3]] + tech_5_5*TblTech[[#This Row],[5-5]]))*spec_dp_ore,0)</f>
        <v>0</v>
      </c>
      <c r="BM61" s="97">
        <f ca="1">ROUNDUP((1-MIN(TblMili[[#This Row],[Smithies]]*smithy_bonus,smithy_bonus_cap) + tech_3_5*TblTech[[#This Row],[3-5]] + tech_5_3*TblTech[[#This Row],[5-3]] + tech_5_5*TblTech[[#This Row],[5-5]])*elite1_plat,0)</f>
        <v>682</v>
      </c>
      <c r="BN61" s="97">
        <f ca="1">ROUNDUP(IF(race="Gnome",1,(1-MIN(TblMili[[#This Row],[Smithies]]*smithy_bonus,smithy_bonus_cap) + tech_3_5*TblTech[[#This Row],[3-5]] + tech_5_3*TblTech[[#This Row],[5-3]] + tech_5_5*TblTech[[#This Row],[5-5]]))*elite1_ore,0)</f>
        <v>0</v>
      </c>
      <c r="BO61" s="97">
        <f ca="1">ROUNDUP((1-MIN(TblMili[[#This Row],[Smithies]]*smithy_bonus,smithy_bonus_cap) + tech_3_5*TblTech[[#This Row],[3-5]] + tech_5_3*TblTech[[#This Row],[5-3]] + tech_5_5*TblTech[[#This Row],[5-5]])*elite2_plat,0)</f>
        <v>701</v>
      </c>
      <c r="BP61" s="97">
        <f ca="1">ROUNDUP(IF(race="Gnome",1,(1-MIN(TblMili[[#This Row],[Smithies]]*smithy_bonus,smithy_bonus_cap) + tech_3_5*TblTech[[#This Row],[3-5]] + tech_5_3*TblTech[[#This Row],[5-3]] + tech_5_5*TblTech[[#This Row],[5-5]]))*elite2_ore,0)</f>
        <v>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5.7142857142857141E-2</v>
      </c>
      <c r="BW61" s="160">
        <f ca="1">TblMili[[#This Row],[WG''s]]</f>
        <v>0</v>
      </c>
      <c r="BX61" s="266">
        <f ca="1">IF(mystic_cap="none",TblMili[[#This Row],[Hill]]/mystic_bonus,MIN(mystic_cap,TblMili[[#This Row],[Hill]]/mystic_bonus))</f>
        <v>0.2857142857142857</v>
      </c>
      <c r="BY61" s="266">
        <f ca="1">IF(druid_op_cap="none",TblMili[[#This Row],[Hill]]/druid_op_bonus,MIN(druid_op_cap,TblMili[[#This Row],[Hill]]/druid_op_bonus))</f>
        <v>0.2857142857142857</v>
      </c>
      <c r="BZ61" s="266">
        <f ca="1">IF(druid_dp_cap="none",TblMili[[#This Row],[Hill]]/druid_dp_bonus,MIN(druid_dp_cap,TblMili[[#This Row],[Hill]]/druid_dp_bonus))</f>
        <v>0.2857142857142857</v>
      </c>
      <c r="CA61" s="266">
        <f ca="1">MIN(dryad_cap,TblMili[[#This Row],[Hill]]/dryad_bonus)</f>
        <v>0.2857142857142857</v>
      </c>
      <c r="CB61" s="266">
        <f ca="1">MIN(rocka_cap,TblMili[[#This Row],[Hill]]/rocka_bonus)</f>
        <v>0.2857142857142857</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0.2857142857142857</v>
      </c>
      <c r="CH61" s="45">
        <f ca="1">MIN(ice_elem_cap,TblMili[[#This Row],[Raw (2)]]*ice_elem_bonus)</f>
        <v>0</v>
      </c>
      <c r="CI61" s="266">
        <f t="shared" si="2"/>
        <v>0.83333333333333337</v>
      </c>
      <c r="CJ61" s="266">
        <f ca="1">MIN(nox_nightshade_cap,TblConstr[[#This Row],[Homeland]]/TblConstr[[#This Row],[Land]]/nox_nightshade_swamp_bonus)</f>
        <v>0.5714285714285714</v>
      </c>
      <c r="CK61" s="267"/>
      <c r="CL61" s="267"/>
      <c r="CM61" s="267"/>
      <c r="CN61" s="266">
        <f ca="1">MIN(6,TblMili[[#This Row],[Mystic]]+Races!$F$19)*1.8 +  IF(TblMili[[#This Row],[Mystic]]+Races!$F$19&gt;6,(TblMili[[#This Row],[Mystic]]+Races!$F$19-6)*0.2,0) - Races!$I$19</f>
        <v>0.51428571428571423</v>
      </c>
      <c r="CO6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1" s="97">
        <f ca="1">TblMili[[#This Row],[Mystic bonus]]*TblMili[[#This Row],[Unit 3]]+TblMili[[#This Row],[Druid bonus]]*TblMili[[#This Row],[Unit 4]]</f>
        <v>0</v>
      </c>
      <c r="CQ61" s="158">
        <f ca="1">MIN(6,TblMili[[#This Row],[Dryad]]+Races!$F$35)*1.8 +  IF(TblMili[[#This Row],[Dryad]]+Races!$F$35&gt;6,(TblMili[[#This Row],[Dryad]]+Races!$F$35-6)*0.2,0) - Races!$I$19</f>
        <v>-1.2857142857142856</v>
      </c>
      <c r="CR61" s="97">
        <f ca="1">sylvan*(TblMili[[#This Row],[Mystic bonus]]*TblMili[[#This Row],[Unit 3]])</f>
        <v>0</v>
      </c>
      <c r="CS61" s="158">
        <f ca="1">1.8 * MIN(MAX(Races!$E$27,TblMili[[#This Row],[Rockapult]]+Races!$F$27),6)  +  0.45 * MIN(MIN(Races!$E$27,TblMili[[#This Row],[Rockapult]]+Races!$F$27),6)  +  0.2 * ( MAX(Races!$E$27-6,0) + MAX(TblMili[[#This Row],[Rockapult]]+Races!$F$27-6,0) )  -  Races!$I$20</f>
        <v>2.7642857142857133</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0.51428571428571423</v>
      </c>
      <c r="CX61" s="158">
        <f ca="1">1.8 * MIN(MAX(TblMili[[#This Row],[Ice Elemental]]+Races!$E$71,Races!$F$71),6)  +  0.45 * MIN(MIN(TblMili[[#This Row],[Ice Elemental]]+Races!$E$71,Races!$F$71),6)  +  0.2 * ( MAX(TblMili[[#This Row],[Ice Elemental]]+Races!$E$71-6,0) + MAX(Races!$F$71-6,0) )  -  Races!$I$71</f>
        <v>0</v>
      </c>
      <c r="CY61" s="97">
        <f ca="1">TblMili[[#This Row],[Frost Mage bonus]]*TblMili[[#This Row],[Unit 3]]+TblMili[[#This Row],[Ice Elemental bonus]]*TblMili[[#This Row],[Unit 4]]</f>
        <v>0</v>
      </c>
      <c r="CZ61" s="268"/>
      <c r="DA61" s="146">
        <f ca="1">MIN(SUM(TblConstr[[#This Row],[Plain]:[Water]])/TblMili[[#This Row],[Land]]/favorable_terrain_bonus/100,favorable_terrain_max)</f>
        <v>0</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16740</v>
      </c>
      <c r="DD61" s="145"/>
      <c r="DE61" s="269">
        <f ca="1">(TblMili[[#This Row],[Wizards]]+2*TblMili[[#This Row],[Archmages]])/TblConstr[[#This Row],[Land]]</f>
        <v>0</v>
      </c>
      <c r="DF61" s="269">
        <f ca="1">TblMili[[#This Row],[Raw (2)]]*(1+race_wizard_strength+IF(TblMili[[#This Row],[Hour]]&gt;72,tech_magical_weaponry_wiz*TblTech[[#This Row],[3-5]],0))</f>
        <v>0</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1511</v>
      </c>
      <c r="C62" s="160">
        <f ca="1">TblPop[[#This Row],[Military%]]</f>
        <v>0.1337049818600124</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5"/>
      <c r="N62" s="97">
        <f ca="1">TblProd[[#This Row],[Networth]]</f>
        <v>16795</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1511</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1511</v>
      </c>
      <c r="X62" s="262">
        <f ca="1">TblConstr[[#This Row],[Land]]</f>
        <v>700</v>
      </c>
      <c r="Y62" s="265"/>
      <c r="Z62" s="270">
        <f ca="1">IF(TblMili[[#This Row],[Set]]&lt;&gt;"",TblMili[[#This Row],[Set]],OFFSET(TblMili[[#This Row],[Draftrate]],-1,0))</f>
        <v>0.9</v>
      </c>
      <c r="AA62" s="97">
        <f ca="1">OFFSET(TblMili[[#This Row],[Draftees]],-1,0)+OFFSET(TblPop[[#This Row],[Draft Growth]],-1,0) - SUM(TblMili[[#This Row],[Train Unit 1]:[Train Spies]],TblMili[[#This Row],[Train Wiz]]) - TblMili[[#This Row],[Release Draft]] + SUM(TblMili[[#This Row],[Release Unit 1]:[Release AM]]) - TblExplore[[#This Row],[Draftees (2)]]</f>
        <v>1511</v>
      </c>
      <c r="AB62" s="157"/>
      <c r="AC62" s="183">
        <f ca="1">(TblConstr[[#This Row],[Tot Smi]]+TblConstr[[#This Row],[Dest Smi]])/(TblConstr[[#This Row],[Land]]-TblExplore[[#This Row],[Land Bonus]]*20)</f>
        <v>0.14571428571428571</v>
      </c>
      <c r="AD62" s="140"/>
      <c r="AE62" s="261">
        <f>TblMili[[#This Row],[Hour]]</f>
        <v>59</v>
      </c>
      <c r="AF62" s="141">
        <f ca="1">TblExplore[[#This Row],[Time]]</f>
        <v>45432.166666666526</v>
      </c>
      <c r="AG62" s="182"/>
      <c r="AH62" s="182"/>
      <c r="AI62" s="182"/>
      <c r="AJ62" s="182"/>
      <c r="AK62" s="182"/>
      <c r="AL62" s="182"/>
      <c r="AM62" s="182"/>
      <c r="AN62" s="182"/>
      <c r="AO62" s="145"/>
      <c r="AP62" s="97">
        <f ca="1">TblProd[[#This Row],[Platinum]]</f>
        <v>694619</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45432.166666666526</v>
      </c>
      <c r="AV62" s="97">
        <f ca="1">TblMili[[#This Row],[Draftees]]</f>
        <v>1511</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213</v>
      </c>
      <c r="BJ62" s="97">
        <f ca="1">ROUNDUP(IF(race="Gnome",1,(1-MIN(TblMili[[#This Row],[Smithies]]*smithy_bonus,smithy_bonus_cap) + tech_3_5*TblTech[[#This Row],[3-5]] + tech_5_3*TblTech[[#This Row],[5-3]] + tech_5_5*TblTech[[#This Row],[5-5]]))*spec_op_ore,0)</f>
        <v>0</v>
      </c>
      <c r="BK62" s="97">
        <f ca="1">ROUNDUP((1-MIN(TblMili[[#This Row],[Smithies]]*smithy_bonus,smithy_bonus_cap) + tech_3_5*TblTech[[#This Row],[3-5]] + tech_5_3*TblTech[[#This Row],[5-3]] + tech_5_5*TblTech[[#This Row],[5-5]])*spec_dp_plat,0)</f>
        <v>213</v>
      </c>
      <c r="BL62" s="97">
        <f ca="1">ROUNDUP(IF(race="Gnome",1,(1-MIN(TblMili[[#This Row],[Smithies]]*smithy_bonus,smithy_bonus_cap) + tech_3_5*TblTech[[#This Row],[3-5]] + tech_5_3*TblTech[[#This Row],[5-3]] + tech_5_5*TblTech[[#This Row],[5-5]]))*spec_dp_ore,0)</f>
        <v>0</v>
      </c>
      <c r="BM62" s="97">
        <f ca="1">ROUNDUP((1-MIN(TblMili[[#This Row],[Smithies]]*smithy_bonus,smithy_bonus_cap) + tech_3_5*TblTech[[#This Row],[3-5]] + tech_5_3*TblTech[[#This Row],[5-3]] + tech_5_5*TblTech[[#This Row],[5-5]])*elite1_plat,0)</f>
        <v>656</v>
      </c>
      <c r="BN62" s="97">
        <f ca="1">ROUNDUP(IF(race="Gnome",1,(1-MIN(TblMili[[#This Row],[Smithies]]*smithy_bonus,smithy_bonus_cap) + tech_3_5*TblTech[[#This Row],[3-5]] + tech_5_3*TblTech[[#This Row],[5-3]] + tech_5_5*TblTech[[#This Row],[5-5]]))*elite1_ore,0)</f>
        <v>0</v>
      </c>
      <c r="BO62" s="97">
        <f ca="1">ROUNDUP((1-MIN(TblMili[[#This Row],[Smithies]]*smithy_bonus,smithy_bonus_cap) + tech_3_5*TblTech[[#This Row],[3-5]] + tech_5_3*TblTech[[#This Row],[5-3]] + tech_5_5*TblTech[[#This Row],[5-5]])*elite2_plat,0)</f>
        <v>674</v>
      </c>
      <c r="BP62" s="97">
        <f ca="1">ROUNDUP(IF(race="Gnome",1,(1-MIN(TblMili[[#This Row],[Smithies]]*smithy_bonus,smithy_bonus_cap) + tech_3_5*TblTech[[#This Row],[3-5]] + tech_5_3*TblTech[[#This Row],[5-3]] + tech_5_5*TblTech[[#This Row],[5-5]]))*elite2_ore,0)</f>
        <v>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5.7142857142857141E-2</v>
      </c>
      <c r="BW62" s="160">
        <f ca="1">TblMili[[#This Row],[WG''s]]</f>
        <v>0</v>
      </c>
      <c r="BX62" s="266">
        <f ca="1">IF(mystic_cap="none",TblMili[[#This Row],[Hill]]/mystic_bonus,MIN(mystic_cap,TblMili[[#This Row],[Hill]]/mystic_bonus))</f>
        <v>0.2857142857142857</v>
      </c>
      <c r="BY62" s="266">
        <f ca="1">IF(druid_op_cap="none",TblMili[[#This Row],[Hill]]/druid_op_bonus,MIN(druid_op_cap,TblMili[[#This Row],[Hill]]/druid_op_bonus))</f>
        <v>0.2857142857142857</v>
      </c>
      <c r="BZ62" s="266">
        <f ca="1">IF(druid_dp_cap="none",TblMili[[#This Row],[Hill]]/druid_dp_bonus,MIN(druid_dp_cap,TblMili[[#This Row],[Hill]]/druid_dp_bonus))</f>
        <v>0.2857142857142857</v>
      </c>
      <c r="CA62" s="266">
        <f ca="1">MIN(dryad_cap,TblMili[[#This Row],[Hill]]/dryad_bonus)</f>
        <v>0.2857142857142857</v>
      </c>
      <c r="CB62" s="266">
        <f ca="1">MIN(rocka_cap,TblMili[[#This Row],[Hill]]/rocka_bonus)</f>
        <v>0.2857142857142857</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0.2857142857142857</v>
      </c>
      <c r="CH62" s="45">
        <f ca="1">MIN(ice_elem_cap,TblMili[[#This Row],[Raw (2)]]*ice_elem_bonus)</f>
        <v>0</v>
      </c>
      <c r="CI62" s="266">
        <f t="shared" si="2"/>
        <v>0.83333333333333337</v>
      </c>
      <c r="CJ62" s="266">
        <f ca="1">MIN(nox_nightshade_cap,TblConstr[[#This Row],[Homeland]]/TblConstr[[#This Row],[Land]]/nox_nightshade_swamp_bonus)</f>
        <v>0.5714285714285714</v>
      </c>
      <c r="CK62" s="267"/>
      <c r="CL62" s="267"/>
      <c r="CM62" s="267"/>
      <c r="CN62" s="266">
        <f ca="1">MIN(6,TblMili[[#This Row],[Mystic]]+Races!$F$19)*1.8 +  IF(TblMili[[#This Row],[Mystic]]+Races!$F$19&gt;6,(TblMili[[#This Row],[Mystic]]+Races!$F$19-6)*0.2,0) - Races!$I$19</f>
        <v>0.51428571428571423</v>
      </c>
      <c r="CO6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2" s="97">
        <f ca="1">TblMili[[#This Row],[Mystic bonus]]*TblMili[[#This Row],[Unit 3]]+TblMili[[#This Row],[Druid bonus]]*TblMili[[#This Row],[Unit 4]]</f>
        <v>0</v>
      </c>
      <c r="CQ62" s="158">
        <f ca="1">MIN(6,TblMili[[#This Row],[Dryad]]+Races!$F$35)*1.8 +  IF(TblMili[[#This Row],[Dryad]]+Races!$F$35&gt;6,(TblMili[[#This Row],[Dryad]]+Races!$F$35-6)*0.2,0) - Races!$I$19</f>
        <v>-1.2857142857142856</v>
      </c>
      <c r="CR62" s="97">
        <f ca="1">sylvan*(TblMili[[#This Row],[Mystic bonus]]*TblMili[[#This Row],[Unit 3]])</f>
        <v>0</v>
      </c>
      <c r="CS62" s="158">
        <f ca="1">1.8 * MIN(MAX(Races!$E$27,TblMili[[#This Row],[Rockapult]]+Races!$F$27),6)  +  0.45 * MIN(MIN(Races!$E$27,TblMili[[#This Row],[Rockapult]]+Races!$F$27),6)  +  0.2 * ( MAX(Races!$E$27-6,0) + MAX(TblMili[[#This Row],[Rockapult]]+Races!$F$27-6,0) )  -  Races!$I$20</f>
        <v>2.7642857142857133</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0.51428571428571423</v>
      </c>
      <c r="CX62" s="158">
        <f ca="1">1.8 * MIN(MAX(TblMili[[#This Row],[Ice Elemental]]+Races!$E$71,Races!$F$71),6)  +  0.45 * MIN(MIN(TblMili[[#This Row],[Ice Elemental]]+Races!$E$71,Races!$F$71),6)  +  0.2 * ( MAX(TblMili[[#This Row],[Ice Elemental]]+Races!$E$71-6,0) + MAX(Races!$F$71-6,0) )  -  Races!$I$71</f>
        <v>0</v>
      </c>
      <c r="CY62" s="97">
        <f ca="1">TblMili[[#This Row],[Frost Mage bonus]]*TblMili[[#This Row],[Unit 3]]+TblMili[[#This Row],[Ice Elemental bonus]]*TblMili[[#This Row],[Unit 4]]</f>
        <v>0</v>
      </c>
      <c r="CZ62" s="268"/>
      <c r="DA62" s="146">
        <f ca="1">MIN(SUM(TblConstr[[#This Row],[Plain]:[Water]])/TblMili[[#This Row],[Land]]/favorable_terrain_bonus/100,favorable_terrain_max)</f>
        <v>0</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16795</v>
      </c>
      <c r="DD62" s="145"/>
      <c r="DE62" s="269">
        <f ca="1">(TblMili[[#This Row],[Wizards]]+2*TblMili[[#This Row],[Archmages]])/TblConstr[[#This Row],[Land]]</f>
        <v>0</v>
      </c>
      <c r="DF62" s="269">
        <f ca="1">TblMili[[#This Row],[Raw (2)]]*(1+race_wizard_strength+IF(TblMili[[#This Row],[Hour]]&gt;72,tech_magical_weaponry_wiz*TblTech[[#This Row],[3-5]],0))</f>
        <v>0</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1609</v>
      </c>
      <c r="C63" s="160">
        <f ca="1">TblPop[[#This Row],[Military%]]</f>
        <v>0.13842050929112182</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5"/>
      <c r="N63" s="97">
        <f ca="1">TblProd[[#This Row],[Networth]]</f>
        <v>16955</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1609</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1609</v>
      </c>
      <c r="X63" s="262">
        <f ca="1">TblConstr[[#This Row],[Land]]</f>
        <v>700</v>
      </c>
      <c r="Y63" s="265"/>
      <c r="Z63" s="270">
        <f ca="1">IF(TblMili[[#This Row],[Set]]&lt;&gt;"",TblMili[[#This Row],[Set]],OFFSET(TblMili[[#This Row],[Draftrate]],-1,0))</f>
        <v>0.9</v>
      </c>
      <c r="AA63" s="97">
        <f ca="1">OFFSET(TblMili[[#This Row],[Draftees]],-1,0)+OFFSET(TblPop[[#This Row],[Draft Growth]],-1,0) - SUM(TblMili[[#This Row],[Train Unit 1]:[Train Spies]],TblMili[[#This Row],[Train Wiz]]) - TblMili[[#This Row],[Release Draft]] + SUM(TblMili[[#This Row],[Release Unit 1]:[Release AM]]) - TblExplore[[#This Row],[Draftees (2)]]</f>
        <v>1609</v>
      </c>
      <c r="AB63" s="157"/>
      <c r="AC63" s="183">
        <f ca="1">(TblConstr[[#This Row],[Tot Smi]]+TblConstr[[#This Row],[Dest Smi]])/(TblConstr[[#This Row],[Land]]-TblExplore[[#This Row],[Land Bonus]]*20)</f>
        <v>0.16285714285714287</v>
      </c>
      <c r="AD63" s="140"/>
      <c r="AE63" s="261">
        <f>TblMili[[#This Row],[Hour]]</f>
        <v>60</v>
      </c>
      <c r="AF63" s="141">
        <f ca="1">TblExplore[[#This Row],[Time]]</f>
        <v>45432.20833333319</v>
      </c>
      <c r="AG63" s="182"/>
      <c r="AH63" s="182"/>
      <c r="AI63" s="182"/>
      <c r="AJ63" s="182"/>
      <c r="AK63" s="182"/>
      <c r="AL63" s="182"/>
      <c r="AM63" s="182"/>
      <c r="AN63" s="182"/>
      <c r="AO63" s="145"/>
      <c r="AP63" s="97">
        <f ca="1">TblProd[[#This Row],[Platinum]]</f>
        <v>740222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45432.20833333319</v>
      </c>
      <c r="AV63" s="97">
        <f ca="1">TblMili[[#This Row],[Draftees]]</f>
        <v>1609</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203</v>
      </c>
      <c r="BJ63" s="97">
        <f ca="1">ROUNDUP(IF(race="Gnome",1,(1-MIN(TblMili[[#This Row],[Smithies]]*smithy_bonus,smithy_bonus_cap) + tech_3_5*TblTech[[#This Row],[3-5]] + tech_5_3*TblTech[[#This Row],[5-3]] + tech_5_5*TblTech[[#This Row],[5-5]]))*spec_op_ore,0)</f>
        <v>0</v>
      </c>
      <c r="BK63" s="97">
        <f ca="1">ROUNDUP((1-MIN(TblMili[[#This Row],[Smithies]]*smithy_bonus,smithy_bonus_cap) + tech_3_5*TblTech[[#This Row],[3-5]] + tech_5_3*TblTech[[#This Row],[5-3]] + tech_5_5*TblTech[[#This Row],[5-5]])*spec_dp_plat,0)</f>
        <v>203</v>
      </c>
      <c r="BL63" s="97">
        <f ca="1">ROUNDUP(IF(race="Gnome",1,(1-MIN(TblMili[[#This Row],[Smithies]]*smithy_bonus,smithy_bonus_cap) + tech_3_5*TblTech[[#This Row],[3-5]] + tech_5_3*TblTech[[#This Row],[5-3]] + tech_5_5*TblTech[[#This Row],[5-5]]))*spec_dp_ore,0)</f>
        <v>0</v>
      </c>
      <c r="BM63" s="97">
        <f ca="1">ROUNDUP((1-MIN(TblMili[[#This Row],[Smithies]]*smithy_bonus,smithy_bonus_cap) + tech_3_5*TblTech[[#This Row],[3-5]] + tech_5_3*TblTech[[#This Row],[5-3]] + tech_5_5*TblTech[[#This Row],[5-5]])*elite1_plat,0)</f>
        <v>624</v>
      </c>
      <c r="BN63" s="97">
        <f ca="1">ROUNDUP(IF(race="Gnome",1,(1-MIN(TblMili[[#This Row],[Smithies]]*smithy_bonus,smithy_bonus_cap) + tech_3_5*TblTech[[#This Row],[3-5]] + tech_5_3*TblTech[[#This Row],[5-3]] + tech_5_5*TblTech[[#This Row],[5-5]]))*elite1_ore,0)</f>
        <v>0</v>
      </c>
      <c r="BO63" s="97">
        <f ca="1">ROUNDUP((1-MIN(TblMili[[#This Row],[Smithies]]*smithy_bonus,smithy_bonus_cap) + tech_3_5*TblTech[[#This Row],[3-5]] + tech_5_3*TblTech[[#This Row],[5-3]] + tech_5_5*TblTech[[#This Row],[5-5]])*elite2_plat,0)</f>
        <v>641</v>
      </c>
      <c r="BP63" s="97">
        <f ca="1">ROUNDUP(IF(race="Gnome",1,(1-MIN(TblMili[[#This Row],[Smithies]]*smithy_bonus,smithy_bonus_cap) + tech_3_5*TblTech[[#This Row],[3-5]] + tech_5_3*TblTech[[#This Row],[5-3]] + tech_5_5*TblTech[[#This Row],[5-5]]))*elite2_ore,0)</f>
        <v>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5.7142857142857141E-2</v>
      </c>
      <c r="BW63" s="160">
        <f ca="1">TblMili[[#This Row],[WG''s]]</f>
        <v>0</v>
      </c>
      <c r="BX63" s="266">
        <f ca="1">IF(mystic_cap="none",TblMili[[#This Row],[Hill]]/mystic_bonus,MIN(mystic_cap,TblMili[[#This Row],[Hill]]/mystic_bonus))</f>
        <v>0.2857142857142857</v>
      </c>
      <c r="BY63" s="266">
        <f ca="1">IF(druid_op_cap="none",TblMili[[#This Row],[Hill]]/druid_op_bonus,MIN(druid_op_cap,TblMili[[#This Row],[Hill]]/druid_op_bonus))</f>
        <v>0.2857142857142857</v>
      </c>
      <c r="BZ63" s="266">
        <f ca="1">IF(druid_dp_cap="none",TblMili[[#This Row],[Hill]]/druid_dp_bonus,MIN(druid_dp_cap,TblMili[[#This Row],[Hill]]/druid_dp_bonus))</f>
        <v>0.2857142857142857</v>
      </c>
      <c r="CA63" s="266">
        <f ca="1">MIN(dryad_cap,TblMili[[#This Row],[Hill]]/dryad_bonus)</f>
        <v>0.2857142857142857</v>
      </c>
      <c r="CB63" s="266">
        <f ca="1">MIN(rocka_cap,TblMili[[#This Row],[Hill]]/rocka_bonus)</f>
        <v>0.2857142857142857</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0.2857142857142857</v>
      </c>
      <c r="CH63" s="45">
        <f ca="1">MIN(ice_elem_cap,TblMili[[#This Row],[Raw (2)]]*ice_elem_bonus)</f>
        <v>0</v>
      </c>
      <c r="CI63" s="266">
        <f t="shared" si="2"/>
        <v>0.83333333333333337</v>
      </c>
      <c r="CJ63" s="266">
        <f ca="1">MIN(nox_nightshade_cap,TblConstr[[#This Row],[Homeland]]/TblConstr[[#This Row],[Land]]/nox_nightshade_swamp_bonus)</f>
        <v>0.5714285714285714</v>
      </c>
      <c r="CK63" s="267"/>
      <c r="CL63" s="267"/>
      <c r="CM63" s="267"/>
      <c r="CN63" s="266">
        <f ca="1">MIN(6,TblMili[[#This Row],[Mystic]]+Races!$F$19)*1.8 +  IF(TblMili[[#This Row],[Mystic]]+Races!$F$19&gt;6,(TblMili[[#This Row],[Mystic]]+Races!$F$19-6)*0.2,0) - Races!$I$19</f>
        <v>0.51428571428571423</v>
      </c>
      <c r="CO6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3" s="97">
        <f ca="1">TblMili[[#This Row],[Mystic bonus]]*TblMili[[#This Row],[Unit 3]]+TblMili[[#This Row],[Druid bonus]]*TblMili[[#This Row],[Unit 4]]</f>
        <v>0</v>
      </c>
      <c r="CQ63" s="158">
        <f ca="1">MIN(6,TblMili[[#This Row],[Dryad]]+Races!$F$35)*1.8 +  IF(TblMili[[#This Row],[Dryad]]+Races!$F$35&gt;6,(TblMili[[#This Row],[Dryad]]+Races!$F$35-6)*0.2,0) - Races!$I$19</f>
        <v>-1.2857142857142856</v>
      </c>
      <c r="CR63" s="97">
        <f ca="1">sylvan*(TblMili[[#This Row],[Mystic bonus]]*TblMili[[#This Row],[Unit 3]])</f>
        <v>0</v>
      </c>
      <c r="CS63" s="158">
        <f ca="1">1.8 * MIN(MAX(Races!$E$27,TblMili[[#This Row],[Rockapult]]+Races!$F$27),6)  +  0.45 * MIN(MIN(Races!$E$27,TblMili[[#This Row],[Rockapult]]+Races!$F$27),6)  +  0.2 * ( MAX(Races!$E$27-6,0) + MAX(TblMili[[#This Row],[Rockapult]]+Races!$F$27-6,0) )  -  Races!$I$20</f>
        <v>2.7642857142857133</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0.51428571428571423</v>
      </c>
      <c r="CX63" s="158">
        <f ca="1">1.8 * MIN(MAX(TblMili[[#This Row],[Ice Elemental]]+Races!$E$71,Races!$F$71),6)  +  0.45 * MIN(MIN(TblMili[[#This Row],[Ice Elemental]]+Races!$E$71,Races!$F$71),6)  +  0.2 * ( MAX(TblMili[[#This Row],[Ice Elemental]]+Races!$E$71-6,0) + MAX(Races!$F$71-6,0) )  -  Races!$I$71</f>
        <v>0</v>
      </c>
      <c r="CY63" s="97">
        <f ca="1">TblMili[[#This Row],[Frost Mage bonus]]*TblMili[[#This Row],[Unit 3]]+TblMili[[#This Row],[Ice Elemental bonus]]*TblMili[[#This Row],[Unit 4]]</f>
        <v>0</v>
      </c>
      <c r="CZ63" s="268"/>
      <c r="DA63" s="146">
        <f ca="1">MIN(SUM(TblConstr[[#This Row],[Plain]:[Water]])/TblMili[[#This Row],[Land]]/favorable_terrain_bonus/100,favorable_terrain_max)</f>
        <v>0</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16955</v>
      </c>
      <c r="DD63" s="145"/>
      <c r="DE63" s="269">
        <f ca="1">(TblMili[[#This Row],[Wizards]]+2*TblMili[[#This Row],[Archmages]])/TblConstr[[#This Row],[Land]]</f>
        <v>0</v>
      </c>
      <c r="DF63" s="269">
        <f ca="1">TblMili[[#This Row],[Raw (2)]]*(1+race_wizard_strength+IF(TblMili[[#This Row],[Hour]]&gt;72,tech_magical_weaponry_wiz*TblTech[[#This Row],[3-5]],0))</f>
        <v>0</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1709</v>
      </c>
      <c r="C64" s="160">
        <f ca="1">TblPop[[#This Row],[Military%]]</f>
        <v>0.14306043864054913</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5"/>
      <c r="N64" s="97">
        <f ca="1">TblProd[[#This Row],[Networth]]</f>
        <v>16870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396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396</v>
      </c>
      <c r="X64" s="262">
        <f ca="1">TblConstr[[#This Row],[Land]]</f>
        <v>700</v>
      </c>
      <c r="Y64" s="265"/>
      <c r="Z64" s="270">
        <f ca="1">IF(TblMili[[#This Row],[Set]]&lt;&gt;"",TblMili[[#This Row],[Set]],OFFSET(TblMili[[#This Row],[Draftrate]],-1,0))</f>
        <v>0.9</v>
      </c>
      <c r="AA64" s="97">
        <f ca="1">OFFSET(TblMili[[#This Row],[Draftees]],-1,0)+OFFSET(TblPop[[#This Row],[Draft Growth]],-1,0) - SUM(TblMili[[#This Row],[Train Unit 1]:[Train Spies]],TblMili[[#This Row],[Train Wiz]]) - TblMili[[#This Row],[Release Draft]] + SUM(TblMili[[#This Row],[Release Unit 1]:[Release AM]]) - TblExplore[[#This Row],[Draftees (2)]]</f>
        <v>396</v>
      </c>
      <c r="AB64" s="157"/>
      <c r="AC64" s="183">
        <f ca="1">(TblConstr[[#This Row],[Tot Smi]]+TblConstr[[#This Row],[Dest Smi]])/(TblConstr[[#This Row],[Land]]-TblExplore[[#This Row],[Land Bonus]]*20)</f>
        <v>0.18</v>
      </c>
      <c r="AD64" s="261"/>
      <c r="AE64" s="261">
        <f>TblMili[[#This Row],[Hour]]</f>
        <v>61</v>
      </c>
      <c r="AF64" s="141">
        <f ca="1">TblExplore[[#This Row],[Time]]</f>
        <v>45432.249999999854</v>
      </c>
      <c r="AG64" s="182"/>
      <c r="AH64" s="161"/>
      <c r="AI64" s="182">
        <v>625</v>
      </c>
      <c r="AJ64" s="161">
        <v>638</v>
      </c>
      <c r="AK64" s="161">
        <v>25</v>
      </c>
      <c r="AL64" s="161"/>
      <c r="AM64" s="161">
        <v>25</v>
      </c>
      <c r="AN64" s="182"/>
      <c r="AO64" s="145"/>
      <c r="AP64" s="97">
        <f ca="1">TblProd[[#This Row],[Platinum]]</f>
        <v>12986</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45432.249999999854</v>
      </c>
      <c r="AV64" s="97">
        <f ca="1">TblMili[[#This Row],[Draftees]]</f>
        <v>396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192</v>
      </c>
      <c r="BJ64" s="97">
        <f ca="1">ROUNDUP(IF(race="Gnome",1,(1-MIN(TblMili[[#This Row],[Smithies]]*smithy_bonus,smithy_bonus_cap) + tech_3_5*TblTech[[#This Row],[3-5]] + tech_5_3*TblTech[[#This Row],[5-3]] + tech_5_5*TblTech[[#This Row],[5-5]]))*spec_op_ore,0)</f>
        <v>0</v>
      </c>
      <c r="BK64" s="97">
        <f ca="1">ROUNDUP((1-MIN(TblMili[[#This Row],[Smithies]]*smithy_bonus,smithy_bonus_cap) + tech_3_5*TblTech[[#This Row],[3-5]] + tech_5_3*TblTech[[#This Row],[5-3]] + tech_5_5*TblTech[[#This Row],[5-5]])*spec_dp_plat,0)</f>
        <v>192</v>
      </c>
      <c r="BL64" s="97">
        <f ca="1">ROUNDUP(IF(race="Gnome",1,(1-MIN(TblMili[[#This Row],[Smithies]]*smithy_bonus,smithy_bonus_cap) + tech_3_5*TblTech[[#This Row],[3-5]] + tech_5_3*TblTech[[#This Row],[5-3]] + tech_5_5*TblTech[[#This Row],[5-5]]))*spec_dp_ore,0)</f>
        <v>0</v>
      </c>
      <c r="BM64" s="97">
        <f ca="1">ROUNDUP((1-MIN(TblMili[[#This Row],[Smithies]]*smithy_bonus,smithy_bonus_cap) + tech_3_5*TblTech[[#This Row],[3-5]] + tech_5_3*TblTech[[#This Row],[5-3]] + tech_5_5*TblTech[[#This Row],[5-5]])*elite1_plat,0)</f>
        <v>592</v>
      </c>
      <c r="BN64" s="97">
        <f ca="1">ROUNDUP(IF(race="Gnome",1,(1-MIN(TblMili[[#This Row],[Smithies]]*smithy_bonus,smithy_bonus_cap) + tech_3_5*TblTech[[#This Row],[3-5]] + tech_5_3*TblTech[[#This Row],[5-3]] + tech_5_5*TblTech[[#This Row],[5-5]]))*elite1_ore,0)</f>
        <v>0</v>
      </c>
      <c r="BO64" s="97">
        <f ca="1">ROUNDUP((1-MIN(TblMili[[#This Row],[Smithies]]*smithy_bonus,smithy_bonus_cap) + tech_3_5*TblTech[[#This Row],[3-5]] + tech_5_3*TblTech[[#This Row],[5-3]] + tech_5_5*TblTech[[#This Row],[5-5]])*elite2_plat,0)</f>
        <v>608</v>
      </c>
      <c r="BP64" s="97">
        <f ca="1">ROUNDUP(IF(race="Gnome",1,(1-MIN(TblMili[[#This Row],[Smithies]]*smithy_bonus,smithy_bonus_cap) + tech_3_5*TblTech[[#This Row],[3-5]] + tech_5_3*TblTech[[#This Row],[5-3]] + tech_5_5*TblTech[[#This Row],[5-5]]))*elite2_ore,0)</f>
        <v>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5.7142857142857141E-2</v>
      </c>
      <c r="BW64" s="160">
        <f ca="1">TblMili[[#This Row],[WG''s]]</f>
        <v>0</v>
      </c>
      <c r="BX64" s="266">
        <f ca="1">IF(mystic_cap="none",TblMili[[#This Row],[Hill]]/mystic_bonus,MIN(mystic_cap,TblMili[[#This Row],[Hill]]/mystic_bonus))</f>
        <v>0.2857142857142857</v>
      </c>
      <c r="BY64" s="266">
        <f ca="1">IF(druid_op_cap="none",TblMili[[#This Row],[Hill]]/druid_op_bonus,MIN(druid_op_cap,TblMili[[#This Row],[Hill]]/druid_op_bonus))</f>
        <v>0.2857142857142857</v>
      </c>
      <c r="BZ64" s="266">
        <f ca="1">IF(druid_dp_cap="none",TblMili[[#This Row],[Hill]]/druid_dp_bonus,MIN(druid_dp_cap,TblMili[[#This Row],[Hill]]/druid_dp_bonus))</f>
        <v>0.2857142857142857</v>
      </c>
      <c r="CA64" s="266">
        <f ca="1">MIN(dryad_cap,TblMili[[#This Row],[Hill]]/dryad_bonus)</f>
        <v>0.2857142857142857</v>
      </c>
      <c r="CB64" s="266">
        <f ca="1">MIN(rocka_cap,TblMili[[#This Row],[Hill]]/rocka_bonus)</f>
        <v>0.2857142857142857</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0.2857142857142857</v>
      </c>
      <c r="CH64" s="45">
        <f ca="1">MIN(ice_elem_cap,TblMili[[#This Row],[Raw (2)]]*ice_elem_bonus)</f>
        <v>0</v>
      </c>
      <c r="CI64" s="266">
        <f t="shared" si="2"/>
        <v>0.83333333333333337</v>
      </c>
      <c r="CJ64" s="266">
        <f ca="1">MIN(nox_nightshade_cap,TblConstr[[#This Row],[Homeland]]/TblConstr[[#This Row],[Land]]/nox_nightshade_swamp_bonus)</f>
        <v>0.5714285714285714</v>
      </c>
      <c r="CK64" s="267"/>
      <c r="CL64" s="267"/>
      <c r="CM64" s="267"/>
      <c r="CN64" s="266">
        <f ca="1">MIN(6,TblMili[[#This Row],[Mystic]]+Races!$F$19)*1.8 +  IF(TblMili[[#This Row],[Mystic]]+Races!$F$19&gt;6,(TblMili[[#This Row],[Mystic]]+Races!$F$19-6)*0.2,0) - Races!$I$19</f>
        <v>0.51428571428571423</v>
      </c>
      <c r="CO6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4" s="97">
        <f ca="1">TblMili[[#This Row],[Mystic bonus]]*TblMili[[#This Row],[Unit 3]]+TblMili[[#This Row],[Druid bonus]]*TblMili[[#This Row],[Unit 4]]</f>
        <v>0</v>
      </c>
      <c r="CQ64" s="158">
        <f ca="1">MIN(6,TblMili[[#This Row],[Dryad]]+Races!$F$35)*1.8 +  IF(TblMili[[#This Row],[Dryad]]+Races!$F$35&gt;6,(TblMili[[#This Row],[Dryad]]+Races!$F$35-6)*0.2,0) - Races!$I$19</f>
        <v>-1.2857142857142856</v>
      </c>
      <c r="CR64" s="97">
        <f ca="1">sylvan*(TblMili[[#This Row],[Mystic bonus]]*TblMili[[#This Row],[Unit 3]])</f>
        <v>0</v>
      </c>
      <c r="CS64" s="158">
        <f ca="1">1.8 * MIN(MAX(Races!$E$27,TblMili[[#This Row],[Rockapult]]+Races!$F$27),6)  +  0.45 * MIN(MIN(Races!$E$27,TblMili[[#This Row],[Rockapult]]+Races!$F$27),6)  +  0.2 * ( MAX(Races!$E$27-6,0) + MAX(TblMili[[#This Row],[Rockapult]]+Races!$F$27-6,0) )  -  Races!$I$20</f>
        <v>2.7642857142857133</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0.51428571428571423</v>
      </c>
      <c r="CX64" s="158">
        <f ca="1">1.8 * MIN(MAX(TblMili[[#This Row],[Ice Elemental]]+Races!$E$71,Races!$F$71),6)  +  0.45 * MIN(MIN(TblMili[[#This Row],[Ice Elemental]]+Races!$E$71,Races!$F$71),6)  +  0.2 * ( MAX(TblMili[[#This Row],[Ice Elemental]]+Races!$E$71-6,0) + MAX(Races!$F$71-6,0) )  -  Races!$I$71</f>
        <v>0</v>
      </c>
      <c r="CY64" s="97">
        <f ca="1">TblMili[[#This Row],[Frost Mage bonus]]*TblMili[[#This Row],[Unit 3]]+TblMili[[#This Row],[Ice Elemental bonus]]*TblMili[[#This Row],[Unit 4]]</f>
        <v>0</v>
      </c>
      <c r="CZ64" s="268"/>
      <c r="DA64" s="146">
        <f ca="1">MIN(SUM(TblConstr[[#This Row],[Plain]:[Water]])/TblMili[[#This Row],[Land]]/favorable_terrain_bonus/100,favorable_terrain_max)</f>
        <v>0</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16870</v>
      </c>
      <c r="DD64" s="145"/>
      <c r="DE64" s="269">
        <f ca="1">(TblMili[[#This Row],[Wizards]]+2*TblMili[[#This Row],[Archmages]])/TblConstr[[#This Row],[Land]]</f>
        <v>0</v>
      </c>
      <c r="DF64" s="269">
        <f ca="1">TblMili[[#This Row],[Raw (2)]]*(1+race_wizard_strength+IF(TblMili[[#This Row],[Hour]]&gt;72,tech_magical_weaponry_wiz*TblTech[[#This Row],[3-5]],0))</f>
        <v>0</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1811</v>
      </c>
      <c r="C65" s="160">
        <f ca="1">TblPop[[#This Row],[Military%]]</f>
        <v>0.15159886154361293</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5"/>
      <c r="N65" s="97">
        <f ca="1">TblProd[[#This Row],[Networth]]</f>
        <v>16910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498</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498</v>
      </c>
      <c r="X65" s="262">
        <f ca="1">TblConstr[[#This Row],[Land]]</f>
        <v>700</v>
      </c>
      <c r="Y65" s="265"/>
      <c r="Z65" s="270">
        <f ca="1">IF(TblMili[[#This Row],[Set]]&lt;&gt;"",TblMili[[#This Row],[Set]],OFFSET(TblMili[[#This Row],[Draftrate]],-1,0))</f>
        <v>0.9</v>
      </c>
      <c r="AA65" s="97">
        <f ca="1">OFFSET(TblMili[[#This Row],[Draftees]],-1,0)+OFFSET(TblPop[[#This Row],[Draft Growth]],-1,0) - SUM(TblMili[[#This Row],[Train Unit 1]:[Train Spies]],TblMili[[#This Row],[Train Wiz]]) - TblMili[[#This Row],[Release Draft]] + SUM(TblMili[[#This Row],[Release Unit 1]:[Release AM]]) - TblExplore[[#This Row],[Draftees (2)]]</f>
        <v>498</v>
      </c>
      <c r="AB65" s="157"/>
      <c r="AC65" s="183">
        <f ca="1">(TblConstr[[#This Row],[Tot Smi]]+TblConstr[[#This Row],[Dest Smi]])/(TblConstr[[#This Row],[Land]]-TblExplore[[#This Row],[Land Bonus]]*20)</f>
        <v>0.18</v>
      </c>
      <c r="AD65" s="140"/>
      <c r="AE65" s="261">
        <f>TblMili[[#This Row],[Hour]]</f>
        <v>62</v>
      </c>
      <c r="AF65" s="141">
        <f ca="1">TblExplore[[#This Row],[Time]]</f>
        <v>45432.291666666519</v>
      </c>
      <c r="AG65" s="161"/>
      <c r="AH65" s="182"/>
      <c r="AI65" s="182"/>
      <c r="AJ65" s="182"/>
      <c r="AK65" s="182"/>
      <c r="AL65" s="182"/>
      <c r="AM65" s="182"/>
      <c r="AN65" s="182"/>
      <c r="AO65" s="145"/>
      <c r="AP65" s="97">
        <f ca="1">TblProd[[#This Row],[Platinum]]</f>
        <v>55184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45432.291666666519</v>
      </c>
      <c r="AV65" s="97">
        <f ca="1">TblMili[[#This Row],[Draftees]]</f>
        <v>498</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192</v>
      </c>
      <c r="BJ65" s="97">
        <f ca="1">ROUNDUP(IF(race="Gnome",1,(1-MIN(TblMili[[#This Row],[Smithies]]*smithy_bonus,smithy_bonus_cap) + tech_3_5*TblTech[[#This Row],[3-5]] + tech_5_3*TblTech[[#This Row],[5-3]] + tech_5_5*TblTech[[#This Row],[5-5]]))*spec_op_ore,0)</f>
        <v>0</v>
      </c>
      <c r="BK65" s="97">
        <f ca="1">ROUNDUP((1-MIN(TblMili[[#This Row],[Smithies]]*smithy_bonus,smithy_bonus_cap) + tech_3_5*TblTech[[#This Row],[3-5]] + tech_5_3*TblTech[[#This Row],[5-3]] + tech_5_5*TblTech[[#This Row],[5-5]])*spec_dp_plat,0)</f>
        <v>192</v>
      </c>
      <c r="BL65" s="97">
        <f ca="1">ROUNDUP(IF(race="Gnome",1,(1-MIN(TblMili[[#This Row],[Smithies]]*smithy_bonus,smithy_bonus_cap) + tech_3_5*TblTech[[#This Row],[3-5]] + tech_5_3*TblTech[[#This Row],[5-3]] + tech_5_5*TblTech[[#This Row],[5-5]]))*spec_dp_ore,0)</f>
        <v>0</v>
      </c>
      <c r="BM65" s="97">
        <f ca="1">ROUNDUP((1-MIN(TblMili[[#This Row],[Smithies]]*smithy_bonus,smithy_bonus_cap) + tech_3_5*TblTech[[#This Row],[3-5]] + tech_5_3*TblTech[[#This Row],[5-3]] + tech_5_5*TblTech[[#This Row],[5-5]])*elite1_plat,0)</f>
        <v>592</v>
      </c>
      <c r="BN65" s="97">
        <f ca="1">ROUNDUP(IF(race="Gnome",1,(1-MIN(TblMili[[#This Row],[Smithies]]*smithy_bonus,smithy_bonus_cap) + tech_3_5*TblTech[[#This Row],[3-5]] + tech_5_3*TblTech[[#This Row],[5-3]] + tech_5_5*TblTech[[#This Row],[5-5]]))*elite1_ore,0)</f>
        <v>0</v>
      </c>
      <c r="BO65" s="97">
        <f ca="1">ROUNDUP((1-MIN(TblMili[[#This Row],[Smithies]]*smithy_bonus,smithy_bonus_cap) + tech_3_5*TblTech[[#This Row],[3-5]] + tech_5_3*TblTech[[#This Row],[5-3]] + tech_5_5*TblTech[[#This Row],[5-5]])*elite2_plat,0)</f>
        <v>608</v>
      </c>
      <c r="BP65" s="97">
        <f ca="1">ROUNDUP(IF(race="Gnome",1,(1-MIN(TblMili[[#This Row],[Smithies]]*smithy_bonus,smithy_bonus_cap) + tech_3_5*TblTech[[#This Row],[3-5]] + tech_5_3*TblTech[[#This Row],[5-3]] + tech_5_5*TblTech[[#This Row],[5-5]]))*elite2_ore,0)</f>
        <v>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5.7142857142857141E-2</v>
      </c>
      <c r="BW65" s="160">
        <f ca="1">TblMili[[#This Row],[WG''s]]</f>
        <v>0</v>
      </c>
      <c r="BX65" s="266">
        <f ca="1">IF(mystic_cap="none",TblMili[[#This Row],[Hill]]/mystic_bonus,MIN(mystic_cap,TblMili[[#This Row],[Hill]]/mystic_bonus))</f>
        <v>0.2857142857142857</v>
      </c>
      <c r="BY65" s="266">
        <f ca="1">IF(druid_op_cap="none",TblMili[[#This Row],[Hill]]/druid_op_bonus,MIN(druid_op_cap,TblMili[[#This Row],[Hill]]/druid_op_bonus))</f>
        <v>0.2857142857142857</v>
      </c>
      <c r="BZ65" s="266">
        <f ca="1">IF(druid_dp_cap="none",TblMili[[#This Row],[Hill]]/druid_dp_bonus,MIN(druid_dp_cap,TblMili[[#This Row],[Hill]]/druid_dp_bonus))</f>
        <v>0.2857142857142857</v>
      </c>
      <c r="CA65" s="266">
        <f ca="1">MIN(dryad_cap,TblMili[[#This Row],[Hill]]/dryad_bonus)</f>
        <v>0.2857142857142857</v>
      </c>
      <c r="CB65" s="266">
        <f ca="1">MIN(rocka_cap,TblMili[[#This Row],[Hill]]/rocka_bonus)</f>
        <v>0.2857142857142857</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0.2857142857142857</v>
      </c>
      <c r="CH65" s="45">
        <f ca="1">MIN(ice_elem_cap,TblMili[[#This Row],[Raw (2)]]*ice_elem_bonus)</f>
        <v>0</v>
      </c>
      <c r="CI65" s="266">
        <f t="shared" si="2"/>
        <v>0.83333333333333337</v>
      </c>
      <c r="CJ65" s="266">
        <f ca="1">MIN(nox_nightshade_cap,TblConstr[[#This Row],[Homeland]]/TblConstr[[#This Row],[Land]]/nox_nightshade_swamp_bonus)</f>
        <v>0.5714285714285714</v>
      </c>
      <c r="CK65" s="267"/>
      <c r="CL65" s="267"/>
      <c r="CM65" s="267"/>
      <c r="CN65" s="266">
        <f ca="1">MIN(6,TblMili[[#This Row],[Mystic]]+Races!$F$19)*1.8 +  IF(TblMili[[#This Row],[Mystic]]+Races!$F$19&gt;6,(TblMili[[#This Row],[Mystic]]+Races!$F$19-6)*0.2,0) - Races!$I$19</f>
        <v>0.51428571428571423</v>
      </c>
      <c r="CO6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5" s="97">
        <f ca="1">TblMili[[#This Row],[Mystic bonus]]*TblMili[[#This Row],[Unit 3]]+TblMili[[#This Row],[Druid bonus]]*TblMili[[#This Row],[Unit 4]]</f>
        <v>0</v>
      </c>
      <c r="CQ65" s="158">
        <f ca="1">MIN(6,TblMili[[#This Row],[Dryad]]+Races!$F$35)*1.8 +  IF(TblMili[[#This Row],[Dryad]]+Races!$F$35&gt;6,(TblMili[[#This Row],[Dryad]]+Races!$F$35-6)*0.2,0) - Races!$I$19</f>
        <v>-1.2857142857142856</v>
      </c>
      <c r="CR65" s="97">
        <f ca="1">sylvan*(TblMili[[#This Row],[Mystic bonus]]*TblMili[[#This Row],[Unit 3]])</f>
        <v>0</v>
      </c>
      <c r="CS65" s="158">
        <f ca="1">1.8 * MIN(MAX(Races!$E$27,TblMili[[#This Row],[Rockapult]]+Races!$F$27),6)  +  0.45 * MIN(MIN(Races!$E$27,TblMili[[#This Row],[Rockapult]]+Races!$F$27),6)  +  0.2 * ( MAX(Races!$E$27-6,0) + MAX(TblMili[[#This Row],[Rockapult]]+Races!$F$27-6,0) )  -  Races!$I$20</f>
        <v>2.7642857142857133</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0.51428571428571423</v>
      </c>
      <c r="CX65" s="158">
        <f ca="1">1.8 * MIN(MAX(TblMili[[#This Row],[Ice Elemental]]+Races!$E$71,Races!$F$71),6)  +  0.45 * MIN(MIN(TblMili[[#This Row],[Ice Elemental]]+Races!$E$71,Races!$F$71),6)  +  0.2 * ( MAX(TblMili[[#This Row],[Ice Elemental]]+Races!$E$71-6,0) + MAX(Races!$F$71-6,0) )  -  Races!$I$71</f>
        <v>0</v>
      </c>
      <c r="CY65" s="97">
        <f ca="1">TblMili[[#This Row],[Frost Mage bonus]]*TblMili[[#This Row],[Unit 3]]+TblMili[[#This Row],[Ice Elemental bonus]]*TblMili[[#This Row],[Unit 4]]</f>
        <v>0</v>
      </c>
      <c r="CZ65" s="268"/>
      <c r="DA65" s="146">
        <f ca="1">MIN(SUM(TblConstr[[#This Row],[Plain]:[Water]])/TblMili[[#This Row],[Land]]/favorable_terrain_bonus/100,favorable_terrain_max)</f>
        <v>0</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16910</v>
      </c>
      <c r="DD65" s="145"/>
      <c r="DE65" s="269">
        <f ca="1">(TblMili[[#This Row],[Wizards]]+2*TblMili[[#This Row],[Archmages]])/TblConstr[[#This Row],[Land]]</f>
        <v>0</v>
      </c>
      <c r="DF65" s="269">
        <f ca="1">TblMili[[#This Row],[Raw (2)]]*(1+race_wizard_strength+IF(TblMili[[#This Row],[Hour]]&gt;72,tech_magical_weaponry_wiz*TblTech[[#This Row],[3-5]],0))</f>
        <v>0</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1912</v>
      </c>
      <c r="C66" s="160">
        <f ca="1">TblPop[[#This Row],[Military%]]</f>
        <v>0.1600535744182153</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5"/>
      <c r="N66" s="97">
        <f ca="1">TblProd[[#This Row],[Networth]]</f>
        <v>16955</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599</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599</v>
      </c>
      <c r="X66" s="262">
        <f ca="1">TblConstr[[#This Row],[Land]]</f>
        <v>700</v>
      </c>
      <c r="Y66" s="265"/>
      <c r="Z66" s="270">
        <f ca="1">IF(TblMili[[#This Row],[Set]]&lt;&gt;"",TblMili[[#This Row],[Set]],OFFSET(TblMili[[#This Row],[Draftrate]],-1,0))</f>
        <v>0.9</v>
      </c>
      <c r="AA66" s="97">
        <f ca="1">OFFSET(TblMili[[#This Row],[Draftees]],-1,0)+OFFSET(TblPop[[#This Row],[Draft Growth]],-1,0) - SUM(TblMili[[#This Row],[Train Unit 1]:[Train Spies]],TblMili[[#This Row],[Train Wiz]]) - TblMili[[#This Row],[Release Draft]] + SUM(TblMili[[#This Row],[Release Unit 1]:[Release AM]]) - TblExplore[[#This Row],[Draftees (2)]]</f>
        <v>599</v>
      </c>
      <c r="AB66" s="157"/>
      <c r="AC66" s="183">
        <f ca="1">(TblConstr[[#This Row],[Tot Smi]]+TblConstr[[#This Row],[Dest Smi]])/(TblConstr[[#This Row],[Land]]-TblExplore[[#This Row],[Land Bonus]]*20)</f>
        <v>0.18</v>
      </c>
      <c r="AD66" s="140"/>
      <c r="AE66" s="261">
        <f>TblMili[[#This Row],[Hour]]</f>
        <v>63</v>
      </c>
      <c r="AF66" s="141">
        <f ca="1">TblExplore[[#This Row],[Time]]</f>
        <v>45432.333333333183</v>
      </c>
      <c r="AG66" s="182"/>
      <c r="AH66" s="182"/>
      <c r="AI66" s="182"/>
      <c r="AJ66" s="182"/>
      <c r="AK66" s="182"/>
      <c r="AL66" s="182"/>
      <c r="AM66" s="182"/>
      <c r="AN66" s="182"/>
      <c r="AO66" s="145"/>
      <c r="AP66" s="97">
        <f ca="1">TblProd[[#This Row],[Platinum]]</f>
        <v>96824</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45432.333333333183</v>
      </c>
      <c r="AV66" s="97">
        <f ca="1">TblMili[[#This Row],[Draftees]]</f>
        <v>599</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192</v>
      </c>
      <c r="BJ66" s="97">
        <f ca="1">ROUNDUP(IF(race="Gnome",1,(1-MIN(TblMili[[#This Row],[Smithies]]*smithy_bonus,smithy_bonus_cap) + tech_3_5*TblTech[[#This Row],[3-5]] + tech_5_3*TblTech[[#This Row],[5-3]] + tech_5_5*TblTech[[#This Row],[5-5]]))*spec_op_ore,0)</f>
        <v>0</v>
      </c>
      <c r="BK66" s="97">
        <f ca="1">ROUNDUP((1-MIN(TblMili[[#This Row],[Smithies]]*smithy_bonus,smithy_bonus_cap) + tech_3_5*TblTech[[#This Row],[3-5]] + tech_5_3*TblTech[[#This Row],[5-3]] + tech_5_5*TblTech[[#This Row],[5-5]])*spec_dp_plat,0)</f>
        <v>192</v>
      </c>
      <c r="BL66" s="97">
        <f ca="1">ROUNDUP(IF(race="Gnome",1,(1-MIN(TblMili[[#This Row],[Smithies]]*smithy_bonus,smithy_bonus_cap) + tech_3_5*TblTech[[#This Row],[3-5]] + tech_5_3*TblTech[[#This Row],[5-3]] + tech_5_5*TblTech[[#This Row],[5-5]]))*spec_dp_ore,0)</f>
        <v>0</v>
      </c>
      <c r="BM66" s="97">
        <f ca="1">ROUNDUP((1-MIN(TblMili[[#This Row],[Smithies]]*smithy_bonus,smithy_bonus_cap) + tech_3_5*TblTech[[#This Row],[3-5]] + tech_5_3*TblTech[[#This Row],[5-3]] + tech_5_5*TblTech[[#This Row],[5-5]])*elite1_plat,0)</f>
        <v>592</v>
      </c>
      <c r="BN66" s="97">
        <f ca="1">ROUNDUP(IF(race="Gnome",1,(1-MIN(TblMili[[#This Row],[Smithies]]*smithy_bonus,smithy_bonus_cap) + tech_3_5*TblTech[[#This Row],[3-5]] + tech_5_3*TblTech[[#This Row],[5-3]] + tech_5_5*TblTech[[#This Row],[5-5]]))*elite1_ore,0)</f>
        <v>0</v>
      </c>
      <c r="BO66" s="97">
        <f ca="1">ROUNDUP((1-MIN(TblMili[[#This Row],[Smithies]]*smithy_bonus,smithy_bonus_cap) + tech_3_5*TblTech[[#This Row],[3-5]] + tech_5_3*TblTech[[#This Row],[5-3]] + tech_5_5*TblTech[[#This Row],[5-5]])*elite2_plat,0)</f>
        <v>608</v>
      </c>
      <c r="BP66" s="97">
        <f ca="1">ROUNDUP(IF(race="Gnome",1,(1-MIN(TblMili[[#This Row],[Smithies]]*smithy_bonus,smithy_bonus_cap) + tech_3_5*TblTech[[#This Row],[3-5]] + tech_5_3*TblTech[[#This Row],[5-3]] + tech_5_5*TblTech[[#This Row],[5-5]]))*elite2_ore,0)</f>
        <v>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5.7142857142857141E-2</v>
      </c>
      <c r="BW66" s="160">
        <f ca="1">TblMili[[#This Row],[WG''s]]</f>
        <v>0</v>
      </c>
      <c r="BX66" s="266">
        <f ca="1">IF(mystic_cap="none",TblMili[[#This Row],[Hill]]/mystic_bonus,MIN(mystic_cap,TblMili[[#This Row],[Hill]]/mystic_bonus))</f>
        <v>0.2857142857142857</v>
      </c>
      <c r="BY66" s="266">
        <f ca="1">IF(druid_op_cap="none",TblMili[[#This Row],[Hill]]/druid_op_bonus,MIN(druid_op_cap,TblMili[[#This Row],[Hill]]/druid_op_bonus))</f>
        <v>0.2857142857142857</v>
      </c>
      <c r="BZ66" s="266">
        <f ca="1">IF(druid_dp_cap="none",TblMili[[#This Row],[Hill]]/druid_dp_bonus,MIN(druid_dp_cap,TblMili[[#This Row],[Hill]]/druid_dp_bonus))</f>
        <v>0.2857142857142857</v>
      </c>
      <c r="CA66" s="266">
        <f ca="1">MIN(dryad_cap,TblMili[[#This Row],[Hill]]/dryad_bonus)</f>
        <v>0.2857142857142857</v>
      </c>
      <c r="CB66" s="266">
        <f ca="1">MIN(rocka_cap,TblMili[[#This Row],[Hill]]/rocka_bonus)</f>
        <v>0.2857142857142857</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0.2857142857142857</v>
      </c>
      <c r="CH66" s="45">
        <f ca="1">MIN(ice_elem_cap,TblMili[[#This Row],[Raw (2)]]*ice_elem_bonus)</f>
        <v>0</v>
      </c>
      <c r="CI66" s="266">
        <f t="shared" si="2"/>
        <v>0.83333333333333337</v>
      </c>
      <c r="CJ66" s="266">
        <f ca="1">MIN(nox_nightshade_cap,TblConstr[[#This Row],[Homeland]]/TblConstr[[#This Row],[Land]]/nox_nightshade_swamp_bonus)</f>
        <v>0.5714285714285714</v>
      </c>
      <c r="CK66" s="267"/>
      <c r="CL66" s="267"/>
      <c r="CM66" s="267"/>
      <c r="CN66" s="266">
        <f ca="1">MIN(6,TblMili[[#This Row],[Mystic]]+Races!$F$19)*1.8 +  IF(TblMili[[#This Row],[Mystic]]+Races!$F$19&gt;6,(TblMili[[#This Row],[Mystic]]+Races!$F$19-6)*0.2,0) - Races!$I$19</f>
        <v>0.51428571428571423</v>
      </c>
      <c r="CO6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6" s="97">
        <f ca="1">TblMili[[#This Row],[Mystic bonus]]*TblMili[[#This Row],[Unit 3]]+TblMili[[#This Row],[Druid bonus]]*TblMili[[#This Row],[Unit 4]]</f>
        <v>0</v>
      </c>
      <c r="CQ66" s="158">
        <f ca="1">MIN(6,TblMili[[#This Row],[Dryad]]+Races!$F$35)*1.8 +  IF(TblMili[[#This Row],[Dryad]]+Races!$F$35&gt;6,(TblMili[[#This Row],[Dryad]]+Races!$F$35-6)*0.2,0) - Races!$I$19</f>
        <v>-1.2857142857142856</v>
      </c>
      <c r="CR66" s="97">
        <f ca="1">sylvan*(TblMili[[#This Row],[Mystic bonus]]*TblMili[[#This Row],[Unit 3]])</f>
        <v>0</v>
      </c>
      <c r="CS66" s="158">
        <f ca="1">1.8 * MIN(MAX(Races!$E$27,TblMili[[#This Row],[Rockapult]]+Races!$F$27),6)  +  0.45 * MIN(MIN(Races!$E$27,TblMili[[#This Row],[Rockapult]]+Races!$F$27),6)  +  0.2 * ( MAX(Races!$E$27-6,0) + MAX(TblMili[[#This Row],[Rockapult]]+Races!$F$27-6,0) )  -  Races!$I$20</f>
        <v>2.7642857142857133</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0.51428571428571423</v>
      </c>
      <c r="CX66" s="158">
        <f ca="1">1.8 * MIN(MAX(TblMili[[#This Row],[Ice Elemental]]+Races!$E$71,Races!$F$71),6)  +  0.45 * MIN(MIN(TblMili[[#This Row],[Ice Elemental]]+Races!$E$71,Races!$F$71),6)  +  0.2 * ( MAX(TblMili[[#This Row],[Ice Elemental]]+Races!$E$71-6,0) + MAX(Races!$F$71-6,0) )  -  Races!$I$71</f>
        <v>0</v>
      </c>
      <c r="CY66" s="97">
        <f ca="1">TblMili[[#This Row],[Frost Mage bonus]]*TblMili[[#This Row],[Unit 3]]+TblMili[[#This Row],[Ice Elemental bonus]]*TblMili[[#This Row],[Unit 4]]</f>
        <v>0</v>
      </c>
      <c r="CZ66" s="268"/>
      <c r="DA66" s="146">
        <f ca="1">MIN(SUM(TblConstr[[#This Row],[Plain]:[Water]])/TblMili[[#This Row],[Land]]/favorable_terrain_bonus/100,favorable_terrain_max)</f>
        <v>0</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16955</v>
      </c>
      <c r="DD66" s="145"/>
      <c r="DE66" s="269">
        <f ca="1">(TblMili[[#This Row],[Wizards]]+2*TblMili[[#This Row],[Archmages]])/TblConstr[[#This Row],[Land]]</f>
        <v>0</v>
      </c>
      <c r="DF66" s="269">
        <f ca="1">TblMili[[#This Row],[Raw (2)]]*(1+race_wizard_strength+IF(TblMili[[#This Row],[Hour]]&gt;72,tech_magical_weaponry_wiz*TblTech[[#This Row],[3-5]],0))</f>
        <v>0</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2012</v>
      </c>
      <c r="C67" s="160">
        <f ca="1">TblPop[[#This Row],[Military%]]</f>
        <v>0.16539251952322237</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5"/>
      <c r="N67" s="97">
        <f ca="1">TblProd[[#This Row],[Networth]]</f>
        <v>17010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0</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0</v>
      </c>
      <c r="X67" s="262">
        <f ca="1">TblConstr[[#This Row],[Land]]</f>
        <v>700</v>
      </c>
      <c r="Y67" s="265"/>
      <c r="Z67" s="270">
        <f ca="1">IF(TblMili[[#This Row],[Set]]&lt;&gt;"",TblMili[[#This Row],[Set]],OFFSET(TblMili[[#This Row],[Draftrate]],-1,0))</f>
        <v>0.9</v>
      </c>
      <c r="AA67" s="97">
        <f ca="1">OFFSET(TblMili[[#This Row],[Draftees]],-1,0)+OFFSET(TblPop[[#This Row],[Draft Growth]],-1,0) - SUM(TblMili[[#This Row],[Train Unit 1]:[Train Spies]],TblMili[[#This Row],[Train Wiz]]) - TblMili[[#This Row],[Release Draft]] + SUM(TblMili[[#This Row],[Release Unit 1]:[Release AM]]) - TblExplore[[#This Row],[Draftees (2)]]</f>
        <v>0</v>
      </c>
      <c r="AB67" s="157"/>
      <c r="AC67" s="183">
        <f ca="1">(TblConstr[[#This Row],[Tot Smi]]+TblConstr[[#This Row],[Dest Smi]])/(TblConstr[[#This Row],[Land]]-TblExplore[[#This Row],[Land Bonus]]*20)</f>
        <v>0.18</v>
      </c>
      <c r="AD67" s="140"/>
      <c r="AE67" s="261">
        <f>TblMili[[#This Row],[Hour]]</f>
        <v>64</v>
      </c>
      <c r="AF67" s="141">
        <f ca="1">TblExplore[[#This Row],[Time]]</f>
        <v>45432.374999999847</v>
      </c>
      <c r="AG67" s="161"/>
      <c r="AH67" s="161">
        <v>699</v>
      </c>
      <c r="AI67" s="182"/>
      <c r="AJ67" s="182"/>
      <c r="AK67" s="182"/>
      <c r="AL67" s="182"/>
      <c r="AM67" s="182"/>
      <c r="AN67" s="182"/>
      <c r="AO67" s="145"/>
      <c r="AP67" s="97">
        <f ca="1">TblProd[[#This Row],[Platinum]]</f>
        <v>7459</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45432.374999999847</v>
      </c>
      <c r="AV67" s="97">
        <f ca="1">TblMili[[#This Row],[Draftees]]</f>
        <v>0</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192</v>
      </c>
      <c r="BJ67" s="97">
        <f ca="1">ROUNDUP(IF(race="Gnome",1,(1-MIN(TblMili[[#This Row],[Smithies]]*smithy_bonus,smithy_bonus_cap) + tech_3_5*TblTech[[#This Row],[3-5]] + tech_5_3*TblTech[[#This Row],[5-3]] + tech_5_5*TblTech[[#This Row],[5-5]]))*spec_op_ore,0)</f>
        <v>0</v>
      </c>
      <c r="BK67" s="97">
        <f ca="1">ROUNDUP((1-MIN(TblMili[[#This Row],[Smithies]]*smithy_bonus,smithy_bonus_cap) + tech_3_5*TblTech[[#This Row],[3-5]] + tech_5_3*TblTech[[#This Row],[5-3]] + tech_5_5*TblTech[[#This Row],[5-5]])*spec_dp_plat,0)</f>
        <v>192</v>
      </c>
      <c r="BL67" s="97">
        <f ca="1">ROUNDUP(IF(race="Gnome",1,(1-MIN(TblMili[[#This Row],[Smithies]]*smithy_bonus,smithy_bonus_cap) + tech_3_5*TblTech[[#This Row],[3-5]] + tech_5_3*TblTech[[#This Row],[5-3]] + tech_5_5*TblTech[[#This Row],[5-5]]))*spec_dp_ore,0)</f>
        <v>0</v>
      </c>
      <c r="BM67" s="97">
        <f ca="1">ROUNDUP((1-MIN(TblMili[[#This Row],[Smithies]]*smithy_bonus,smithy_bonus_cap) + tech_3_5*TblTech[[#This Row],[3-5]] + tech_5_3*TblTech[[#This Row],[5-3]] + tech_5_5*TblTech[[#This Row],[5-5]])*elite1_plat,0)</f>
        <v>592</v>
      </c>
      <c r="BN67" s="97">
        <f ca="1">ROUNDUP(IF(race="Gnome",1,(1-MIN(TblMili[[#This Row],[Smithies]]*smithy_bonus,smithy_bonus_cap) + tech_3_5*TblTech[[#This Row],[3-5]] + tech_5_3*TblTech[[#This Row],[5-3]] + tech_5_5*TblTech[[#This Row],[5-5]]))*elite1_ore,0)</f>
        <v>0</v>
      </c>
      <c r="BO67" s="97">
        <f ca="1">ROUNDUP((1-MIN(TblMili[[#This Row],[Smithies]]*smithy_bonus,smithy_bonus_cap) + tech_3_5*TblTech[[#This Row],[3-5]] + tech_5_3*TblTech[[#This Row],[5-3]] + tech_5_5*TblTech[[#This Row],[5-5]])*elite2_plat,0)</f>
        <v>608</v>
      </c>
      <c r="BP67" s="97">
        <f ca="1">ROUNDUP(IF(race="Gnome",1,(1-MIN(TblMili[[#This Row],[Smithies]]*smithy_bonus,smithy_bonus_cap) + tech_3_5*TblTech[[#This Row],[3-5]] + tech_5_3*TblTech[[#This Row],[5-3]] + tech_5_5*TblTech[[#This Row],[5-5]]))*elite2_ore,0)</f>
        <v>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5.7142857142857141E-2</v>
      </c>
      <c r="BW67" s="160">
        <f ca="1">TblMili[[#This Row],[WG''s]]</f>
        <v>0</v>
      </c>
      <c r="BX67" s="266">
        <f ca="1">IF(mystic_cap="none",TblMili[[#This Row],[Hill]]/mystic_bonus,MIN(mystic_cap,TblMili[[#This Row],[Hill]]/mystic_bonus))</f>
        <v>0.2857142857142857</v>
      </c>
      <c r="BY67" s="266">
        <f ca="1">IF(druid_op_cap="none",TblMili[[#This Row],[Hill]]/druid_op_bonus,MIN(druid_op_cap,TblMili[[#This Row],[Hill]]/druid_op_bonus))</f>
        <v>0.2857142857142857</v>
      </c>
      <c r="BZ67" s="266">
        <f ca="1">IF(druid_dp_cap="none",TblMili[[#This Row],[Hill]]/druid_dp_bonus,MIN(druid_dp_cap,TblMili[[#This Row],[Hill]]/druid_dp_bonus))</f>
        <v>0.2857142857142857</v>
      </c>
      <c r="CA67" s="266">
        <f ca="1">MIN(dryad_cap,TblMili[[#This Row],[Hill]]/dryad_bonus)</f>
        <v>0.2857142857142857</v>
      </c>
      <c r="CB67" s="266">
        <f ca="1">MIN(rocka_cap,TblMili[[#This Row],[Hill]]/rocka_bonus)</f>
        <v>0.2857142857142857</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0.2857142857142857</v>
      </c>
      <c r="CH67" s="45">
        <f ca="1">MIN(ice_elem_cap,TblMili[[#This Row],[Raw (2)]]*ice_elem_bonus)</f>
        <v>0</v>
      </c>
      <c r="CI67" s="266">
        <f t="shared" si="2"/>
        <v>0.83333333333333337</v>
      </c>
      <c r="CJ67" s="266">
        <f ca="1">MIN(nox_nightshade_cap,TblConstr[[#This Row],[Homeland]]/TblConstr[[#This Row],[Land]]/nox_nightshade_swamp_bonus)</f>
        <v>0.5714285714285714</v>
      </c>
      <c r="CK67" s="267"/>
      <c r="CL67" s="267"/>
      <c r="CM67" s="267"/>
      <c r="CN67" s="266">
        <f ca="1">MIN(6,TblMili[[#This Row],[Mystic]]+Races!$F$19)*1.8 +  IF(TblMili[[#This Row],[Mystic]]+Races!$F$19&gt;6,(TblMili[[#This Row],[Mystic]]+Races!$F$19-6)*0.2,0) - Races!$I$19</f>
        <v>0.51428571428571423</v>
      </c>
      <c r="CO6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7" s="97">
        <f ca="1">TblMili[[#This Row],[Mystic bonus]]*TblMili[[#This Row],[Unit 3]]+TblMili[[#This Row],[Druid bonus]]*TblMili[[#This Row],[Unit 4]]</f>
        <v>0</v>
      </c>
      <c r="CQ67" s="158">
        <f ca="1">MIN(6,TblMili[[#This Row],[Dryad]]+Races!$F$35)*1.8 +  IF(TblMili[[#This Row],[Dryad]]+Races!$F$35&gt;6,(TblMili[[#This Row],[Dryad]]+Races!$F$35-6)*0.2,0) - Races!$I$19</f>
        <v>-1.2857142857142856</v>
      </c>
      <c r="CR67" s="97">
        <f ca="1">sylvan*(TblMili[[#This Row],[Mystic bonus]]*TblMili[[#This Row],[Unit 3]])</f>
        <v>0</v>
      </c>
      <c r="CS67" s="158">
        <f ca="1">1.8 * MIN(MAX(Races!$E$27,TblMili[[#This Row],[Rockapult]]+Races!$F$27),6)  +  0.45 * MIN(MIN(Races!$E$27,TblMili[[#This Row],[Rockapult]]+Races!$F$27),6)  +  0.2 * ( MAX(Races!$E$27-6,0) + MAX(TblMili[[#This Row],[Rockapult]]+Races!$F$27-6,0) )  -  Races!$I$20</f>
        <v>2.7642857142857133</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0.51428571428571423</v>
      </c>
      <c r="CX67" s="158">
        <f ca="1">1.8 * MIN(MAX(TblMili[[#This Row],[Ice Elemental]]+Races!$E$71,Races!$F$71),6)  +  0.45 * MIN(MIN(TblMili[[#This Row],[Ice Elemental]]+Races!$E$71,Races!$F$71),6)  +  0.2 * ( MAX(TblMili[[#This Row],[Ice Elemental]]+Races!$E$71-6,0) + MAX(Races!$F$71-6,0) )  -  Races!$I$71</f>
        <v>0</v>
      </c>
      <c r="CY67" s="97">
        <f ca="1">TblMili[[#This Row],[Frost Mage bonus]]*TblMili[[#This Row],[Unit 3]]+TblMili[[#This Row],[Ice Elemental bonus]]*TblMili[[#This Row],[Unit 4]]</f>
        <v>0</v>
      </c>
      <c r="CZ67" s="268"/>
      <c r="DA67" s="146">
        <f ca="1">MIN(SUM(TblConstr[[#This Row],[Plain]:[Water]])/TblMili[[#This Row],[Land]]/favorable_terrain_bonus/100,favorable_terrain_max)</f>
        <v>0</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17010</v>
      </c>
      <c r="DD67" s="145"/>
      <c r="DE67" s="269">
        <f ca="1">(TblMili[[#This Row],[Wizards]]+2*TblMili[[#This Row],[Archmages]])/TblConstr[[#This Row],[Land]]</f>
        <v>0</v>
      </c>
      <c r="DF67" s="269">
        <f ca="1">TblMili[[#This Row],[Raw (2)]]*(1+race_wizard_strength+IF(TblMili[[#This Row],[Hour]]&gt;72,tech_magical_weaponry_wiz*TblTech[[#This Row],[3-5]],0))</f>
        <v>0</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2114</v>
      </c>
      <c r="C68" s="160">
        <f ca="1">TblPop[[#This Row],[Military%]]</f>
        <v>0.17071791972866027</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5"/>
      <c r="N68" s="97">
        <f ca="1">TblProd[[#This Row],[Networth]]</f>
        <v>17065</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3</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3</v>
      </c>
      <c r="X68" s="262">
        <f ca="1">TblConstr[[#This Row],[Land]]</f>
        <v>700</v>
      </c>
      <c r="Y68" s="265"/>
      <c r="Z68" s="270">
        <f ca="1">IF(TblMili[[#This Row],[Set]]&lt;&gt;"",TblMili[[#This Row],[Set]],OFFSET(TblMili[[#This Row],[Draftrate]],-1,0))</f>
        <v>0.9</v>
      </c>
      <c r="AA68" s="97">
        <f ca="1">OFFSET(TblMili[[#This Row],[Draftees]],-1,0)+OFFSET(TblPop[[#This Row],[Draft Growth]],-1,0) - SUM(TblMili[[#This Row],[Train Unit 1]:[Train Spies]],TblMili[[#This Row],[Train Wiz]]) - TblMili[[#This Row],[Release Draft]] + SUM(TblMili[[#This Row],[Release Unit 1]:[Release AM]]) - TblExplore[[#This Row],[Draftees (2)]]</f>
        <v>3</v>
      </c>
      <c r="AB68" s="157"/>
      <c r="AC68" s="183">
        <f ca="1">(TblConstr[[#This Row],[Tot Smi]]+TblConstr[[#This Row],[Dest Smi]])/(TblConstr[[#This Row],[Land]]-TblExplore[[#This Row],[Land Bonus]]*20)</f>
        <v>0.18</v>
      </c>
      <c r="AD68" s="140"/>
      <c r="AE68" s="261">
        <f>TblMili[[#This Row],[Hour]]</f>
        <v>65</v>
      </c>
      <c r="AF68" s="141">
        <f ca="1">TblExplore[[#This Row],[Time]]</f>
        <v>45432.416666666511</v>
      </c>
      <c r="AG68" s="161"/>
      <c r="AH68" s="161">
        <v>99</v>
      </c>
      <c r="AI68" s="182"/>
      <c r="AJ68" s="182"/>
      <c r="AK68" s="182"/>
      <c r="AL68" s="182"/>
      <c r="AM68" s="182"/>
      <c r="AN68" s="182"/>
      <c r="AO68" s="145"/>
      <c r="AP68" s="97">
        <f ca="1">TblProd[[#This Row],[Platinum]]</f>
        <v>36150</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45432.416666666511</v>
      </c>
      <c r="AV68" s="97">
        <f ca="1">TblMili[[#This Row],[Draftees]]</f>
        <v>3</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192</v>
      </c>
      <c r="BJ68" s="97">
        <f ca="1">ROUNDUP(IF(race="Gnome",1,(1-MIN(TblMili[[#This Row],[Smithies]]*smithy_bonus,smithy_bonus_cap) + tech_3_5*TblTech[[#This Row],[3-5]] + tech_5_3*TblTech[[#This Row],[5-3]] + tech_5_5*TblTech[[#This Row],[5-5]]))*spec_op_ore,0)</f>
        <v>0</v>
      </c>
      <c r="BK68" s="97">
        <f ca="1">ROUNDUP((1-MIN(TblMili[[#This Row],[Smithies]]*smithy_bonus,smithy_bonus_cap) + tech_3_5*TblTech[[#This Row],[3-5]] + tech_5_3*TblTech[[#This Row],[5-3]] + tech_5_5*TblTech[[#This Row],[5-5]])*spec_dp_plat,0)</f>
        <v>192</v>
      </c>
      <c r="BL68" s="97">
        <f ca="1">ROUNDUP(IF(race="Gnome",1,(1-MIN(TblMili[[#This Row],[Smithies]]*smithy_bonus,smithy_bonus_cap) + tech_3_5*TblTech[[#This Row],[3-5]] + tech_5_3*TblTech[[#This Row],[5-3]] + tech_5_5*TblTech[[#This Row],[5-5]]))*spec_dp_ore,0)</f>
        <v>0</v>
      </c>
      <c r="BM68" s="97">
        <f ca="1">ROUNDUP((1-MIN(TblMili[[#This Row],[Smithies]]*smithy_bonus,smithy_bonus_cap) + tech_3_5*TblTech[[#This Row],[3-5]] + tech_5_3*TblTech[[#This Row],[5-3]] + tech_5_5*TblTech[[#This Row],[5-5]])*elite1_plat,0)</f>
        <v>592</v>
      </c>
      <c r="BN68" s="97">
        <f ca="1">ROUNDUP(IF(race="Gnome",1,(1-MIN(TblMili[[#This Row],[Smithies]]*smithy_bonus,smithy_bonus_cap) + tech_3_5*TblTech[[#This Row],[3-5]] + tech_5_3*TblTech[[#This Row],[5-3]] + tech_5_5*TblTech[[#This Row],[5-5]]))*elite1_ore,0)</f>
        <v>0</v>
      </c>
      <c r="BO68" s="97">
        <f ca="1">ROUNDUP((1-MIN(TblMili[[#This Row],[Smithies]]*smithy_bonus,smithy_bonus_cap) + tech_3_5*TblTech[[#This Row],[3-5]] + tech_5_3*TblTech[[#This Row],[5-3]] + tech_5_5*TblTech[[#This Row],[5-5]])*elite2_plat,0)</f>
        <v>608</v>
      </c>
      <c r="BP68" s="97">
        <f ca="1">ROUNDUP(IF(race="Gnome",1,(1-MIN(TblMili[[#This Row],[Smithies]]*smithy_bonus,smithy_bonus_cap) + tech_3_5*TblTech[[#This Row],[3-5]] + tech_5_3*TblTech[[#This Row],[5-3]] + tech_5_5*TblTech[[#This Row],[5-5]]))*elite2_ore,0)</f>
        <v>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5.7142857142857141E-2</v>
      </c>
      <c r="BW68" s="160">
        <f ca="1">TblMili[[#This Row],[WG''s]]</f>
        <v>0</v>
      </c>
      <c r="BX68" s="266">
        <f ca="1">IF(mystic_cap="none",TblMili[[#This Row],[Hill]]/mystic_bonus,MIN(mystic_cap,TblMili[[#This Row],[Hill]]/mystic_bonus))</f>
        <v>0.2857142857142857</v>
      </c>
      <c r="BY68" s="266">
        <f ca="1">IF(druid_op_cap="none",TblMili[[#This Row],[Hill]]/druid_op_bonus,MIN(druid_op_cap,TblMili[[#This Row],[Hill]]/druid_op_bonus))</f>
        <v>0.2857142857142857</v>
      </c>
      <c r="BZ68" s="266">
        <f ca="1">IF(druid_dp_cap="none",TblMili[[#This Row],[Hill]]/druid_dp_bonus,MIN(druid_dp_cap,TblMili[[#This Row],[Hill]]/druid_dp_bonus))</f>
        <v>0.2857142857142857</v>
      </c>
      <c r="CA68" s="266">
        <f ca="1">MIN(dryad_cap,TblMili[[#This Row],[Hill]]/dryad_bonus)</f>
        <v>0.2857142857142857</v>
      </c>
      <c r="CB68" s="266">
        <f ca="1">MIN(rocka_cap,TblMili[[#This Row],[Hill]]/rocka_bonus)</f>
        <v>0.2857142857142857</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0.2857142857142857</v>
      </c>
      <c r="CH68" s="45">
        <f ca="1">MIN(ice_elem_cap,TblMili[[#This Row],[Raw (2)]]*ice_elem_bonus)</f>
        <v>0</v>
      </c>
      <c r="CI68" s="266">
        <f t="shared" ref="CI68:CI99" si="3">MIN(bone_breaker_cap,250/bone_breaker_bonus)</f>
        <v>0.83333333333333337</v>
      </c>
      <c r="CJ68" s="266">
        <f ca="1">MIN(nox_nightshade_cap,TblConstr[[#This Row],[Homeland]]/TblConstr[[#This Row],[Land]]/nox_nightshade_swamp_bonus)</f>
        <v>0.5714285714285714</v>
      </c>
      <c r="CK68" s="267"/>
      <c r="CL68" s="267"/>
      <c r="CM68" s="267"/>
      <c r="CN68" s="266">
        <f ca="1">MIN(6,TblMili[[#This Row],[Mystic]]+Races!$F$19)*1.8 +  IF(TblMili[[#This Row],[Mystic]]+Races!$F$19&gt;6,(TblMili[[#This Row],[Mystic]]+Races!$F$19-6)*0.2,0) - Races!$I$19</f>
        <v>0.51428571428571423</v>
      </c>
      <c r="CO6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8" s="97">
        <f ca="1">TblMili[[#This Row],[Mystic bonus]]*TblMili[[#This Row],[Unit 3]]+TblMili[[#This Row],[Druid bonus]]*TblMili[[#This Row],[Unit 4]]</f>
        <v>0</v>
      </c>
      <c r="CQ68" s="158">
        <f ca="1">MIN(6,TblMili[[#This Row],[Dryad]]+Races!$F$35)*1.8 +  IF(TblMili[[#This Row],[Dryad]]+Races!$F$35&gt;6,(TblMili[[#This Row],[Dryad]]+Races!$F$35-6)*0.2,0) - Races!$I$19</f>
        <v>-1.2857142857142856</v>
      </c>
      <c r="CR68" s="97">
        <f ca="1">sylvan*(TblMili[[#This Row],[Mystic bonus]]*TblMili[[#This Row],[Unit 3]])</f>
        <v>0</v>
      </c>
      <c r="CS68" s="158">
        <f ca="1">1.8 * MIN(MAX(Races!$E$27,TblMili[[#This Row],[Rockapult]]+Races!$F$27),6)  +  0.45 * MIN(MIN(Races!$E$27,TblMili[[#This Row],[Rockapult]]+Races!$F$27),6)  +  0.2 * ( MAX(Races!$E$27-6,0) + MAX(TblMili[[#This Row],[Rockapult]]+Races!$F$27-6,0) )  -  Races!$I$20</f>
        <v>2.7642857142857133</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0.51428571428571423</v>
      </c>
      <c r="CX68" s="158">
        <f ca="1">1.8 * MIN(MAX(TblMili[[#This Row],[Ice Elemental]]+Races!$E$71,Races!$F$71),6)  +  0.45 * MIN(MIN(TblMili[[#This Row],[Ice Elemental]]+Races!$E$71,Races!$F$71),6)  +  0.2 * ( MAX(TblMili[[#This Row],[Ice Elemental]]+Races!$E$71-6,0) + MAX(Races!$F$71-6,0) )  -  Races!$I$71</f>
        <v>0</v>
      </c>
      <c r="CY68" s="97">
        <f ca="1">TblMili[[#This Row],[Frost Mage bonus]]*TblMili[[#This Row],[Unit 3]]+TblMili[[#This Row],[Ice Elemental bonus]]*TblMili[[#This Row],[Unit 4]]</f>
        <v>0</v>
      </c>
      <c r="CZ68" s="268"/>
      <c r="DA68" s="146">
        <f ca="1">MIN(SUM(TblConstr[[#This Row],[Plain]:[Water]])/TblMili[[#This Row],[Land]]/favorable_terrain_bonus/100,favorable_terrain_max)</f>
        <v>0</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17065</v>
      </c>
      <c r="DD68" s="145"/>
      <c r="DE68" s="269">
        <f ca="1">(TblMili[[#This Row],[Wizards]]+2*TblMili[[#This Row],[Archmages]])/TblConstr[[#This Row],[Land]]</f>
        <v>0</v>
      </c>
      <c r="DF68" s="269">
        <f ca="1">TblMili[[#This Row],[Raw (2)]]*(1+race_wizard_strength+IF(TblMili[[#This Row],[Hour]]&gt;72,tech_magical_weaponry_wiz*TblTech[[#This Row],[3-5]],0))</f>
        <v>0</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2217</v>
      </c>
      <c r="C69" s="160">
        <f ca="1">TblPop[[#This Row],[Military%]]</f>
        <v>0.17565961492750179</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5"/>
      <c r="N69" s="97">
        <f ca="1">TblProd[[#This Row],[Networth]]</f>
        <v>17125</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6</v>
      </c>
      <c r="X69" s="262">
        <f ca="1">TblConstr[[#This Row],[Land]]</f>
        <v>700</v>
      </c>
      <c r="Y69" s="265"/>
      <c r="Z69" s="270">
        <f ca="1">IF(TblMili[[#This Row],[Set]]&lt;&gt;"",TblMili[[#This Row],[Set]],OFFSET(TblMili[[#This Row],[Draftrate]],-1,0))</f>
        <v>0.9</v>
      </c>
      <c r="AA69" s="97">
        <f ca="1">OFFSET(TblMili[[#This Row],[Draftees]],-1,0)+OFFSET(TblPop[[#This Row],[Draft Growth]],-1,0) - SUM(TblMili[[#This Row],[Train Unit 1]:[Train Spies]],TblMili[[#This Row],[Train Wiz]]) - TblMili[[#This Row],[Release Draft]] + SUM(TblMili[[#This Row],[Release Unit 1]:[Release AM]]) - TblExplore[[#This Row],[Draftees (2)]]</f>
        <v>6</v>
      </c>
      <c r="AB69" s="157"/>
      <c r="AC69" s="183">
        <f ca="1">(TblConstr[[#This Row],[Tot Smi]]+TblConstr[[#This Row],[Dest Smi]])/(TblConstr[[#This Row],[Land]]-TblExplore[[#This Row],[Land Bonus]]*20)</f>
        <v>0.18</v>
      </c>
      <c r="AD69" s="140"/>
      <c r="AE69" s="261">
        <f>TblMili[[#This Row],[Hour]]</f>
        <v>66</v>
      </c>
      <c r="AF69" s="141">
        <f ca="1">TblExplore[[#This Row],[Time]]</f>
        <v>45432.458333333176</v>
      </c>
      <c r="AG69" s="182"/>
      <c r="AH69" s="161">
        <v>100</v>
      </c>
      <c r="AI69" s="182"/>
      <c r="AJ69" s="182"/>
      <c r="AK69" s="182"/>
      <c r="AL69" s="182"/>
      <c r="AM69" s="182"/>
      <c r="AN69" s="182"/>
      <c r="AO69" s="145"/>
      <c r="AP69" s="97">
        <f ca="1">TblProd[[#This Row],[Platinum]]</f>
        <v>64993</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45432.458333333176</v>
      </c>
      <c r="AV69" s="97">
        <f ca="1">TblMili[[#This Row],[Draftees]]</f>
        <v>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192</v>
      </c>
      <c r="BJ69" s="97">
        <f ca="1">ROUNDUP(IF(race="Gnome",1,(1-MIN(TblMili[[#This Row],[Smithies]]*smithy_bonus,smithy_bonus_cap) + tech_3_5*TblTech[[#This Row],[3-5]] + tech_5_3*TblTech[[#This Row],[5-3]] + tech_5_5*TblTech[[#This Row],[5-5]]))*spec_op_ore,0)</f>
        <v>0</v>
      </c>
      <c r="BK69" s="97">
        <f ca="1">ROUNDUP((1-MIN(TblMili[[#This Row],[Smithies]]*smithy_bonus,smithy_bonus_cap) + tech_3_5*TblTech[[#This Row],[3-5]] + tech_5_3*TblTech[[#This Row],[5-3]] + tech_5_5*TblTech[[#This Row],[5-5]])*spec_dp_plat,0)</f>
        <v>192</v>
      </c>
      <c r="BL69" s="97">
        <f ca="1">ROUNDUP(IF(race="Gnome",1,(1-MIN(TblMili[[#This Row],[Smithies]]*smithy_bonus,smithy_bonus_cap) + tech_3_5*TblTech[[#This Row],[3-5]] + tech_5_3*TblTech[[#This Row],[5-3]] + tech_5_5*TblTech[[#This Row],[5-5]]))*spec_dp_ore,0)</f>
        <v>0</v>
      </c>
      <c r="BM69" s="97">
        <f ca="1">ROUNDUP((1-MIN(TblMili[[#This Row],[Smithies]]*smithy_bonus,smithy_bonus_cap) + tech_3_5*TblTech[[#This Row],[3-5]] + tech_5_3*TblTech[[#This Row],[5-3]] + tech_5_5*TblTech[[#This Row],[5-5]])*elite1_plat,0)</f>
        <v>592</v>
      </c>
      <c r="BN69" s="97">
        <f ca="1">ROUNDUP(IF(race="Gnome",1,(1-MIN(TblMili[[#This Row],[Smithies]]*smithy_bonus,smithy_bonus_cap) + tech_3_5*TblTech[[#This Row],[3-5]] + tech_5_3*TblTech[[#This Row],[5-3]] + tech_5_5*TblTech[[#This Row],[5-5]]))*elite1_ore,0)</f>
        <v>0</v>
      </c>
      <c r="BO69" s="97">
        <f ca="1">ROUNDUP((1-MIN(TblMili[[#This Row],[Smithies]]*smithy_bonus,smithy_bonus_cap) + tech_3_5*TblTech[[#This Row],[3-5]] + tech_5_3*TblTech[[#This Row],[5-3]] + tech_5_5*TblTech[[#This Row],[5-5]])*elite2_plat,0)</f>
        <v>608</v>
      </c>
      <c r="BP69" s="97">
        <f ca="1">ROUNDUP(IF(race="Gnome",1,(1-MIN(TblMili[[#This Row],[Smithies]]*smithy_bonus,smithy_bonus_cap) + tech_3_5*TblTech[[#This Row],[3-5]] + tech_5_3*TblTech[[#This Row],[5-3]] + tech_5_5*TblTech[[#This Row],[5-5]]))*elite2_ore,0)</f>
        <v>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5.7142857142857141E-2</v>
      </c>
      <c r="BW69" s="160">
        <f ca="1">TblMili[[#This Row],[WG''s]]</f>
        <v>0</v>
      </c>
      <c r="BX69" s="266">
        <f ca="1">IF(mystic_cap="none",TblMili[[#This Row],[Hill]]/mystic_bonus,MIN(mystic_cap,TblMili[[#This Row],[Hill]]/mystic_bonus))</f>
        <v>0.2857142857142857</v>
      </c>
      <c r="BY69" s="266">
        <f ca="1">IF(druid_op_cap="none",TblMili[[#This Row],[Hill]]/druid_op_bonus,MIN(druid_op_cap,TblMili[[#This Row],[Hill]]/druid_op_bonus))</f>
        <v>0.2857142857142857</v>
      </c>
      <c r="BZ69" s="266">
        <f ca="1">IF(druid_dp_cap="none",TblMili[[#This Row],[Hill]]/druid_dp_bonus,MIN(druid_dp_cap,TblMili[[#This Row],[Hill]]/druid_dp_bonus))</f>
        <v>0.2857142857142857</v>
      </c>
      <c r="CA69" s="266">
        <f ca="1">MIN(dryad_cap,TblMili[[#This Row],[Hill]]/dryad_bonus)</f>
        <v>0.2857142857142857</v>
      </c>
      <c r="CB69" s="266">
        <f ca="1">MIN(rocka_cap,TblMili[[#This Row],[Hill]]/rocka_bonus)</f>
        <v>0.2857142857142857</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0.2857142857142857</v>
      </c>
      <c r="CH69" s="45">
        <f ca="1">MIN(ice_elem_cap,TblMili[[#This Row],[Raw (2)]]*ice_elem_bonus)</f>
        <v>0</v>
      </c>
      <c r="CI69" s="266">
        <f t="shared" si="3"/>
        <v>0.83333333333333337</v>
      </c>
      <c r="CJ69" s="266">
        <f ca="1">MIN(nox_nightshade_cap,TblConstr[[#This Row],[Homeland]]/TblConstr[[#This Row],[Land]]/nox_nightshade_swamp_bonus)</f>
        <v>0.5714285714285714</v>
      </c>
      <c r="CK69" s="267"/>
      <c r="CL69" s="267"/>
      <c r="CM69" s="267"/>
      <c r="CN69" s="266">
        <f ca="1">MIN(6,TblMili[[#This Row],[Mystic]]+Races!$F$19)*1.8 +  IF(TblMili[[#This Row],[Mystic]]+Races!$F$19&gt;6,(TblMili[[#This Row],[Mystic]]+Races!$F$19-6)*0.2,0) - Races!$I$19</f>
        <v>0.51428571428571423</v>
      </c>
      <c r="CO6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69" s="97">
        <f ca="1">TblMili[[#This Row],[Mystic bonus]]*TblMili[[#This Row],[Unit 3]]+TblMili[[#This Row],[Druid bonus]]*TblMili[[#This Row],[Unit 4]]</f>
        <v>0</v>
      </c>
      <c r="CQ69" s="158">
        <f ca="1">MIN(6,TblMili[[#This Row],[Dryad]]+Races!$F$35)*1.8 +  IF(TblMili[[#This Row],[Dryad]]+Races!$F$35&gt;6,(TblMili[[#This Row],[Dryad]]+Races!$F$35-6)*0.2,0) - Races!$I$19</f>
        <v>-1.2857142857142856</v>
      </c>
      <c r="CR69" s="97">
        <f ca="1">sylvan*(TblMili[[#This Row],[Mystic bonus]]*TblMili[[#This Row],[Unit 3]])</f>
        <v>0</v>
      </c>
      <c r="CS69" s="158">
        <f ca="1">1.8 * MIN(MAX(Races!$E$27,TblMili[[#This Row],[Rockapult]]+Races!$F$27),6)  +  0.45 * MIN(MIN(Races!$E$27,TblMili[[#This Row],[Rockapult]]+Races!$F$27),6)  +  0.2 * ( MAX(Races!$E$27-6,0) + MAX(TblMili[[#This Row],[Rockapult]]+Races!$F$27-6,0) )  -  Races!$I$20</f>
        <v>2.7642857142857133</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0.51428571428571423</v>
      </c>
      <c r="CX69" s="158">
        <f ca="1">1.8 * MIN(MAX(TblMili[[#This Row],[Ice Elemental]]+Races!$E$71,Races!$F$71),6)  +  0.45 * MIN(MIN(TblMili[[#This Row],[Ice Elemental]]+Races!$E$71,Races!$F$71),6)  +  0.2 * ( MAX(TblMili[[#This Row],[Ice Elemental]]+Races!$E$71-6,0) + MAX(Races!$F$71-6,0) )  -  Races!$I$71</f>
        <v>0</v>
      </c>
      <c r="CY69" s="97">
        <f ca="1">TblMili[[#This Row],[Frost Mage bonus]]*TblMili[[#This Row],[Unit 3]]+TblMili[[#This Row],[Ice Elemental bonus]]*TblMili[[#This Row],[Unit 4]]</f>
        <v>0</v>
      </c>
      <c r="CZ69" s="268"/>
      <c r="DA69" s="146">
        <f ca="1">MIN(SUM(TblConstr[[#This Row],[Plain]:[Water]])/TblMili[[#This Row],[Land]]/favorable_terrain_bonus/100,favorable_terrain_max)</f>
        <v>0</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17125</v>
      </c>
      <c r="DD69" s="145"/>
      <c r="DE69" s="269">
        <f ca="1">(TblMili[[#This Row],[Wizards]]+2*TblMili[[#This Row],[Archmages]])/TblConstr[[#This Row],[Land]]</f>
        <v>0</v>
      </c>
      <c r="DF69" s="269">
        <f ca="1">TblMili[[#This Row],[Raw (2)]]*(1+race_wizard_strength+IF(TblMili[[#This Row],[Hour]]&gt;72,tech_magical_weaponry_wiz*TblTech[[#This Row],[3-5]],0))</f>
        <v>0</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2321</v>
      </c>
      <c r="C70" s="160">
        <f ca="1">TblPop[[#This Row],[Military%]]</f>
        <v>0.18274151641603023</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5"/>
      <c r="N70" s="97">
        <f ca="1">TblProd[[#This Row],[Networth]]</f>
        <v>17165</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0</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0</v>
      </c>
      <c r="X70" s="262">
        <f ca="1">TblConstr[[#This Row],[Land]]</f>
        <v>700</v>
      </c>
      <c r="Y70" s="265"/>
      <c r="Z70" s="270">
        <f ca="1">IF(TblMili[[#This Row],[Set]]&lt;&gt;"",TblMili[[#This Row],[Set]],OFFSET(TblMili[[#This Row],[Draftrate]],-1,0))</f>
        <v>0.9</v>
      </c>
      <c r="AA70" s="97">
        <f ca="1">OFFSET(TblMili[[#This Row],[Draftees]],-1,0)+OFFSET(TblPop[[#This Row],[Draft Growth]],-1,0) - SUM(TblMili[[#This Row],[Train Unit 1]:[Train Spies]],TblMili[[#This Row],[Train Wiz]]) - TblMili[[#This Row],[Release Draft]] + SUM(TblMili[[#This Row],[Release Unit 1]:[Release AM]]) - TblExplore[[#This Row],[Draftees (2)]]</f>
        <v>0</v>
      </c>
      <c r="AB70" s="157"/>
      <c r="AC70" s="183">
        <f ca="1">(TblConstr[[#This Row],[Tot Smi]]+TblConstr[[#This Row],[Dest Smi]])/(TblConstr[[#This Row],[Land]]-TblExplore[[#This Row],[Land Bonus]]*20)</f>
        <v>0.18</v>
      </c>
      <c r="AD70" s="140"/>
      <c r="AE70" s="261">
        <f>TblMili[[#This Row],[Hour]]</f>
        <v>67</v>
      </c>
      <c r="AF70" s="141">
        <f ca="1">TblExplore[[#This Row],[Time]]</f>
        <v>45432.49999999984</v>
      </c>
      <c r="AG70" s="182"/>
      <c r="AH70" s="161">
        <v>52</v>
      </c>
      <c r="AI70" s="182"/>
      <c r="AJ70" s="182">
        <v>58</v>
      </c>
      <c r="AK70" s="182"/>
      <c r="AL70" s="182"/>
      <c r="AM70" s="182"/>
      <c r="AN70" s="182"/>
      <c r="AO70" s="145"/>
      <c r="AP70" s="97">
        <f ca="1">TblProd[[#This Row],[Platinum]]</f>
        <v>68189</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45432.49999999984</v>
      </c>
      <c r="AV70" s="97">
        <f ca="1">TblMili[[#This Row],[Draftees]]</f>
        <v>0</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192</v>
      </c>
      <c r="BJ70" s="97">
        <f ca="1">ROUNDUP(IF(race="Gnome",1,(1-MIN(TblMili[[#This Row],[Smithies]]*smithy_bonus,smithy_bonus_cap) + tech_3_5*TblTech[[#This Row],[3-5]] + tech_5_3*TblTech[[#This Row],[5-3]] + tech_5_5*TblTech[[#This Row],[5-5]]))*spec_op_ore,0)</f>
        <v>0</v>
      </c>
      <c r="BK70" s="97">
        <f ca="1">ROUNDUP((1-MIN(TblMili[[#This Row],[Smithies]]*smithy_bonus,smithy_bonus_cap) + tech_3_5*TblTech[[#This Row],[3-5]] + tech_5_3*TblTech[[#This Row],[5-3]] + tech_5_5*TblTech[[#This Row],[5-5]])*spec_dp_plat,0)</f>
        <v>192</v>
      </c>
      <c r="BL70" s="97">
        <f ca="1">ROUNDUP(IF(race="Gnome",1,(1-MIN(TblMili[[#This Row],[Smithies]]*smithy_bonus,smithy_bonus_cap) + tech_3_5*TblTech[[#This Row],[3-5]] + tech_5_3*TblTech[[#This Row],[5-3]] + tech_5_5*TblTech[[#This Row],[5-5]]))*spec_dp_ore,0)</f>
        <v>0</v>
      </c>
      <c r="BM70" s="97">
        <f ca="1">ROUNDUP((1-MIN(TblMili[[#This Row],[Smithies]]*smithy_bonus,smithy_bonus_cap) + tech_3_5*TblTech[[#This Row],[3-5]] + tech_5_3*TblTech[[#This Row],[5-3]] + tech_5_5*TblTech[[#This Row],[5-5]])*elite1_plat,0)</f>
        <v>592</v>
      </c>
      <c r="BN70" s="97">
        <f ca="1">ROUNDUP(IF(race="Gnome",1,(1-MIN(TblMili[[#This Row],[Smithies]]*smithy_bonus,smithy_bonus_cap) + tech_3_5*TblTech[[#This Row],[3-5]] + tech_5_3*TblTech[[#This Row],[5-3]] + tech_5_5*TblTech[[#This Row],[5-5]]))*elite1_ore,0)</f>
        <v>0</v>
      </c>
      <c r="BO70" s="97">
        <f ca="1">ROUNDUP((1-MIN(TblMili[[#This Row],[Smithies]]*smithy_bonus,smithy_bonus_cap) + tech_3_5*TblTech[[#This Row],[3-5]] + tech_5_3*TblTech[[#This Row],[5-3]] + tech_5_5*TblTech[[#This Row],[5-5]])*elite2_plat,0)</f>
        <v>608</v>
      </c>
      <c r="BP70" s="97">
        <f ca="1">ROUNDUP(IF(race="Gnome",1,(1-MIN(TblMili[[#This Row],[Smithies]]*smithy_bonus,smithy_bonus_cap) + tech_3_5*TblTech[[#This Row],[3-5]] + tech_5_3*TblTech[[#This Row],[5-3]] + tech_5_5*TblTech[[#This Row],[5-5]]))*elite2_ore,0)</f>
        <v>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5.7142857142857141E-2</v>
      </c>
      <c r="BW70" s="160">
        <f ca="1">TblMili[[#This Row],[WG''s]]</f>
        <v>0</v>
      </c>
      <c r="BX70" s="266">
        <f ca="1">IF(mystic_cap="none",TblMili[[#This Row],[Hill]]/mystic_bonus,MIN(mystic_cap,TblMili[[#This Row],[Hill]]/mystic_bonus))</f>
        <v>0.2857142857142857</v>
      </c>
      <c r="BY70" s="266">
        <f ca="1">IF(druid_op_cap="none",TblMili[[#This Row],[Hill]]/druid_op_bonus,MIN(druid_op_cap,TblMili[[#This Row],[Hill]]/druid_op_bonus))</f>
        <v>0.2857142857142857</v>
      </c>
      <c r="BZ70" s="266">
        <f ca="1">IF(druid_dp_cap="none",TblMili[[#This Row],[Hill]]/druid_dp_bonus,MIN(druid_dp_cap,TblMili[[#This Row],[Hill]]/druid_dp_bonus))</f>
        <v>0.2857142857142857</v>
      </c>
      <c r="CA70" s="266">
        <f ca="1">MIN(dryad_cap,TblMili[[#This Row],[Hill]]/dryad_bonus)</f>
        <v>0.2857142857142857</v>
      </c>
      <c r="CB70" s="266">
        <f ca="1">MIN(rocka_cap,TblMili[[#This Row],[Hill]]/rocka_bonus)</f>
        <v>0.2857142857142857</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0.2857142857142857</v>
      </c>
      <c r="CH70" s="45">
        <f ca="1">MIN(ice_elem_cap,TblMili[[#This Row],[Raw (2)]]*ice_elem_bonus)</f>
        <v>0</v>
      </c>
      <c r="CI70" s="266">
        <f t="shared" si="3"/>
        <v>0.83333333333333337</v>
      </c>
      <c r="CJ70" s="266">
        <f ca="1">MIN(nox_nightshade_cap,TblConstr[[#This Row],[Homeland]]/TblConstr[[#This Row],[Land]]/nox_nightshade_swamp_bonus)</f>
        <v>0.5714285714285714</v>
      </c>
      <c r="CK70" s="267"/>
      <c r="CL70" s="267"/>
      <c r="CM70" s="267"/>
      <c r="CN70" s="266">
        <f ca="1">MIN(6,TblMili[[#This Row],[Mystic]]+Races!$F$19)*1.8 +  IF(TblMili[[#This Row],[Mystic]]+Races!$F$19&gt;6,(TblMili[[#This Row],[Mystic]]+Races!$F$19-6)*0.2,0) - Races!$I$19</f>
        <v>0.51428571428571423</v>
      </c>
      <c r="CO7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0" s="97">
        <f ca="1">TblMili[[#This Row],[Mystic bonus]]*TblMili[[#This Row],[Unit 3]]+TblMili[[#This Row],[Druid bonus]]*TblMili[[#This Row],[Unit 4]]</f>
        <v>0</v>
      </c>
      <c r="CQ70" s="158">
        <f ca="1">MIN(6,TblMili[[#This Row],[Dryad]]+Races!$F$35)*1.8 +  IF(TblMili[[#This Row],[Dryad]]+Races!$F$35&gt;6,(TblMili[[#This Row],[Dryad]]+Races!$F$35-6)*0.2,0) - Races!$I$19</f>
        <v>-1.2857142857142856</v>
      </c>
      <c r="CR70" s="97">
        <f ca="1">sylvan*(TblMili[[#This Row],[Mystic bonus]]*TblMili[[#This Row],[Unit 3]])</f>
        <v>0</v>
      </c>
      <c r="CS70" s="158">
        <f ca="1">1.8 * MIN(MAX(Races!$E$27,TblMili[[#This Row],[Rockapult]]+Races!$F$27),6)  +  0.45 * MIN(MIN(Races!$E$27,TblMili[[#This Row],[Rockapult]]+Races!$F$27),6)  +  0.2 * ( MAX(Races!$E$27-6,0) + MAX(TblMili[[#This Row],[Rockapult]]+Races!$F$27-6,0) )  -  Races!$I$20</f>
        <v>2.7642857142857133</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0.51428571428571423</v>
      </c>
      <c r="CX70" s="158">
        <f ca="1">1.8 * MIN(MAX(TblMili[[#This Row],[Ice Elemental]]+Races!$E$71,Races!$F$71),6)  +  0.45 * MIN(MIN(TblMili[[#This Row],[Ice Elemental]]+Races!$E$71,Races!$F$71),6)  +  0.2 * ( MAX(TblMili[[#This Row],[Ice Elemental]]+Races!$E$71-6,0) + MAX(Races!$F$71-6,0) )  -  Races!$I$71</f>
        <v>0</v>
      </c>
      <c r="CY70" s="97">
        <f ca="1">TblMili[[#This Row],[Frost Mage bonus]]*TblMili[[#This Row],[Unit 3]]+TblMili[[#This Row],[Ice Elemental bonus]]*TblMili[[#This Row],[Unit 4]]</f>
        <v>0</v>
      </c>
      <c r="CZ70" s="268"/>
      <c r="DA70" s="146">
        <f ca="1">MIN(SUM(TblConstr[[#This Row],[Plain]:[Water]])/TblMili[[#This Row],[Land]]/favorable_terrain_bonus/100,favorable_terrain_max)</f>
        <v>0</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17165</v>
      </c>
      <c r="DD70" s="145"/>
      <c r="DE70" s="269">
        <f ca="1">(TblMili[[#This Row],[Wizards]]+2*TblMili[[#This Row],[Archmages]])/TblConstr[[#This Row],[Land]]</f>
        <v>0</v>
      </c>
      <c r="DF70" s="269">
        <f ca="1">TblMili[[#This Row],[Raw (2)]]*(1+race_wizard_strength+IF(TblMili[[#This Row],[Hour]]&gt;72,tech_magical_weaponry_wiz*TblTech[[#This Row],[3-5]],0))</f>
        <v>0</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2425</v>
      </c>
      <c r="C71" s="160">
        <f ca="1">TblPop[[#This Row],[Military%]]</f>
        <v>0.19092984804346114</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5"/>
      <c r="N71" s="97">
        <f ca="1">TblProd[[#This Row],[Networth]]</f>
        <v>17170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0</v>
      </c>
      <c r="U71" s="263">
        <f ca="1">race_defense + TblImps[[#This Row],[Walls]] + ROUND( MIN(gt_bonus*TblConstr[[#This Row],[Tot GT]]/TblConstr[[#This Row],[Land]],gt_bonus_cap), 4) + IF(TblMagic[[#This Row],[Active Howling]]&gt;0,howling_dp_bonus,IF(TblMagic[[#This Row],[Active Ares Call]]&gt;0,ares_call_bonus))</f>
        <v>2.5000000000000001E-3</v>
      </c>
      <c r="V71" s="264">
        <f ca="1">TblMili[[#This Row],[Non Draft]] * (1 + TblMili[[#This Row],[Mods_Def]])</f>
        <v>0</v>
      </c>
      <c r="W71" s="262">
        <f ca="1">TblMili[[#This Row],[Draft]] * (1 + TblMili[[#This Row],[Mods_Def]])</f>
        <v>0</v>
      </c>
      <c r="X71" s="262">
        <f ca="1">TblConstr[[#This Row],[Land]]</f>
        <v>700</v>
      </c>
      <c r="Y71" s="265"/>
      <c r="Z71" s="270">
        <f ca="1">IF(TblMili[[#This Row],[Set]]&lt;&gt;"",TblMili[[#This Row],[Set]],OFFSET(TblMili[[#This Row],[Draftrate]],-1,0))</f>
        <v>0.9</v>
      </c>
      <c r="AA71" s="97">
        <f ca="1">OFFSET(TblMili[[#This Row],[Draftees]],-1,0)+OFFSET(TblPop[[#This Row],[Draft Growth]],-1,0) - SUM(TblMili[[#This Row],[Train Unit 1]:[Train Spies]],TblMili[[#This Row],[Train Wiz]]) - TblMili[[#This Row],[Release Draft]] + SUM(TblMili[[#This Row],[Release Unit 1]:[Release AM]]) - TblExplore[[#This Row],[Draftees (2)]]</f>
        <v>0</v>
      </c>
      <c r="AB71" s="157"/>
      <c r="AC71" s="183">
        <f ca="1">(TblConstr[[#This Row],[Tot Smi]]+TblConstr[[#This Row],[Dest Smi]])/(TblConstr[[#This Row],[Land]]-TblExplore[[#This Row],[Land Bonus]]*20)</f>
        <v>0.18</v>
      </c>
      <c r="AD71" s="140"/>
      <c r="AE71" s="261">
        <f>TblMili[[#This Row],[Hour]]</f>
        <v>68</v>
      </c>
      <c r="AF71" s="141">
        <f ca="1">TblExplore[[#This Row],[Time]]</f>
        <v>45432.541666666504</v>
      </c>
      <c r="AG71" s="182"/>
      <c r="AH71" s="161">
        <v>52</v>
      </c>
      <c r="AI71" s="182"/>
      <c r="AJ71" s="182">
        <v>52</v>
      </c>
      <c r="AK71" s="182"/>
      <c r="AL71" s="182"/>
      <c r="AM71" s="182"/>
      <c r="AN71" s="182"/>
      <c r="AO71" s="145"/>
      <c r="AP71" s="97">
        <f ca="1">TblProd[[#This Row],[Platinum]]</f>
        <v>74962</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45432.541666666504</v>
      </c>
      <c r="AV71" s="97">
        <f ca="1">TblMili[[#This Row],[Draftees]]</f>
        <v>0</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192</v>
      </c>
      <c r="BJ71" s="97">
        <f ca="1">ROUNDUP(IF(race="Gnome",1,(1-MIN(TblMili[[#This Row],[Smithies]]*smithy_bonus,smithy_bonus_cap) + tech_3_5*TblTech[[#This Row],[3-5]] + tech_5_3*TblTech[[#This Row],[5-3]] + tech_5_5*TblTech[[#This Row],[5-5]]))*spec_op_ore,0)</f>
        <v>0</v>
      </c>
      <c r="BK71" s="97">
        <f ca="1">ROUNDUP((1-MIN(TblMili[[#This Row],[Smithies]]*smithy_bonus,smithy_bonus_cap) + tech_3_5*TblTech[[#This Row],[3-5]] + tech_5_3*TblTech[[#This Row],[5-3]] + tech_5_5*TblTech[[#This Row],[5-5]])*spec_dp_plat,0)</f>
        <v>192</v>
      </c>
      <c r="BL71" s="97">
        <f ca="1">ROUNDUP(IF(race="Gnome",1,(1-MIN(TblMili[[#This Row],[Smithies]]*smithy_bonus,smithy_bonus_cap) + tech_3_5*TblTech[[#This Row],[3-5]] + tech_5_3*TblTech[[#This Row],[5-3]] + tech_5_5*TblTech[[#This Row],[5-5]]))*spec_dp_ore,0)</f>
        <v>0</v>
      </c>
      <c r="BM71" s="97">
        <f ca="1">ROUNDUP((1-MIN(TblMili[[#This Row],[Smithies]]*smithy_bonus,smithy_bonus_cap) + tech_3_5*TblTech[[#This Row],[3-5]] + tech_5_3*TblTech[[#This Row],[5-3]] + tech_5_5*TblTech[[#This Row],[5-5]])*elite1_plat,0)</f>
        <v>592</v>
      </c>
      <c r="BN71" s="97">
        <f ca="1">ROUNDUP(IF(race="Gnome",1,(1-MIN(TblMili[[#This Row],[Smithies]]*smithy_bonus,smithy_bonus_cap) + tech_3_5*TblTech[[#This Row],[3-5]] + tech_5_3*TblTech[[#This Row],[5-3]] + tech_5_5*TblTech[[#This Row],[5-5]]))*elite1_ore,0)</f>
        <v>0</v>
      </c>
      <c r="BO71" s="97">
        <f ca="1">ROUNDUP((1-MIN(TblMili[[#This Row],[Smithies]]*smithy_bonus,smithy_bonus_cap) + tech_3_5*TblTech[[#This Row],[3-5]] + tech_5_3*TblTech[[#This Row],[5-3]] + tech_5_5*TblTech[[#This Row],[5-5]])*elite2_plat,0)</f>
        <v>608</v>
      </c>
      <c r="BP71" s="97">
        <f ca="1">ROUNDUP(IF(race="Gnome",1,(1-MIN(TblMili[[#This Row],[Smithies]]*smithy_bonus,smithy_bonus_cap) + tech_3_5*TblTech[[#This Row],[3-5]] + tech_5_3*TblTech[[#This Row],[5-3]] + tech_5_5*TblTech[[#This Row],[5-5]]))*elite2_ore,0)</f>
        <v>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5.7142857142857141E-2</v>
      </c>
      <c r="BW71" s="160">
        <f ca="1">TblMili[[#This Row],[WG''s]]</f>
        <v>0</v>
      </c>
      <c r="BX71" s="266">
        <f ca="1">IF(mystic_cap="none",TblMili[[#This Row],[Hill]]/mystic_bonus,MIN(mystic_cap,TblMili[[#This Row],[Hill]]/mystic_bonus))</f>
        <v>0.2857142857142857</v>
      </c>
      <c r="BY71" s="266">
        <f ca="1">IF(druid_op_cap="none",TblMili[[#This Row],[Hill]]/druid_op_bonus,MIN(druid_op_cap,TblMili[[#This Row],[Hill]]/druid_op_bonus))</f>
        <v>0.2857142857142857</v>
      </c>
      <c r="BZ71" s="266">
        <f ca="1">IF(druid_dp_cap="none",TblMili[[#This Row],[Hill]]/druid_dp_bonus,MIN(druid_dp_cap,TblMili[[#This Row],[Hill]]/druid_dp_bonus))</f>
        <v>0.2857142857142857</v>
      </c>
      <c r="CA71" s="266">
        <f ca="1">MIN(dryad_cap,TblMili[[#This Row],[Hill]]/dryad_bonus)</f>
        <v>0.2857142857142857</v>
      </c>
      <c r="CB71" s="266">
        <f ca="1">MIN(rocka_cap,TblMili[[#This Row],[Hill]]/rocka_bonus)</f>
        <v>0.2857142857142857</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0.2857142857142857</v>
      </c>
      <c r="CH71" s="45">
        <f ca="1">MIN(ice_elem_cap,TblMili[[#This Row],[Raw (2)]]*ice_elem_bonus)</f>
        <v>0</v>
      </c>
      <c r="CI71" s="266">
        <f t="shared" si="3"/>
        <v>0.83333333333333337</v>
      </c>
      <c r="CJ71" s="266">
        <f ca="1">MIN(nox_nightshade_cap,TblConstr[[#This Row],[Homeland]]/TblConstr[[#This Row],[Land]]/nox_nightshade_swamp_bonus)</f>
        <v>0.5714285714285714</v>
      </c>
      <c r="CK71" s="267"/>
      <c r="CL71" s="267"/>
      <c r="CM71" s="267"/>
      <c r="CN71" s="266">
        <f ca="1">MIN(6,TblMili[[#This Row],[Mystic]]+Races!$F$19)*1.8 +  IF(TblMili[[#This Row],[Mystic]]+Races!$F$19&gt;6,(TblMili[[#This Row],[Mystic]]+Races!$F$19-6)*0.2,0) - Races!$I$19</f>
        <v>0.51428571428571423</v>
      </c>
      <c r="CO7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1" s="97">
        <f ca="1">TblMili[[#This Row],[Mystic bonus]]*TblMili[[#This Row],[Unit 3]]+TblMili[[#This Row],[Druid bonus]]*TblMili[[#This Row],[Unit 4]]</f>
        <v>0</v>
      </c>
      <c r="CQ71" s="158">
        <f ca="1">MIN(6,TblMili[[#This Row],[Dryad]]+Races!$F$35)*1.8 +  IF(TblMili[[#This Row],[Dryad]]+Races!$F$35&gt;6,(TblMili[[#This Row],[Dryad]]+Races!$F$35-6)*0.2,0) - Races!$I$19</f>
        <v>-1.2857142857142856</v>
      </c>
      <c r="CR71" s="97">
        <f ca="1">sylvan*(TblMili[[#This Row],[Mystic bonus]]*TblMili[[#This Row],[Unit 3]])</f>
        <v>0</v>
      </c>
      <c r="CS71" s="158">
        <f ca="1">1.8 * MIN(MAX(Races!$E$27,TblMili[[#This Row],[Rockapult]]+Races!$F$27),6)  +  0.45 * MIN(MIN(Races!$E$27,TblMili[[#This Row],[Rockapult]]+Races!$F$27),6)  +  0.2 * ( MAX(Races!$E$27-6,0) + MAX(TblMili[[#This Row],[Rockapult]]+Races!$F$27-6,0) )  -  Races!$I$20</f>
        <v>2.7642857142857133</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0.51428571428571423</v>
      </c>
      <c r="CX71" s="158">
        <f ca="1">1.8 * MIN(MAX(TblMili[[#This Row],[Ice Elemental]]+Races!$E$71,Races!$F$71),6)  +  0.45 * MIN(MIN(TblMili[[#This Row],[Ice Elemental]]+Races!$E$71,Races!$F$71),6)  +  0.2 * ( MAX(TblMili[[#This Row],[Ice Elemental]]+Races!$E$71-6,0) + MAX(Races!$F$71-6,0) )  -  Races!$I$71</f>
        <v>0</v>
      </c>
      <c r="CY71" s="97">
        <f ca="1">TblMili[[#This Row],[Frost Mage bonus]]*TblMili[[#This Row],[Unit 3]]+TblMili[[#This Row],[Ice Elemental bonus]]*TblMili[[#This Row],[Unit 4]]</f>
        <v>0</v>
      </c>
      <c r="CZ71" s="268"/>
      <c r="DA71" s="146">
        <f ca="1">MIN(SUM(TblConstr[[#This Row],[Plain]:[Water]])/TblMili[[#This Row],[Land]]/favorable_terrain_bonus/100,favorable_terrain_max)</f>
        <v>0</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17170</v>
      </c>
      <c r="DD71" s="145"/>
      <c r="DE71" s="269">
        <f ca="1">(TblMili[[#This Row],[Wizards]]+2*TblMili[[#This Row],[Archmages]])/TblConstr[[#This Row],[Land]]</f>
        <v>0</v>
      </c>
      <c r="DF71" s="269">
        <f ca="1">TblMili[[#This Row],[Raw (2)]]*(1+race_wizard_strength+IF(TblMili[[#This Row],[Hour]]&gt;72,tech_magical_weaponry_wiz*TblTech[[#This Row],[3-5]],0))</f>
        <v>0</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2528</v>
      </c>
      <c r="C72" s="160">
        <f ca="1">TblPop[[#This Row],[Military%]]</f>
        <v>0.199039445712936</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5"/>
      <c r="N72" s="97">
        <f ca="1">TblProd[[#This Row],[Networth]]</f>
        <v>17175</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0</v>
      </c>
      <c r="U72" s="263">
        <f ca="1">race_defense + TblImps[[#This Row],[Walls]] + ROUND( MIN(gt_bonus*TblConstr[[#This Row],[Tot GT]]/TblConstr[[#This Row],[Land]],gt_bonus_cap), 4) + IF(TblMagic[[#This Row],[Active Howling]]&gt;0,howling_dp_bonus,IF(TblMagic[[#This Row],[Active Ares Call]]&gt;0,ares_call_bonus))</f>
        <v>5.0000000000000001E-3</v>
      </c>
      <c r="V72" s="264">
        <f ca="1">TblMili[[#This Row],[Non Draft]] * (1 + TblMili[[#This Row],[Mods_Def]])</f>
        <v>0</v>
      </c>
      <c r="W72" s="262">
        <f ca="1">TblMili[[#This Row],[Draft]] * (1 + TblMili[[#This Row],[Mods_Def]])</f>
        <v>0</v>
      </c>
      <c r="X72" s="262">
        <f ca="1">TblConstr[[#This Row],[Land]]</f>
        <v>700</v>
      </c>
      <c r="Y72" s="265"/>
      <c r="Z72" s="270">
        <f ca="1">IF(TblMili[[#This Row],[Set]]&lt;&gt;"",TblMili[[#This Row],[Set]],OFFSET(TblMili[[#This Row],[Draftrate]],-1,0))</f>
        <v>0.9</v>
      </c>
      <c r="AA72" s="97">
        <f ca="1">OFFSET(TblMili[[#This Row],[Draftees]],-1,0)+OFFSET(TblPop[[#This Row],[Draft Growth]],-1,0) - SUM(TblMili[[#This Row],[Train Unit 1]:[Train Spies]],TblMili[[#This Row],[Train Wiz]]) - TblMili[[#This Row],[Release Draft]] + SUM(TblMili[[#This Row],[Release Unit 1]:[Release AM]]) - TblExplore[[#This Row],[Draftees (2)]]</f>
        <v>0</v>
      </c>
      <c r="AB72" s="157"/>
      <c r="AC72" s="183">
        <f ca="1">(TblConstr[[#This Row],[Tot Smi]]+TblConstr[[#This Row],[Dest Smi]])/(TblConstr[[#This Row],[Land]]-TblExplore[[#This Row],[Land Bonus]]*20)</f>
        <v>0.18</v>
      </c>
      <c r="AD72" s="140"/>
      <c r="AE72" s="261">
        <f>TblMili[[#This Row],[Hour]]</f>
        <v>69</v>
      </c>
      <c r="AF72" s="141">
        <f ca="1">TblExplore[[#This Row],[Time]]</f>
        <v>45432.583333333168</v>
      </c>
      <c r="AG72" s="182"/>
      <c r="AH72" s="161"/>
      <c r="AI72" s="182"/>
      <c r="AJ72" s="182">
        <v>103</v>
      </c>
      <c r="AK72" s="182"/>
      <c r="AL72" s="182"/>
      <c r="AM72" s="182"/>
      <c r="AN72" s="182"/>
      <c r="AO72" s="145"/>
      <c r="AP72" s="97">
        <f ca="1">TblProd[[#This Row],[Platinum]]</f>
        <v>60402</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45432.583333333168</v>
      </c>
      <c r="AV72" s="97">
        <f ca="1">TblMili[[#This Row],[Draftees]]</f>
        <v>0</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192</v>
      </c>
      <c r="BJ72" s="97">
        <f ca="1">ROUNDUP(IF(race="Gnome",1,(1-MIN(TblMili[[#This Row],[Smithies]]*smithy_bonus,smithy_bonus_cap) + tech_3_5*TblTech[[#This Row],[3-5]] + tech_5_3*TblTech[[#This Row],[5-3]] + tech_5_5*TblTech[[#This Row],[5-5]]))*spec_op_ore,0)</f>
        <v>0</v>
      </c>
      <c r="BK72" s="97">
        <f ca="1">ROUNDUP((1-MIN(TblMili[[#This Row],[Smithies]]*smithy_bonus,smithy_bonus_cap) + tech_3_5*TblTech[[#This Row],[3-5]] + tech_5_3*TblTech[[#This Row],[5-3]] + tech_5_5*TblTech[[#This Row],[5-5]])*spec_dp_plat,0)</f>
        <v>192</v>
      </c>
      <c r="BL72" s="97">
        <f ca="1">ROUNDUP(IF(race="Gnome",1,(1-MIN(TblMili[[#This Row],[Smithies]]*smithy_bonus,smithy_bonus_cap) + tech_3_5*TblTech[[#This Row],[3-5]] + tech_5_3*TblTech[[#This Row],[5-3]] + tech_5_5*TblTech[[#This Row],[5-5]]))*spec_dp_ore,0)</f>
        <v>0</v>
      </c>
      <c r="BM72" s="97">
        <f ca="1">ROUNDUP((1-MIN(TblMili[[#This Row],[Smithies]]*smithy_bonus,smithy_bonus_cap) + tech_3_5*TblTech[[#This Row],[3-5]] + tech_5_3*TblTech[[#This Row],[5-3]] + tech_5_5*TblTech[[#This Row],[5-5]])*elite1_plat,0)</f>
        <v>592</v>
      </c>
      <c r="BN72" s="97">
        <f ca="1">ROUNDUP(IF(race="Gnome",1,(1-MIN(TblMili[[#This Row],[Smithies]]*smithy_bonus,smithy_bonus_cap) + tech_3_5*TblTech[[#This Row],[3-5]] + tech_5_3*TblTech[[#This Row],[5-3]] + tech_5_5*TblTech[[#This Row],[5-5]]))*elite1_ore,0)</f>
        <v>0</v>
      </c>
      <c r="BO72" s="97">
        <f ca="1">ROUNDUP((1-MIN(TblMili[[#This Row],[Smithies]]*smithy_bonus,smithy_bonus_cap) + tech_3_5*TblTech[[#This Row],[3-5]] + tech_5_3*TblTech[[#This Row],[5-3]] + tech_5_5*TblTech[[#This Row],[5-5]])*elite2_plat,0)</f>
        <v>608</v>
      </c>
      <c r="BP72" s="97">
        <f ca="1">ROUNDUP(IF(race="Gnome",1,(1-MIN(TblMili[[#This Row],[Smithies]]*smithy_bonus,smithy_bonus_cap) + tech_3_5*TblTech[[#This Row],[3-5]] + tech_5_3*TblTech[[#This Row],[5-3]] + tech_5_5*TblTech[[#This Row],[5-5]]))*elite2_ore,0)</f>
        <v>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5.7142857142857141E-2</v>
      </c>
      <c r="BW72" s="160">
        <f ca="1">TblMili[[#This Row],[WG''s]]</f>
        <v>0</v>
      </c>
      <c r="BX72" s="266">
        <f ca="1">IF(mystic_cap="none",TblMili[[#This Row],[Hill]]/mystic_bonus,MIN(mystic_cap,TblMili[[#This Row],[Hill]]/mystic_bonus))</f>
        <v>0.2857142857142857</v>
      </c>
      <c r="BY72" s="266">
        <f ca="1">IF(druid_op_cap="none",TblMili[[#This Row],[Hill]]/druid_op_bonus,MIN(druid_op_cap,TblMili[[#This Row],[Hill]]/druid_op_bonus))</f>
        <v>0.2857142857142857</v>
      </c>
      <c r="BZ72" s="266">
        <f ca="1">IF(druid_dp_cap="none",TblMili[[#This Row],[Hill]]/druid_dp_bonus,MIN(druid_dp_cap,TblMili[[#This Row],[Hill]]/druid_dp_bonus))</f>
        <v>0.2857142857142857</v>
      </c>
      <c r="CA72" s="266">
        <f ca="1">MIN(dryad_cap,TblMili[[#This Row],[Hill]]/dryad_bonus)</f>
        <v>0.2857142857142857</v>
      </c>
      <c r="CB72" s="266">
        <f ca="1">MIN(rocka_cap,TblMili[[#This Row],[Hill]]/rocka_bonus)</f>
        <v>0.2857142857142857</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0.2857142857142857</v>
      </c>
      <c r="CH72" s="45">
        <f ca="1">MIN(ice_elem_cap,TblMili[[#This Row],[Raw (2)]]*ice_elem_bonus)</f>
        <v>0</v>
      </c>
      <c r="CI72" s="266">
        <f t="shared" si="3"/>
        <v>0.83333333333333337</v>
      </c>
      <c r="CJ72" s="266">
        <f ca="1">MIN(nox_nightshade_cap,TblConstr[[#This Row],[Homeland]]/TblConstr[[#This Row],[Land]]/nox_nightshade_swamp_bonus)</f>
        <v>0.5714285714285714</v>
      </c>
      <c r="CK72" s="267"/>
      <c r="CL72" s="267"/>
      <c r="CM72" s="267"/>
      <c r="CN72" s="266">
        <f ca="1">MIN(6,TblMili[[#This Row],[Mystic]]+Races!$F$19)*1.8 +  IF(TblMili[[#This Row],[Mystic]]+Races!$F$19&gt;6,(TblMili[[#This Row],[Mystic]]+Races!$F$19-6)*0.2,0) - Races!$I$19</f>
        <v>0.51428571428571423</v>
      </c>
      <c r="CO7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2" s="97">
        <f ca="1">TblMili[[#This Row],[Mystic bonus]]*TblMili[[#This Row],[Unit 3]]+TblMili[[#This Row],[Druid bonus]]*TblMili[[#This Row],[Unit 4]]</f>
        <v>0</v>
      </c>
      <c r="CQ72" s="158">
        <f ca="1">MIN(6,TblMili[[#This Row],[Dryad]]+Races!$F$35)*1.8 +  IF(TblMili[[#This Row],[Dryad]]+Races!$F$35&gt;6,(TblMili[[#This Row],[Dryad]]+Races!$F$35-6)*0.2,0) - Races!$I$19</f>
        <v>-1.2857142857142856</v>
      </c>
      <c r="CR72" s="97">
        <f ca="1">sylvan*(TblMili[[#This Row],[Mystic bonus]]*TblMili[[#This Row],[Unit 3]])</f>
        <v>0</v>
      </c>
      <c r="CS72" s="158">
        <f ca="1">1.8 * MIN(MAX(Races!$E$27,TblMili[[#This Row],[Rockapult]]+Races!$F$27),6)  +  0.45 * MIN(MIN(Races!$E$27,TblMili[[#This Row],[Rockapult]]+Races!$F$27),6)  +  0.2 * ( MAX(Races!$E$27-6,0) + MAX(TblMili[[#This Row],[Rockapult]]+Races!$F$27-6,0) )  -  Races!$I$20</f>
        <v>2.7642857142857133</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0.51428571428571423</v>
      </c>
      <c r="CX72" s="158">
        <f ca="1">1.8 * MIN(MAX(TblMili[[#This Row],[Ice Elemental]]+Races!$E$71,Races!$F$71),6)  +  0.45 * MIN(MIN(TblMili[[#This Row],[Ice Elemental]]+Races!$E$71,Races!$F$71),6)  +  0.2 * ( MAX(TblMili[[#This Row],[Ice Elemental]]+Races!$E$71-6,0) + MAX(Races!$F$71-6,0) )  -  Races!$I$71</f>
        <v>0</v>
      </c>
      <c r="CY72" s="97">
        <f ca="1">TblMili[[#This Row],[Frost Mage bonus]]*TblMili[[#This Row],[Unit 3]]+TblMili[[#This Row],[Ice Elemental bonus]]*TblMili[[#This Row],[Unit 4]]</f>
        <v>0</v>
      </c>
      <c r="CZ72" s="268"/>
      <c r="DA72" s="146">
        <f ca="1">MIN(SUM(TblConstr[[#This Row],[Plain]:[Water]])/TblMili[[#This Row],[Land]]/favorable_terrain_bonus/100,favorable_terrain_max)</f>
        <v>0</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17175</v>
      </c>
      <c r="DD72" s="145"/>
      <c r="DE72" s="269">
        <f ca="1">(TblMili[[#This Row],[Wizards]]+2*TblMili[[#This Row],[Archmages]])/TblConstr[[#This Row],[Land]]</f>
        <v>0</v>
      </c>
      <c r="DF72" s="269">
        <f ca="1">TblMili[[#This Row],[Raw (2)]]*(1+race_wizard_strength+IF(TblMili[[#This Row],[Hour]]&gt;72,tech_magical_weaponry_wiz*TblTech[[#This Row],[3-5]],0))</f>
        <v>0</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2630</v>
      </c>
      <c r="C73" s="160">
        <f ca="1">TblPop[[#This Row],[Military%]]</f>
        <v>0.20707030942445476</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5"/>
      <c r="N73" s="97">
        <f ca="1">TblProd[[#This Row],[Networth]]</f>
        <v>17180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0</v>
      </c>
      <c r="U73" s="263">
        <f ca="1">race_defense + TblImps[[#This Row],[Walls]] + ROUND( MIN(gt_bonus*TblConstr[[#This Row],[Tot GT]]/TblConstr[[#This Row],[Land]],gt_bonus_cap), 4) + IF(TblMagic[[#This Row],[Active Howling]]&gt;0,howling_dp_bonus,IF(TblMagic[[#This Row],[Active Ares Call]]&gt;0,ares_call_bonus))</f>
        <v>7.4999999999999997E-3</v>
      </c>
      <c r="V73" s="264">
        <f ca="1">TblMili[[#This Row],[Non Draft]] * (1 + TblMili[[#This Row],[Mods_Def]])</f>
        <v>0</v>
      </c>
      <c r="W73" s="262">
        <f ca="1">TblMili[[#This Row],[Draft]] * (1 + TblMili[[#This Row],[Mods_Def]])</f>
        <v>0</v>
      </c>
      <c r="X73" s="262">
        <f ca="1">TblConstr[[#This Row],[Land]]</f>
        <v>700</v>
      </c>
      <c r="Y73" s="265"/>
      <c r="Z73" s="270">
        <f ca="1">IF(TblMili[[#This Row],[Set]]&lt;&gt;"",TblMili[[#This Row],[Set]],OFFSET(TblMili[[#This Row],[Draftrate]],-1,0))</f>
        <v>0.9</v>
      </c>
      <c r="AA73" s="97">
        <f ca="1">OFFSET(TblMili[[#This Row],[Draftees]],-1,0)+OFFSET(TblPop[[#This Row],[Draft Growth]],-1,0) - SUM(TblMili[[#This Row],[Train Unit 1]:[Train Spies]],TblMili[[#This Row],[Train Wiz]]) - TblMili[[#This Row],[Release Draft]] + SUM(TblMili[[#This Row],[Release Unit 1]:[Release AM]]) - TblExplore[[#This Row],[Draftees (2)]]</f>
        <v>0</v>
      </c>
      <c r="AB73" s="157"/>
      <c r="AC73" s="183">
        <f ca="1">(TblConstr[[#This Row],[Tot Smi]]+TblConstr[[#This Row],[Dest Smi]])/(TblConstr[[#This Row],[Land]]-TblExplore[[#This Row],[Land Bonus]]*20)</f>
        <v>0.18</v>
      </c>
      <c r="AD73" s="140"/>
      <c r="AE73" s="261">
        <f>TblMili[[#This Row],[Hour]]</f>
        <v>70</v>
      </c>
      <c r="AF73" s="141">
        <f ca="1">TblExplore[[#This Row],[Time]]</f>
        <v>45432.624999999833</v>
      </c>
      <c r="AG73" s="182"/>
      <c r="AH73" s="161"/>
      <c r="AI73" s="182"/>
      <c r="AJ73" s="182">
        <v>102</v>
      </c>
      <c r="AK73" s="182"/>
      <c r="AL73" s="182"/>
      <c r="AM73" s="182"/>
      <c r="AN73" s="182"/>
      <c r="AO73" s="145"/>
      <c r="AP73" s="97">
        <f ca="1">TblProd[[#This Row],[Platinum]]</f>
        <v>46144</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45432.624999999833</v>
      </c>
      <c r="AV73" s="97">
        <f ca="1">TblMili[[#This Row],[Draftees]]</f>
        <v>0</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192</v>
      </c>
      <c r="BJ73" s="97">
        <f ca="1">ROUNDUP(IF(race="Gnome",1,(1-MIN(TblMili[[#This Row],[Smithies]]*smithy_bonus,smithy_bonus_cap) + tech_3_5*TblTech[[#This Row],[3-5]] + tech_5_3*TblTech[[#This Row],[5-3]] + tech_5_5*TblTech[[#This Row],[5-5]]))*spec_op_ore,0)</f>
        <v>0</v>
      </c>
      <c r="BK73" s="97">
        <f ca="1">ROUNDUP((1-MIN(TblMili[[#This Row],[Smithies]]*smithy_bonus,smithy_bonus_cap) + tech_3_5*TblTech[[#This Row],[3-5]] + tech_5_3*TblTech[[#This Row],[5-3]] + tech_5_5*TblTech[[#This Row],[5-5]])*spec_dp_plat,0)</f>
        <v>192</v>
      </c>
      <c r="BL73" s="97">
        <f ca="1">ROUNDUP(IF(race="Gnome",1,(1-MIN(TblMili[[#This Row],[Smithies]]*smithy_bonus,smithy_bonus_cap) + tech_3_5*TblTech[[#This Row],[3-5]] + tech_5_3*TblTech[[#This Row],[5-3]] + tech_5_5*TblTech[[#This Row],[5-5]]))*spec_dp_ore,0)</f>
        <v>0</v>
      </c>
      <c r="BM73" s="97">
        <f ca="1">ROUNDUP((1-MIN(TblMili[[#This Row],[Smithies]]*smithy_bonus,smithy_bonus_cap) + tech_3_5*TblTech[[#This Row],[3-5]] + tech_5_3*TblTech[[#This Row],[5-3]] + tech_5_5*TblTech[[#This Row],[5-5]])*elite1_plat,0)</f>
        <v>592</v>
      </c>
      <c r="BN73" s="97">
        <f ca="1">ROUNDUP(IF(race="Gnome",1,(1-MIN(TblMili[[#This Row],[Smithies]]*smithy_bonus,smithy_bonus_cap) + tech_3_5*TblTech[[#This Row],[3-5]] + tech_5_3*TblTech[[#This Row],[5-3]] + tech_5_5*TblTech[[#This Row],[5-5]]))*elite1_ore,0)</f>
        <v>0</v>
      </c>
      <c r="BO73" s="97">
        <f ca="1">ROUNDUP((1-MIN(TblMili[[#This Row],[Smithies]]*smithy_bonus,smithy_bonus_cap) + tech_3_5*TblTech[[#This Row],[3-5]] + tech_5_3*TblTech[[#This Row],[5-3]] + tech_5_5*TblTech[[#This Row],[5-5]])*elite2_plat,0)</f>
        <v>608</v>
      </c>
      <c r="BP73" s="97">
        <f ca="1">ROUNDUP(IF(race="Gnome",1,(1-MIN(TblMili[[#This Row],[Smithies]]*smithy_bonus,smithy_bonus_cap) + tech_3_5*TblTech[[#This Row],[3-5]] + tech_5_3*TblTech[[#This Row],[5-3]] + tech_5_5*TblTech[[#This Row],[5-5]]))*elite2_ore,0)</f>
        <v>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5.7142857142857141E-2</v>
      </c>
      <c r="BW73" s="160">
        <f ca="1">TblMili[[#This Row],[WG''s]]</f>
        <v>0</v>
      </c>
      <c r="BX73" s="266">
        <f ca="1">IF(mystic_cap="none",TblMili[[#This Row],[Hill]]/mystic_bonus,MIN(mystic_cap,TblMili[[#This Row],[Hill]]/mystic_bonus))</f>
        <v>0.2857142857142857</v>
      </c>
      <c r="BY73" s="266">
        <f ca="1">IF(druid_op_cap="none",TblMili[[#This Row],[Hill]]/druid_op_bonus,MIN(druid_op_cap,TblMili[[#This Row],[Hill]]/druid_op_bonus))</f>
        <v>0.2857142857142857</v>
      </c>
      <c r="BZ73" s="266">
        <f ca="1">IF(druid_dp_cap="none",TblMili[[#This Row],[Hill]]/druid_dp_bonus,MIN(druid_dp_cap,TblMili[[#This Row],[Hill]]/druid_dp_bonus))</f>
        <v>0.2857142857142857</v>
      </c>
      <c r="CA73" s="266">
        <f ca="1">MIN(dryad_cap,TblMili[[#This Row],[Hill]]/dryad_bonus)</f>
        <v>0.2857142857142857</v>
      </c>
      <c r="CB73" s="266">
        <f ca="1">MIN(rocka_cap,TblMili[[#This Row],[Hill]]/rocka_bonus)</f>
        <v>0.2857142857142857</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0.2857142857142857</v>
      </c>
      <c r="CH73" s="45">
        <f ca="1">MIN(ice_elem_cap,TblMili[[#This Row],[Raw (2)]]*ice_elem_bonus)</f>
        <v>0</v>
      </c>
      <c r="CI73" s="266">
        <f t="shared" si="3"/>
        <v>0.83333333333333337</v>
      </c>
      <c r="CJ73" s="266">
        <f ca="1">MIN(nox_nightshade_cap,TblConstr[[#This Row],[Homeland]]/TblConstr[[#This Row],[Land]]/nox_nightshade_swamp_bonus)</f>
        <v>0.5714285714285714</v>
      </c>
      <c r="CK73" s="267"/>
      <c r="CL73" s="267"/>
      <c r="CM73" s="267"/>
      <c r="CN73" s="266">
        <f ca="1">MIN(6,TblMili[[#This Row],[Mystic]]+Races!$F$19)*1.8 +  IF(TblMili[[#This Row],[Mystic]]+Races!$F$19&gt;6,(TblMili[[#This Row],[Mystic]]+Races!$F$19-6)*0.2,0) - Races!$I$19</f>
        <v>0.51428571428571423</v>
      </c>
      <c r="CO7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3" s="97">
        <f ca="1">TblMili[[#This Row],[Mystic bonus]]*TblMili[[#This Row],[Unit 3]]+TblMili[[#This Row],[Druid bonus]]*TblMili[[#This Row],[Unit 4]]</f>
        <v>0</v>
      </c>
      <c r="CQ73" s="158">
        <f ca="1">MIN(6,TblMili[[#This Row],[Dryad]]+Races!$F$35)*1.8 +  IF(TblMili[[#This Row],[Dryad]]+Races!$F$35&gt;6,(TblMili[[#This Row],[Dryad]]+Races!$F$35-6)*0.2,0) - Races!$I$19</f>
        <v>-1.2857142857142856</v>
      </c>
      <c r="CR73" s="97">
        <f ca="1">sylvan*(TblMili[[#This Row],[Mystic bonus]]*TblMili[[#This Row],[Unit 3]])</f>
        <v>0</v>
      </c>
      <c r="CS73" s="158">
        <f ca="1">1.8 * MIN(MAX(Races!$E$27,TblMili[[#This Row],[Rockapult]]+Races!$F$27),6)  +  0.45 * MIN(MIN(Races!$E$27,TblMili[[#This Row],[Rockapult]]+Races!$F$27),6)  +  0.2 * ( MAX(Races!$E$27-6,0) + MAX(TblMili[[#This Row],[Rockapult]]+Races!$F$27-6,0) )  -  Races!$I$20</f>
        <v>2.7642857142857133</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0.51428571428571423</v>
      </c>
      <c r="CX73" s="158">
        <f ca="1">1.8 * MIN(MAX(TblMili[[#This Row],[Ice Elemental]]+Races!$E$71,Races!$F$71),6)  +  0.45 * MIN(MIN(TblMili[[#This Row],[Ice Elemental]]+Races!$E$71,Races!$F$71),6)  +  0.2 * ( MAX(TblMili[[#This Row],[Ice Elemental]]+Races!$E$71-6,0) + MAX(Races!$F$71-6,0) )  -  Races!$I$71</f>
        <v>0</v>
      </c>
      <c r="CY73" s="97">
        <f ca="1">TblMili[[#This Row],[Frost Mage bonus]]*TblMili[[#This Row],[Unit 3]]+TblMili[[#This Row],[Ice Elemental bonus]]*TblMili[[#This Row],[Unit 4]]</f>
        <v>0</v>
      </c>
      <c r="CZ73" s="268"/>
      <c r="DA73" s="146">
        <f ca="1">MIN(SUM(TblConstr[[#This Row],[Plain]:[Water]])/TblMili[[#This Row],[Land]]/favorable_terrain_bonus/100,favorable_terrain_max)</f>
        <v>0</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17180</v>
      </c>
      <c r="DD73" s="145"/>
      <c r="DE73" s="269">
        <f ca="1">(TblMili[[#This Row],[Wizards]]+2*TblMili[[#This Row],[Archmages]])/TblConstr[[#This Row],[Land]]</f>
        <v>0</v>
      </c>
      <c r="DF73" s="269">
        <f ca="1">TblMili[[#This Row],[Raw (2)]]*(1+race_wizard_strength+IF(TblMili[[#This Row],[Hour]]&gt;72,tech_magical_weaponry_wiz*TblTech[[#This Row],[3-5]],0))</f>
        <v>0</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2731</v>
      </c>
      <c r="C74" s="160">
        <f ca="1">TblPop[[#This Row],[Military%]]</f>
        <v>0.21502243917801747</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5"/>
      <c r="N74" s="97">
        <f ca="1">TblProd[[#This Row],[Networth]]</f>
        <v>17185</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0</v>
      </c>
      <c r="U74" s="263">
        <f ca="1">race_defense + TblImps[[#This Row],[Walls]] + ROUND( MIN(gt_bonus*TblConstr[[#This Row],[Tot GT]]/TblConstr[[#This Row],[Land]],gt_bonus_cap), 4) + IF(TblMagic[[#This Row],[Active Howling]]&gt;0,howling_dp_bonus,IF(TblMagic[[#This Row],[Active Ares Call]]&gt;0,ares_call_bonus))</f>
        <v>0.01</v>
      </c>
      <c r="V74" s="264">
        <f ca="1">TblMili[[#This Row],[Non Draft]] * (1 + TblMili[[#This Row],[Mods_Def]])</f>
        <v>0</v>
      </c>
      <c r="W74" s="262">
        <f ca="1">TblMili[[#This Row],[Draft]] * (1 + TblMili[[#This Row],[Mods_Def]])</f>
        <v>0</v>
      </c>
      <c r="X74" s="262">
        <f ca="1">TblConstr[[#This Row],[Land]]</f>
        <v>700</v>
      </c>
      <c r="Y74" s="265"/>
      <c r="Z74" s="270">
        <f ca="1">IF(TblMili[[#This Row],[Set]]&lt;&gt;"",TblMili[[#This Row],[Set]],OFFSET(TblMili[[#This Row],[Draftrate]],-1,0))</f>
        <v>0.9</v>
      </c>
      <c r="AA74" s="97">
        <f ca="1">OFFSET(TblMili[[#This Row],[Draftees]],-1,0)+OFFSET(TblPop[[#This Row],[Draft Growth]],-1,0) - SUM(TblMili[[#This Row],[Train Unit 1]:[Train Spies]],TblMili[[#This Row],[Train Wiz]]) - TblMili[[#This Row],[Release Draft]] + SUM(TblMili[[#This Row],[Release Unit 1]:[Release AM]]) - TblExplore[[#This Row],[Draftees (2)]]</f>
        <v>0</v>
      </c>
      <c r="AB74" s="157"/>
      <c r="AC74" s="183">
        <f ca="1">(TblConstr[[#This Row],[Tot Smi]]+TblConstr[[#This Row],[Dest Smi]])/(TblConstr[[#This Row],[Land]]-TblExplore[[#This Row],[Land Bonus]]*20)</f>
        <v>0.18</v>
      </c>
      <c r="AD74" s="140"/>
      <c r="AE74" s="261">
        <f>TblMili[[#This Row],[Hour]]</f>
        <v>71</v>
      </c>
      <c r="AF74" s="141">
        <f ca="1">TblExplore[[#This Row],[Time]]</f>
        <v>45432.666666666497</v>
      </c>
      <c r="AG74" s="182"/>
      <c r="AH74" s="161"/>
      <c r="AI74" s="182"/>
      <c r="AJ74" s="182">
        <v>101</v>
      </c>
      <c r="AK74" s="182"/>
      <c r="AL74" s="182"/>
      <c r="AM74" s="182"/>
      <c r="AN74" s="182"/>
      <c r="AO74" s="145"/>
      <c r="AP74" s="97">
        <f ca="1">TblProd[[#This Row],[Platinum]]</f>
        <v>32191</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45432.666666666497</v>
      </c>
      <c r="AV74" s="97">
        <f ca="1">TblMili[[#This Row],[Draftees]]</f>
        <v>0</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192</v>
      </c>
      <c r="BJ74" s="97">
        <f ca="1">ROUNDUP(IF(race="Gnome",1,(1-MIN(TblMili[[#This Row],[Smithies]]*smithy_bonus,smithy_bonus_cap) + tech_3_5*TblTech[[#This Row],[3-5]] + tech_5_3*TblTech[[#This Row],[5-3]] + tech_5_5*TblTech[[#This Row],[5-5]]))*spec_op_ore,0)</f>
        <v>0</v>
      </c>
      <c r="BK74" s="97">
        <f ca="1">ROUNDUP((1-MIN(TblMili[[#This Row],[Smithies]]*smithy_bonus,smithy_bonus_cap) + tech_3_5*TblTech[[#This Row],[3-5]] + tech_5_3*TblTech[[#This Row],[5-3]] + tech_5_5*TblTech[[#This Row],[5-5]])*spec_dp_plat,0)</f>
        <v>192</v>
      </c>
      <c r="BL74" s="97">
        <f ca="1">ROUNDUP(IF(race="Gnome",1,(1-MIN(TblMili[[#This Row],[Smithies]]*smithy_bonus,smithy_bonus_cap) + tech_3_5*TblTech[[#This Row],[3-5]] + tech_5_3*TblTech[[#This Row],[5-3]] + tech_5_5*TblTech[[#This Row],[5-5]]))*spec_dp_ore,0)</f>
        <v>0</v>
      </c>
      <c r="BM74" s="97">
        <f ca="1">ROUNDUP((1-MIN(TblMili[[#This Row],[Smithies]]*smithy_bonus,smithy_bonus_cap) + tech_3_5*TblTech[[#This Row],[3-5]] + tech_5_3*TblTech[[#This Row],[5-3]] + tech_5_5*TblTech[[#This Row],[5-5]])*elite1_plat,0)</f>
        <v>592</v>
      </c>
      <c r="BN74" s="97">
        <f ca="1">ROUNDUP(IF(race="Gnome",1,(1-MIN(TblMili[[#This Row],[Smithies]]*smithy_bonus,smithy_bonus_cap) + tech_3_5*TblTech[[#This Row],[3-5]] + tech_5_3*TblTech[[#This Row],[5-3]] + tech_5_5*TblTech[[#This Row],[5-5]]))*elite1_ore,0)</f>
        <v>0</v>
      </c>
      <c r="BO74" s="97">
        <f ca="1">ROUNDUP((1-MIN(TblMili[[#This Row],[Smithies]]*smithy_bonus,smithy_bonus_cap) + tech_3_5*TblTech[[#This Row],[3-5]] + tech_5_3*TblTech[[#This Row],[5-3]] + tech_5_5*TblTech[[#This Row],[5-5]])*elite2_plat,0)</f>
        <v>608</v>
      </c>
      <c r="BP74" s="97">
        <f ca="1">ROUNDUP(IF(race="Gnome",1,(1-MIN(TblMili[[#This Row],[Smithies]]*smithy_bonus,smithy_bonus_cap) + tech_3_5*TblTech[[#This Row],[3-5]] + tech_5_3*TblTech[[#This Row],[5-3]] + tech_5_5*TblTech[[#This Row],[5-5]]))*elite2_ore,0)</f>
        <v>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5.7142857142857141E-2</v>
      </c>
      <c r="BW74" s="160">
        <f ca="1">TblMili[[#This Row],[WG''s]]</f>
        <v>0</v>
      </c>
      <c r="BX74" s="266">
        <f ca="1">IF(mystic_cap="none",TblMili[[#This Row],[Hill]]/mystic_bonus,MIN(mystic_cap,TblMili[[#This Row],[Hill]]/mystic_bonus))</f>
        <v>0.2857142857142857</v>
      </c>
      <c r="BY74" s="266">
        <f ca="1">IF(druid_op_cap="none",TblMili[[#This Row],[Hill]]/druid_op_bonus,MIN(druid_op_cap,TblMili[[#This Row],[Hill]]/druid_op_bonus))</f>
        <v>0.2857142857142857</v>
      </c>
      <c r="BZ74" s="266">
        <f ca="1">IF(druid_dp_cap="none",TblMili[[#This Row],[Hill]]/druid_dp_bonus,MIN(druid_dp_cap,TblMili[[#This Row],[Hill]]/druid_dp_bonus))</f>
        <v>0.2857142857142857</v>
      </c>
      <c r="CA74" s="266">
        <f ca="1">MIN(dryad_cap,TblMili[[#This Row],[Hill]]/dryad_bonus)</f>
        <v>0.2857142857142857</v>
      </c>
      <c r="CB74" s="266">
        <f ca="1">MIN(rocka_cap,TblMili[[#This Row],[Hill]]/rocka_bonus)</f>
        <v>0.2857142857142857</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0.2857142857142857</v>
      </c>
      <c r="CH74" s="45">
        <f ca="1">MIN(ice_elem_cap,TblMili[[#This Row],[Raw (2)]]*ice_elem_bonus)</f>
        <v>0</v>
      </c>
      <c r="CI74" s="266">
        <f t="shared" si="3"/>
        <v>0.83333333333333337</v>
      </c>
      <c r="CJ74" s="266">
        <f ca="1">MIN(nox_nightshade_cap,TblConstr[[#This Row],[Homeland]]/TblConstr[[#This Row],[Land]]/nox_nightshade_swamp_bonus)</f>
        <v>0.5714285714285714</v>
      </c>
      <c r="CK74" s="267"/>
      <c r="CL74" s="267"/>
      <c r="CM74" s="267"/>
      <c r="CN74" s="266">
        <f ca="1">MIN(6,TblMili[[#This Row],[Mystic]]+Races!$F$19)*1.8 +  IF(TblMili[[#This Row],[Mystic]]+Races!$F$19&gt;6,(TblMili[[#This Row],[Mystic]]+Races!$F$19-6)*0.2,0) - Races!$I$19</f>
        <v>0.51428571428571423</v>
      </c>
      <c r="CO7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4" s="97">
        <f ca="1">TblMili[[#This Row],[Mystic bonus]]*TblMili[[#This Row],[Unit 3]]+TblMili[[#This Row],[Druid bonus]]*TblMili[[#This Row],[Unit 4]]</f>
        <v>0</v>
      </c>
      <c r="CQ74" s="158">
        <f ca="1">MIN(6,TblMili[[#This Row],[Dryad]]+Races!$F$35)*1.8 +  IF(TblMili[[#This Row],[Dryad]]+Races!$F$35&gt;6,(TblMili[[#This Row],[Dryad]]+Races!$F$35-6)*0.2,0) - Races!$I$19</f>
        <v>-1.2857142857142856</v>
      </c>
      <c r="CR74" s="97">
        <f ca="1">sylvan*(TblMili[[#This Row],[Mystic bonus]]*TblMili[[#This Row],[Unit 3]])</f>
        <v>0</v>
      </c>
      <c r="CS74" s="158">
        <f ca="1">1.8 * MIN(MAX(Races!$E$27,TblMili[[#This Row],[Rockapult]]+Races!$F$27),6)  +  0.45 * MIN(MIN(Races!$E$27,TblMili[[#This Row],[Rockapult]]+Races!$F$27),6)  +  0.2 * ( MAX(Races!$E$27-6,0) + MAX(TblMili[[#This Row],[Rockapult]]+Races!$F$27-6,0) )  -  Races!$I$20</f>
        <v>2.7642857142857133</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0.51428571428571423</v>
      </c>
      <c r="CX74" s="158">
        <f ca="1">1.8 * MIN(MAX(TblMili[[#This Row],[Ice Elemental]]+Races!$E$71,Races!$F$71),6)  +  0.45 * MIN(MIN(TblMili[[#This Row],[Ice Elemental]]+Races!$E$71,Races!$F$71),6)  +  0.2 * ( MAX(TblMili[[#This Row],[Ice Elemental]]+Races!$E$71-6,0) + MAX(Races!$F$71-6,0) )  -  Races!$I$71</f>
        <v>0</v>
      </c>
      <c r="CY74" s="97">
        <f ca="1">TblMili[[#This Row],[Frost Mage bonus]]*TblMili[[#This Row],[Unit 3]]+TblMili[[#This Row],[Ice Elemental bonus]]*TblMili[[#This Row],[Unit 4]]</f>
        <v>0</v>
      </c>
      <c r="CZ74" s="268"/>
      <c r="DA74" s="146">
        <f ca="1">MIN(SUM(TblConstr[[#This Row],[Plain]:[Water]])/TblMili[[#This Row],[Land]]/favorable_terrain_bonus/100,favorable_terrain_max)</f>
        <v>0</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17185</v>
      </c>
      <c r="DD74" s="145"/>
      <c r="DE74" s="269">
        <f ca="1">(TblMili[[#This Row],[Wizards]]+2*TblMili[[#This Row],[Archmages]])/TblConstr[[#This Row],[Land]]</f>
        <v>0</v>
      </c>
      <c r="DF74" s="269">
        <f ca="1">TblMili[[#This Row],[Raw (2)]]*(1+race_wizard_strength+IF(TblMili[[#This Row],[Hour]]&gt;72,tech_magical_weaponry_wiz*TblTech[[#This Row],[3-5]],0))</f>
        <v>0</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2831</v>
      </c>
      <c r="C75" s="160">
        <f ca="1">TblPop[[#This Row],[Military%]]</f>
        <v>0.22289583497362411</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5"/>
      <c r="N75" s="97">
        <f ca="1">TblProd[[#This Row],[Networth]]</f>
        <v>17190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0</v>
      </c>
      <c r="U75" s="263">
        <f ca="1">race_defense + TblImps[[#This Row],[Walls]] + ROUND( MIN(gt_bonus*TblConstr[[#This Row],[Tot GT]]/TblConstr[[#This Row],[Land]],gt_bonus_cap), 4) + IF(TblMagic[[#This Row],[Active Howling]]&gt;0,howling_dp_bonus,IF(TblMagic[[#This Row],[Active Ares Call]]&gt;0,ares_call_bonus))</f>
        <v>1.2500000000000001E-2</v>
      </c>
      <c r="V75" s="264">
        <f ca="1">TblMili[[#This Row],[Non Draft]] * (1 + TblMili[[#This Row],[Mods_Def]])</f>
        <v>0</v>
      </c>
      <c r="W75" s="262">
        <f ca="1">TblMili[[#This Row],[Draft]] * (1 + TblMili[[#This Row],[Mods_Def]])</f>
        <v>0</v>
      </c>
      <c r="X75" s="262">
        <f ca="1">TblConstr[[#This Row],[Land]]</f>
        <v>700</v>
      </c>
      <c r="Y75" s="265"/>
      <c r="Z75" s="270">
        <f ca="1">IF(TblMili[[#This Row],[Set]]&lt;&gt;"",TblMili[[#This Row],[Set]],OFFSET(TblMili[[#This Row],[Draftrate]],-1,0))</f>
        <v>0.9</v>
      </c>
      <c r="AA75" s="97">
        <f ca="1">OFFSET(TblMili[[#This Row],[Draftees]],-1,0)+OFFSET(TblPop[[#This Row],[Draft Growth]],-1,0) - SUM(TblMili[[#This Row],[Train Unit 1]:[Train Spies]],TblMili[[#This Row],[Train Wiz]]) - TblMili[[#This Row],[Release Draft]] + SUM(TblMili[[#This Row],[Release Unit 1]:[Release AM]]) - TblExplore[[#This Row],[Draftees (2)]]</f>
        <v>0</v>
      </c>
      <c r="AB75" s="157"/>
      <c r="AC75" s="183">
        <f ca="1">(TblConstr[[#This Row],[Tot Smi]]+TblConstr[[#This Row],[Dest Smi]])/(TblConstr[[#This Row],[Land]]-TblExplore[[#This Row],[Land Bonus]]*20)</f>
        <v>0.18</v>
      </c>
      <c r="AD75" s="140"/>
      <c r="AE75" s="261">
        <f>TblMili[[#This Row],[Hour]]</f>
        <v>72</v>
      </c>
      <c r="AF75" s="141">
        <f ca="1">TblExplore[[#This Row],[Time]]</f>
        <v>45432.708333333161</v>
      </c>
      <c r="AG75" s="182"/>
      <c r="AH75" s="161"/>
      <c r="AI75" s="182"/>
      <c r="AJ75" s="182">
        <v>100</v>
      </c>
      <c r="AK75" s="182"/>
      <c r="AL75" s="182"/>
      <c r="AM75" s="182"/>
      <c r="AN75" s="182"/>
      <c r="AO75" s="145"/>
      <c r="AP75" s="97">
        <f ca="1">TblProd[[#This Row],[Platinum]]</f>
        <v>18546</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45432.708333333161</v>
      </c>
      <c r="AV75" s="97">
        <f ca="1">TblMili[[#This Row],[Draftees]]</f>
        <v>0</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192</v>
      </c>
      <c r="BJ75" s="97">
        <f ca="1">ROUNDUP(IF(race="Gnome",1,(1-MIN(TblMili[[#This Row],[Smithies]]*smithy_bonus,smithy_bonus_cap) + tech_3_5*TblTech[[#This Row],[3-5]] + tech_5_3*TblTech[[#This Row],[5-3]] + tech_5_5*TblTech[[#This Row],[5-5]]))*spec_op_ore,0)</f>
        <v>0</v>
      </c>
      <c r="BK75" s="97">
        <f ca="1">ROUNDUP((1-MIN(TblMili[[#This Row],[Smithies]]*smithy_bonus,smithy_bonus_cap) + tech_3_5*TblTech[[#This Row],[3-5]] + tech_5_3*TblTech[[#This Row],[5-3]] + tech_5_5*TblTech[[#This Row],[5-5]])*spec_dp_plat,0)</f>
        <v>192</v>
      </c>
      <c r="BL75" s="97">
        <f ca="1">ROUNDUP(IF(race="Gnome",1,(1-MIN(TblMili[[#This Row],[Smithies]]*smithy_bonus,smithy_bonus_cap) + tech_3_5*TblTech[[#This Row],[3-5]] + tech_5_3*TblTech[[#This Row],[5-3]] + tech_5_5*TblTech[[#This Row],[5-5]]))*spec_dp_ore,0)</f>
        <v>0</v>
      </c>
      <c r="BM75" s="97">
        <f ca="1">ROUNDUP((1-MIN(TblMili[[#This Row],[Smithies]]*smithy_bonus,smithy_bonus_cap) + tech_3_5*TblTech[[#This Row],[3-5]] + tech_5_3*TblTech[[#This Row],[5-3]] + tech_5_5*TblTech[[#This Row],[5-5]])*elite1_plat,0)</f>
        <v>592</v>
      </c>
      <c r="BN75" s="97">
        <f ca="1">ROUNDUP(IF(race="Gnome",1,(1-MIN(TblMili[[#This Row],[Smithies]]*smithy_bonus,smithy_bonus_cap) + tech_3_5*TblTech[[#This Row],[3-5]] + tech_5_3*TblTech[[#This Row],[5-3]] + tech_5_5*TblTech[[#This Row],[5-5]]))*elite1_ore,0)</f>
        <v>0</v>
      </c>
      <c r="BO75" s="97">
        <f ca="1">ROUNDUP((1-MIN(TblMili[[#This Row],[Smithies]]*smithy_bonus,smithy_bonus_cap) + tech_3_5*TblTech[[#This Row],[3-5]] + tech_5_3*TblTech[[#This Row],[5-3]] + tech_5_5*TblTech[[#This Row],[5-5]])*elite2_plat,0)</f>
        <v>608</v>
      </c>
      <c r="BP75" s="97">
        <f ca="1">ROUNDUP(IF(race="Gnome",1,(1-MIN(TblMili[[#This Row],[Smithies]]*smithy_bonus,smithy_bonus_cap) + tech_3_5*TblTech[[#This Row],[3-5]] + tech_5_3*TblTech[[#This Row],[5-3]] + tech_5_5*TblTech[[#This Row],[5-5]]))*elite2_ore,0)</f>
        <v>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5.7142857142857141E-2</v>
      </c>
      <c r="BW75" s="160">
        <f ca="1">TblMili[[#This Row],[WG''s]]</f>
        <v>0</v>
      </c>
      <c r="BX75" s="266">
        <f ca="1">IF(mystic_cap="none",TblMili[[#This Row],[Hill]]/mystic_bonus,MIN(mystic_cap,TblMili[[#This Row],[Hill]]/mystic_bonus))</f>
        <v>0.2857142857142857</v>
      </c>
      <c r="BY75" s="266">
        <f ca="1">IF(druid_op_cap="none",TblMili[[#This Row],[Hill]]/druid_op_bonus,MIN(druid_op_cap,TblMili[[#This Row],[Hill]]/druid_op_bonus))</f>
        <v>0.2857142857142857</v>
      </c>
      <c r="BZ75" s="266">
        <f ca="1">IF(druid_dp_cap="none",TblMili[[#This Row],[Hill]]/druid_dp_bonus,MIN(druid_dp_cap,TblMili[[#This Row],[Hill]]/druid_dp_bonus))</f>
        <v>0.2857142857142857</v>
      </c>
      <c r="CA75" s="266">
        <f ca="1">MIN(dryad_cap,TblMili[[#This Row],[Hill]]/dryad_bonus)</f>
        <v>0.2857142857142857</v>
      </c>
      <c r="CB75" s="266">
        <f ca="1">MIN(rocka_cap,TblMili[[#This Row],[Hill]]/rocka_bonus)</f>
        <v>0.2857142857142857</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0.2857142857142857</v>
      </c>
      <c r="CH75" s="45">
        <f ca="1">MIN(ice_elem_cap,TblMili[[#This Row],[Raw (2)]]*ice_elem_bonus)</f>
        <v>0</v>
      </c>
      <c r="CI75" s="266">
        <f t="shared" si="3"/>
        <v>0.83333333333333337</v>
      </c>
      <c r="CJ75" s="266">
        <f ca="1">MIN(nox_nightshade_cap,TblConstr[[#This Row],[Homeland]]/TblConstr[[#This Row],[Land]]/nox_nightshade_swamp_bonus)</f>
        <v>0.5714285714285714</v>
      </c>
      <c r="CK75" s="267"/>
      <c r="CL75" s="267"/>
      <c r="CM75" s="267"/>
      <c r="CN75" s="266">
        <f ca="1">MIN(6,TblMili[[#This Row],[Mystic]]+Races!$F$19)*1.8 +  IF(TblMili[[#This Row],[Mystic]]+Races!$F$19&gt;6,(TblMili[[#This Row],[Mystic]]+Races!$F$19-6)*0.2,0) - Races!$I$19</f>
        <v>0.51428571428571423</v>
      </c>
      <c r="CO7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5" s="97">
        <f ca="1">TblMili[[#This Row],[Mystic bonus]]*TblMili[[#This Row],[Unit 3]]+TblMili[[#This Row],[Druid bonus]]*TblMili[[#This Row],[Unit 4]]</f>
        <v>0</v>
      </c>
      <c r="CQ75" s="158">
        <f ca="1">MIN(6,TblMili[[#This Row],[Dryad]]+Races!$F$35)*1.8 +  IF(TblMili[[#This Row],[Dryad]]+Races!$F$35&gt;6,(TblMili[[#This Row],[Dryad]]+Races!$F$35-6)*0.2,0) - Races!$I$19</f>
        <v>-1.2857142857142856</v>
      </c>
      <c r="CR75" s="97">
        <f ca="1">sylvan*(TblMili[[#This Row],[Mystic bonus]]*TblMili[[#This Row],[Unit 3]])</f>
        <v>0</v>
      </c>
      <c r="CS75" s="158">
        <f ca="1">1.8 * MIN(MAX(Races!$E$27,TblMili[[#This Row],[Rockapult]]+Races!$F$27),6)  +  0.45 * MIN(MIN(Races!$E$27,TblMili[[#This Row],[Rockapult]]+Races!$F$27),6)  +  0.2 * ( MAX(Races!$E$27-6,0) + MAX(TblMili[[#This Row],[Rockapult]]+Races!$F$27-6,0) )  -  Races!$I$20</f>
        <v>2.7642857142857133</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0.51428571428571423</v>
      </c>
      <c r="CX75" s="158">
        <f ca="1">1.8 * MIN(MAX(TblMili[[#This Row],[Ice Elemental]]+Races!$E$71,Races!$F$71),6)  +  0.45 * MIN(MIN(TblMili[[#This Row],[Ice Elemental]]+Races!$E$71,Races!$F$71),6)  +  0.2 * ( MAX(TblMili[[#This Row],[Ice Elemental]]+Races!$E$71-6,0) + MAX(Races!$F$71-6,0) )  -  Races!$I$71</f>
        <v>0</v>
      </c>
      <c r="CY75" s="97">
        <f ca="1">TblMili[[#This Row],[Frost Mage bonus]]*TblMili[[#This Row],[Unit 3]]+TblMili[[#This Row],[Ice Elemental bonus]]*TblMili[[#This Row],[Unit 4]]</f>
        <v>0</v>
      </c>
      <c r="CZ75" s="268"/>
      <c r="DA75" s="146">
        <f ca="1">MIN(SUM(TblConstr[[#This Row],[Plain]:[Water]])/TblMili[[#This Row],[Land]]/favorable_terrain_bonus/100,favorable_terrain_max)</f>
        <v>0</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17190</v>
      </c>
      <c r="DD75" s="145"/>
      <c r="DE75" s="269">
        <f ca="1">(TblMili[[#This Row],[Wizards]]+2*TblMili[[#This Row],[Archmages]])/TblConstr[[#This Row],[Land]]</f>
        <v>0</v>
      </c>
      <c r="DF75" s="269">
        <f ca="1">TblMili[[#This Row],[Raw (2)]]*(1+race_wizard_strength+IF(TblMili[[#This Row],[Hour]]&gt;72,tech_magical_weaponry_wiz*TblTech[[#This Row],[3-5]],0))</f>
        <v>0</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2930</v>
      </c>
      <c r="C76" s="252">
        <f ca="1">TblPop[[#This Row],[Military%]]</f>
        <v>0.23069049681127471</v>
      </c>
      <c r="D76" s="152"/>
      <c r="E76" s="211">
        <f ca="1">OFFSET(TblMili[[#This Row],[Unit 1]],-1,0) + OFFSET(TblMili[[#This Row],[Train Unit 1]],-9,0) - TblMili[[#This Row],[Release Unit 1]]</f>
        <v>0</v>
      </c>
      <c r="F76" s="211">
        <f ca="1">OFFSET(TblMili[[#This Row],[Unit 2]],-1,0) + OFFSET(TblMili[[#This Row],[Train Unit 2]],-9,0)-TblMili[[#This Row],[Release Unit 2]]</f>
        <v>699</v>
      </c>
      <c r="G76" s="210">
        <f ca="1">OFFSET(TblMili[[#This Row],[Unit 3]],-1,0) + OFFSET(TblMili[[#This Row],[Train Unit 3]],-12,0)-TblMili[[#This Row],[Release Unit 3]]</f>
        <v>625</v>
      </c>
      <c r="H76" s="211">
        <f ca="1">OFFSET(TblMili[[#This Row],[Unit 4]],-1,0) + OFFSET(TblMili[[#This Row],[Train Unit 4]],-12,0)-TblMili[[#This Row],[Release Unit 4]]</f>
        <v>638</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32850.800000000003</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3190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3269.7499999999995</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6823.5</v>
      </c>
      <c r="T76" s="274">
        <f ca="1">TblMili[[#This Row],[Non Draft]]+TblMili[[#This Row],[Draftees]]</f>
        <v>6823.5</v>
      </c>
      <c r="U76" s="275">
        <f ca="1">race_defense + TblImps[[#This Row],[Walls]] + ROUND( MIN(gt_bonus*TblConstr[[#This Row],[Tot GT]]/TblConstr[[#This Row],[Land]],gt_bonus_cap), 4) + IF(TblMagic[[#This Row],[Active Howling]]&gt;0,howling_dp_bonus,IF(TblMagic[[#This Row],[Active Ares Call]]&gt;0,ares_call_bonus))</f>
        <v>0.23750000000000002</v>
      </c>
      <c r="V76" s="276">
        <f ca="1">TblMili[[#This Row],[Non Draft]] * (1 + TblMili[[#This Row],[Mods_Def]])</f>
        <v>8444.0812500000011</v>
      </c>
      <c r="W76" s="274">
        <f ca="1">TblMili[[#This Row],[Draft]] * (1 + TblMili[[#This Row],[Mods_Def]])</f>
        <v>8444.0812500000011</v>
      </c>
      <c r="X76" s="274">
        <f ca="1">TblConstr[[#This Row],[Land]]</f>
        <v>700</v>
      </c>
      <c r="Y76" s="277"/>
      <c r="Z76" s="278">
        <f ca="1">IF(TblMili[[#This Row],[Set]]&lt;&gt;"",TblMili[[#This Row],[Set]],OFFSET(TblMili[[#This Row],[Draftrate]],-1,0))</f>
        <v>0.9</v>
      </c>
      <c r="AA76" s="97">
        <f ca="1">OFFSET(TblMili[[#This Row],[Draftees]],-1,0)+OFFSET(TblPop[[#This Row],[Draft Growth]],-1,0) - SUM(TblMili[[#This Row],[Train Unit 1]:[Train Spies]],TblMili[[#This Row],[Train Wiz]]) - TblMili[[#This Row],[Release Draft]] + SUM(TblMili[[#This Row],[Release Unit 1]:[Release AM]]) - TblExplore[[#This Row],[Draftees (2)]]</f>
        <v>0</v>
      </c>
      <c r="AB76" s="165"/>
      <c r="AC76" s="209">
        <f ca="1">(TblConstr[[#This Row],[Tot Smi]]+TblConstr[[#This Row],[Dest Smi]])/(TblConstr[[#This Row],[Land]]-TblExplore[[#This Row],[Land Bonus]]*20)</f>
        <v>0.18</v>
      </c>
      <c r="AD76" s="147"/>
      <c r="AE76" s="273">
        <f>TblMili[[#This Row],[Hour]]</f>
        <v>73</v>
      </c>
      <c r="AF76" s="148">
        <f ca="1">TblExplore[[#This Row],[Time]]</f>
        <v>45432.749999999825</v>
      </c>
      <c r="AG76" s="207"/>
      <c r="AH76" s="161"/>
      <c r="AI76" s="182">
        <v>25</v>
      </c>
      <c r="AJ76" s="207">
        <v>74</v>
      </c>
      <c r="AK76" s="207"/>
      <c r="AL76" s="207"/>
      <c r="AM76" s="207"/>
      <c r="AN76" s="207"/>
      <c r="AO76" s="152"/>
      <c r="AP76" s="210">
        <f ca="1">TblProd[[#This Row],[Platinum]]</f>
        <v>5612</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45432.749999999825</v>
      </c>
      <c r="AV76" s="210">
        <f ca="1">TblMili[[#This Row],[Draftees]]</f>
        <v>0</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192</v>
      </c>
      <c r="BJ76" s="210">
        <f ca="1">ROUNDUP(IF(race="Gnome",1,(1-MIN(TblMili[[#This Row],[Smithies]]*smithy_bonus,smithy_bonus_cap) + tech_3_5*TblTech[[#This Row],[3-5]] + tech_5_3*TblTech[[#This Row],[5-3]] + tech_5_5*TblTech[[#This Row],[5-5]]))*spec_op_ore,0)</f>
        <v>0</v>
      </c>
      <c r="BK76" s="210">
        <f ca="1">ROUNDUP((1-MIN(TblMili[[#This Row],[Smithies]]*smithy_bonus,smithy_bonus_cap) + tech_3_5*TblTech[[#This Row],[3-5]] + tech_5_3*TblTech[[#This Row],[5-3]] + tech_5_5*TblTech[[#This Row],[5-5]])*spec_dp_plat,0)</f>
        <v>192</v>
      </c>
      <c r="BL76" s="210">
        <f ca="1">ROUNDUP(IF(race="Gnome",1,(1-MIN(TblMili[[#This Row],[Smithies]]*smithy_bonus,smithy_bonus_cap) + tech_3_5*TblTech[[#This Row],[3-5]] + tech_5_3*TblTech[[#This Row],[5-3]] + tech_5_5*TblTech[[#This Row],[5-5]]))*spec_dp_ore,0)</f>
        <v>0</v>
      </c>
      <c r="BM76" s="210">
        <f ca="1">ROUNDUP((1-MIN(TblMili[[#This Row],[Smithies]]*smithy_bonus,smithy_bonus_cap) + tech_3_5*TblTech[[#This Row],[3-5]] + tech_5_3*TblTech[[#This Row],[5-3]] + tech_5_5*TblTech[[#This Row],[5-5]])*elite1_plat,0)</f>
        <v>592</v>
      </c>
      <c r="BN76" s="210">
        <f ca="1">ROUNDUP(IF(race="Gnome",1,(1-MIN(TblMili[[#This Row],[Smithies]]*smithy_bonus,smithy_bonus_cap) + tech_3_5*TblTech[[#This Row],[3-5]] + tech_5_3*TblTech[[#This Row],[5-3]] + tech_5_5*TblTech[[#This Row],[5-5]]))*elite1_ore,0)</f>
        <v>0</v>
      </c>
      <c r="BO76" s="210">
        <f ca="1">ROUNDUP((1-MIN(TblMili[[#This Row],[Smithies]]*smithy_bonus,smithy_bonus_cap) + tech_3_5*TblTech[[#This Row],[3-5]] + tech_5_3*TblTech[[#This Row],[5-3]] + tech_5_5*TblTech[[#This Row],[5-5]])*elite2_plat,0)</f>
        <v>608</v>
      </c>
      <c r="BP76" s="210">
        <f ca="1">ROUNDUP(IF(race="Gnome",1,(1-MIN(TblMili[[#This Row],[Smithies]]*smithy_bonus,smithy_bonus_cap) + tech_3_5*TblTech[[#This Row],[3-5]] + tech_5_3*TblTech[[#This Row],[5-3]] + tech_5_5*TblTech[[#This Row],[5-5]]))*elite2_ore,0)</f>
        <v>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5.7142857142857141E-2</v>
      </c>
      <c r="BW76" s="252">
        <f ca="1">TblMili[[#This Row],[WG''s]]</f>
        <v>0</v>
      </c>
      <c r="BX76" s="279">
        <f ca="1">IF(mystic_cap="none",TblMili[[#This Row],[Hill]]/mystic_bonus,MIN(mystic_cap,TblMili[[#This Row],[Hill]]/mystic_bonus))</f>
        <v>0.2857142857142857</v>
      </c>
      <c r="BY76" s="279">
        <f ca="1">IF(druid_op_cap="none",TblMili[[#This Row],[Hill]]/druid_op_bonus,MIN(druid_op_cap,TblMili[[#This Row],[Hill]]/druid_op_bonus))</f>
        <v>0.2857142857142857</v>
      </c>
      <c r="BZ76" s="279">
        <f ca="1">IF(druid_dp_cap="none",TblMili[[#This Row],[Hill]]/druid_dp_bonus,MIN(druid_dp_cap,TblMili[[#This Row],[Hill]]/druid_dp_bonus))</f>
        <v>0.2857142857142857</v>
      </c>
      <c r="CA76" s="279">
        <f ca="1">MIN(dryad_cap,TblMili[[#This Row],[Hill]]/dryad_bonus)</f>
        <v>0.2857142857142857</v>
      </c>
      <c r="CB76" s="279">
        <f ca="1">MIN(rocka_cap,TblMili[[#This Row],[Hill]]/rocka_bonus)</f>
        <v>0.2857142857142857</v>
      </c>
      <c r="CC76" s="279">
        <f ca="1">MIN(adept_op_cap,TblMili[[#This Row],[WG]]/adept_op_bonus)</f>
        <v>0</v>
      </c>
      <c r="CD76" s="279">
        <f ca="1">MIN(adept_dp_cap,TblMili[[#This Row],[WG]]/adept_dp_bonus)</f>
        <v>0</v>
      </c>
      <c r="CE76" s="210">
        <f ca="1">MIN(TblMili[[#This Row],[Unit 3]],TblMili[[#This Row],[Unit 2]])*2</f>
        <v>1250</v>
      </c>
      <c r="CF76" s="210">
        <f ca="1">MIN(TblMili[[#This Row],[Unit 1]],TblMili[[#This Row],[Unit 4]])*2</f>
        <v>0</v>
      </c>
      <c r="CG76" s="279">
        <f ca="1">MIN(frost_mage_cap,TblMili[[#This Row],[Hill]]/frost_mage_bonus)</f>
        <v>0.2857142857142857</v>
      </c>
      <c r="CH76" s="211">
        <f ca="1">MIN(ice_elem_cap,TblMili[[#This Row],[Raw (2)]]*ice_elem_bonus)</f>
        <v>3.5714285714285712E-2</v>
      </c>
      <c r="CI76" s="279">
        <f t="shared" si="3"/>
        <v>0.83333333333333337</v>
      </c>
      <c r="CJ76" s="279">
        <f ca="1">MIN(nox_nightshade_cap,TblConstr[[#This Row],[Homeland]]/TblConstr[[#This Row],[Land]]/nox_nightshade_swamp_bonus)</f>
        <v>0.5714285714285714</v>
      </c>
      <c r="CK76" s="280"/>
      <c r="CL76" s="280"/>
      <c r="CM76" s="280"/>
      <c r="CN76" s="279">
        <f ca="1">MIN(6,TblMili[[#This Row],[Mystic]]+Races!$F$19)*1.8 +  IF(TblMili[[#This Row],[Mystic]]+Races!$F$19&gt;6,(TblMili[[#This Row],[Mystic]]+Races!$F$19-6)*0.2,0) - Races!$I$19</f>
        <v>0.51428571428571423</v>
      </c>
      <c r="CO76" s="279">
        <f ca="1">1.8 * MIN(MAX(TblMili[[#This Row],[Druid (op)]]+Races!$E$20,TblMili[[#This Row],[Druid (dp)]]+Races!$F$20),6)  +  0.45 * MIN(MIN(TblMili[[#This Row],[Druid (op)]]+Races!$E$20,TblMili[[#This Row],[Druid (dp)]]+Races!$F$20),6)  +  0.2 * ( MAX(TblMili[[#This Row],[Druid (op)]]+Races!$E$20-6,0) + MAX(TblMili[[#This Row],[Druid (dp)]]+Races!$F$20-6,0) )  -  Races!$I$20</f>
        <v>0.64285714285714235</v>
      </c>
      <c r="CP76" s="210">
        <f ca="1">TblMili[[#This Row],[Mystic bonus]]*TblMili[[#This Row],[Unit 3]]+TblMili[[#This Row],[Druid bonus]]*TblMili[[#This Row],[Unit 4]]</f>
        <v>731.57142857142821</v>
      </c>
      <c r="CQ76" s="281">
        <f ca="1">MIN(6,TblMili[[#This Row],[Dryad]]+Races!$F$35)*1.8 +  IF(TblMili[[#This Row],[Dryad]]+Races!$F$35&gt;6,(TblMili[[#This Row],[Dryad]]+Races!$F$35-6)*0.2,0) - Races!$I$19</f>
        <v>-1.2857142857142856</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2.7642857142857133</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0.51428571428571423</v>
      </c>
      <c r="CX76" s="281">
        <f ca="1">1.8 * MIN(MAX(TblMili[[#This Row],[Ice Elemental]]+Races!$E$71,Races!$F$71),6)  +  0.45 * MIN(MIN(TblMili[[#This Row],[Ice Elemental]]+Races!$E$71,Races!$F$71),6)  +  0.2 * ( MAX(TblMili[[#This Row],[Ice Elemental]]+Races!$E$71-6,0) + MAX(Races!$F$71-6,0) )  -  Races!$I$71</f>
        <v>6.4285714285714946E-2</v>
      </c>
      <c r="CY76" s="210">
        <f ca="1">TblMili[[#This Row],[Frost Mage bonus]]*TblMili[[#This Row],[Unit 3]]+TblMili[[#This Row],[Ice Elemental bonus]]*TblMili[[#This Row],[Unit 4]]</f>
        <v>362.44285714285752</v>
      </c>
      <c r="CZ76" s="282"/>
      <c r="DA76" s="153">
        <f ca="1">MIN(SUM(TblConstr[[#This Row],[Plain]:[Water]])/TblMili[[#This Row],[Land]]/favorable_terrain_bonus/100,favorable_terrain_max)</f>
        <v>0</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32850.800000000003</v>
      </c>
      <c r="DD76" s="152"/>
      <c r="DE76" s="283">
        <f ca="1">(TblMili[[#This Row],[Wizards]]+2*TblMili[[#This Row],[Archmages]])/TblConstr[[#This Row],[Land]]</f>
        <v>3.5714285714285712E-2</v>
      </c>
      <c r="DF76" s="283">
        <f ca="1">TblMili[[#This Row],[Raw (2)]]*(1+race_wizard_strength+IF(TblMili[[#This Row],[Hour]]&gt;72,tech_magical_weaponry_wiz*TblTech[[#This Row],[3-5]],0))</f>
        <v>3.5714285714285712E-2</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3028</v>
      </c>
      <c r="C77" s="160">
        <f ca="1">TblPop[[#This Row],[Military%]]</f>
        <v>0.23656250000000001</v>
      </c>
      <c r="D77" s="145"/>
      <c r="E77" s="45">
        <f ca="1">OFFSET(TblMili[[#This Row],[Unit 1]],-1,0) + OFFSET(TblMili[[#This Row],[Train Unit 1]],-9,0) - TblMili[[#This Row],[Release Unit 1]]</f>
        <v>0</v>
      </c>
      <c r="F77" s="45">
        <f ca="1">OFFSET(TblMili[[#This Row],[Unit 2]],-1,0) + OFFSET(TblMili[[#This Row],[Train Unit 2]],-9,0)-TblMili[[#This Row],[Release Unit 2]]</f>
        <v>798</v>
      </c>
      <c r="G77" s="45">
        <f ca="1">OFFSET(TblMili[[#This Row],[Unit 3]],-1,0) + OFFSET(TblMili[[#This Row],[Train Unit 3]],-12,0)-TblMili[[#This Row],[Release Unit 3]]</f>
        <v>625</v>
      </c>
      <c r="H77" s="45">
        <f ca="1">OFFSET(TblMili[[#This Row],[Unit 4]],-1,0) + OFFSET(TblMili[[#This Row],[Train Unit 4]],-12,0)-TblMili[[#This Row],[Release Unit 4]]</f>
        <v>638</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33370.800000000003</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3190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3269.7499999999995</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7120.5</v>
      </c>
      <c r="T77" s="262">
        <f ca="1">TblMili[[#This Row],[Non Draft]]+TblMili[[#This Row],[Draftees]]</f>
        <v>7120.5</v>
      </c>
      <c r="U77" s="263">
        <f ca="1">race_defense + TblImps[[#This Row],[Walls]] + ROUND( MIN(gt_bonus*TblConstr[[#This Row],[Tot GT]]/TblConstr[[#This Row],[Land]],gt_bonus_cap), 4) + IF(TblMagic[[#This Row],[Active Howling]]&gt;0,howling_dp_bonus,IF(TblMagic[[#This Row],[Active Ares Call]]&gt;0,ares_call_bonus))</f>
        <v>0.23750000000000002</v>
      </c>
      <c r="V77" s="264">
        <f ca="1">TblMili[[#This Row],[Non Draft]] * (1 + TblMili[[#This Row],[Mods_Def]])</f>
        <v>8811.6187499999996</v>
      </c>
      <c r="W77" s="262">
        <f ca="1">TblMili[[#This Row],[Draft]] * (1 + TblMili[[#This Row],[Mods_Def]])</f>
        <v>8811.6187499999996</v>
      </c>
      <c r="X77" s="262">
        <f ca="1">TblConstr[[#This Row],[Land]]</f>
        <v>700</v>
      </c>
      <c r="Y77" s="265"/>
      <c r="Z77" s="270">
        <f ca="1">IF(TblMili[[#This Row],[Set]]&lt;&gt;"",TblMili[[#This Row],[Set]],OFFSET(TblMili[[#This Row],[Draftrate]],-1,0))</f>
        <v>0.9</v>
      </c>
      <c r="AA77" s="97">
        <f ca="1">OFFSET(TblMili[[#This Row],[Draftees]],-1,0)+OFFSET(TblPop[[#This Row],[Draft Growth]],-1,0) - SUM(TblMili[[#This Row],[Train Unit 1]:[Train Spies]],TblMili[[#This Row],[Train Wiz]]) - TblMili[[#This Row],[Release Draft]] + SUM(TblMili[[#This Row],[Release Unit 1]:[Release AM]]) - TblExplore[[#This Row],[Draftees (2)]]</f>
        <v>0</v>
      </c>
      <c r="AB77" s="157"/>
      <c r="AC77" s="183">
        <f ca="1">(TblConstr[[#This Row],[Tot Smi]]+TblConstr[[#This Row],[Dest Smi]])/(TblConstr[[#This Row],[Land]]-TblExplore[[#This Row],[Land Bonus]]*20)</f>
        <v>0.18</v>
      </c>
      <c r="AD77" s="140"/>
      <c r="AE77" s="261">
        <f>TblMili[[#This Row],[Hour]]</f>
        <v>74</v>
      </c>
      <c r="AF77" s="141">
        <f ca="1">TblExplore[[#This Row],[Time]]</f>
        <v>45432.79166666649</v>
      </c>
      <c r="AG77" s="182"/>
      <c r="AH77" s="161">
        <v>48</v>
      </c>
      <c r="AI77" s="182">
        <v>50</v>
      </c>
      <c r="AJ77" s="182"/>
      <c r="AK77" s="182"/>
      <c r="AL77" s="182"/>
      <c r="AM77" s="182"/>
      <c r="AN77" s="182"/>
      <c r="AO77" s="145"/>
      <c r="AP77" s="97">
        <f ca="1">TblProd[[#This Row],[Platinum]]</f>
        <v>13360</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45432.79166666649</v>
      </c>
      <c r="AV77" s="97">
        <f ca="1">TblMili[[#This Row],[Draftees]]</f>
        <v>0</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192</v>
      </c>
      <c r="BJ77" s="97">
        <f ca="1">ROUNDUP(IF(race="Gnome",1,(1-MIN(TblMili[[#This Row],[Smithies]]*smithy_bonus,smithy_bonus_cap) + tech_3_5*TblTech[[#This Row],[3-5]] + tech_5_3*TblTech[[#This Row],[5-3]] + tech_5_5*TblTech[[#This Row],[5-5]]))*spec_op_ore,0)</f>
        <v>0</v>
      </c>
      <c r="BK77" s="97">
        <f ca="1">ROUNDUP((1-MIN(TblMili[[#This Row],[Smithies]]*smithy_bonus,smithy_bonus_cap) + tech_3_5*TblTech[[#This Row],[3-5]] + tech_5_3*TblTech[[#This Row],[5-3]] + tech_5_5*TblTech[[#This Row],[5-5]])*spec_dp_plat,0)</f>
        <v>192</v>
      </c>
      <c r="BL77" s="97">
        <f ca="1">ROUNDUP(IF(race="Gnome",1,(1-MIN(TblMili[[#This Row],[Smithies]]*smithy_bonus,smithy_bonus_cap) + tech_3_5*TblTech[[#This Row],[3-5]] + tech_5_3*TblTech[[#This Row],[5-3]] + tech_5_5*TblTech[[#This Row],[5-5]]))*spec_dp_ore,0)</f>
        <v>0</v>
      </c>
      <c r="BM77" s="97">
        <f ca="1">ROUNDUP((1-MIN(TblMili[[#This Row],[Smithies]]*smithy_bonus,smithy_bonus_cap) + tech_3_5*TblTech[[#This Row],[3-5]] + tech_5_3*TblTech[[#This Row],[5-3]] + tech_5_5*TblTech[[#This Row],[5-5]])*elite1_plat,0)</f>
        <v>592</v>
      </c>
      <c r="BN77" s="97">
        <f ca="1">ROUNDUP(IF(race="Gnome",1,(1-MIN(TblMili[[#This Row],[Smithies]]*smithy_bonus,smithy_bonus_cap) + tech_3_5*TblTech[[#This Row],[3-5]] + tech_5_3*TblTech[[#This Row],[5-3]] + tech_5_5*TblTech[[#This Row],[5-5]]))*elite1_ore,0)</f>
        <v>0</v>
      </c>
      <c r="BO77" s="97">
        <f ca="1">ROUNDUP((1-MIN(TblMili[[#This Row],[Smithies]]*smithy_bonus,smithy_bonus_cap) + tech_3_5*TblTech[[#This Row],[3-5]] + tech_5_3*TblTech[[#This Row],[5-3]] + tech_5_5*TblTech[[#This Row],[5-5]])*elite2_plat,0)</f>
        <v>608</v>
      </c>
      <c r="BP77" s="97">
        <f ca="1">ROUNDUP(IF(race="Gnome",1,(1-MIN(TblMili[[#This Row],[Smithies]]*smithy_bonus,smithy_bonus_cap) + tech_3_5*TblTech[[#This Row],[3-5]] + tech_5_3*TblTech[[#This Row],[5-3]] + tech_5_5*TblTech[[#This Row],[5-5]]))*elite2_ore,0)</f>
        <v>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5.7142857142857141E-2</v>
      </c>
      <c r="BW77" s="160">
        <f ca="1">TblMili[[#This Row],[WG''s]]</f>
        <v>0</v>
      </c>
      <c r="BX77" s="266">
        <f ca="1">IF(mystic_cap="none",TblMili[[#This Row],[Hill]]/mystic_bonus,MIN(mystic_cap,TblMili[[#This Row],[Hill]]/mystic_bonus))</f>
        <v>0.2857142857142857</v>
      </c>
      <c r="BY77" s="266">
        <f ca="1">IF(druid_op_cap="none",TblMili[[#This Row],[Hill]]/druid_op_bonus,MIN(druid_op_cap,TblMili[[#This Row],[Hill]]/druid_op_bonus))</f>
        <v>0.2857142857142857</v>
      </c>
      <c r="BZ77" s="266">
        <f ca="1">IF(druid_dp_cap="none",TblMili[[#This Row],[Hill]]/druid_dp_bonus,MIN(druid_dp_cap,TblMili[[#This Row],[Hill]]/druid_dp_bonus))</f>
        <v>0.2857142857142857</v>
      </c>
      <c r="CA77" s="266">
        <f ca="1">MIN(dryad_cap,TblMili[[#This Row],[Hill]]/dryad_bonus)</f>
        <v>0.2857142857142857</v>
      </c>
      <c r="CB77" s="266">
        <f ca="1">MIN(rocka_cap,TblMili[[#This Row],[Hill]]/rocka_bonus)</f>
        <v>0.2857142857142857</v>
      </c>
      <c r="CC77" s="266">
        <f ca="1">MIN(adept_op_cap,TblMili[[#This Row],[WG]]/adept_op_bonus)</f>
        <v>0</v>
      </c>
      <c r="CD77" s="266">
        <f ca="1">MIN(adept_dp_cap,TblMili[[#This Row],[WG]]/adept_dp_bonus)</f>
        <v>0</v>
      </c>
      <c r="CE77" s="97">
        <f ca="1">MIN(TblMili[[#This Row],[Unit 3]],TblMili[[#This Row],[Unit 2]])*2</f>
        <v>1250</v>
      </c>
      <c r="CF77" s="97">
        <f ca="1">MIN(TblMili[[#This Row],[Unit 1]],TblMili[[#This Row],[Unit 4]])*2</f>
        <v>0</v>
      </c>
      <c r="CG77" s="266">
        <f ca="1">MIN(frost_mage_cap,TblMili[[#This Row],[Hill]]/frost_mage_bonus)</f>
        <v>0.2857142857142857</v>
      </c>
      <c r="CH77" s="45">
        <f ca="1">MIN(ice_elem_cap,TblMili[[#This Row],[Raw (2)]]*ice_elem_bonus)</f>
        <v>3.5714285714285712E-2</v>
      </c>
      <c r="CI77" s="266">
        <f t="shared" si="3"/>
        <v>0.83333333333333337</v>
      </c>
      <c r="CJ77" s="266">
        <f ca="1">MIN(nox_nightshade_cap,TblConstr[[#This Row],[Homeland]]/TblConstr[[#This Row],[Land]]/nox_nightshade_swamp_bonus)</f>
        <v>0.5714285714285714</v>
      </c>
      <c r="CK77" s="267"/>
      <c r="CL77" s="267"/>
      <c r="CM77" s="267"/>
      <c r="CN77" s="266">
        <f ca="1">MIN(6,TblMili[[#This Row],[Mystic]]+Races!$F$19)*1.8 +  IF(TblMili[[#This Row],[Mystic]]+Races!$F$19&gt;6,(TblMili[[#This Row],[Mystic]]+Races!$F$19-6)*0.2,0) - Races!$I$19</f>
        <v>0.51428571428571423</v>
      </c>
      <c r="CO7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7" s="97">
        <f ca="1">TblMili[[#This Row],[Mystic bonus]]*TblMili[[#This Row],[Unit 3]]+TblMili[[#This Row],[Druid bonus]]*TblMili[[#This Row],[Unit 4]]</f>
        <v>731.57142857142821</v>
      </c>
      <c r="CQ77" s="158">
        <f ca="1">MIN(6,TblMili[[#This Row],[Dryad]]+Races!$F$35)*1.8 +  IF(TblMili[[#This Row],[Dryad]]+Races!$F$35&gt;6,(TblMili[[#This Row],[Dryad]]+Races!$F$35-6)*0.2,0) - Races!$I$19</f>
        <v>-1.2857142857142856</v>
      </c>
      <c r="CR77" s="97">
        <f ca="1">sylvan*(TblMili[[#This Row],[Mystic bonus]]*TblMili[[#This Row],[Unit 3]])</f>
        <v>0</v>
      </c>
      <c r="CS77" s="158">
        <f ca="1">1.8 * MIN(MAX(Races!$E$27,TblMili[[#This Row],[Rockapult]]+Races!$F$27),6)  +  0.45 * MIN(MIN(Races!$E$27,TblMili[[#This Row],[Rockapult]]+Races!$F$27),6)  +  0.2 * ( MAX(Races!$E$27-6,0) + MAX(TblMili[[#This Row],[Rockapult]]+Races!$F$27-6,0) )  -  Races!$I$20</f>
        <v>2.7642857142857133</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0.51428571428571423</v>
      </c>
      <c r="CX77" s="158">
        <f ca="1">1.8 * MIN(MAX(TblMili[[#This Row],[Ice Elemental]]+Races!$E$71,Races!$F$71),6)  +  0.45 * MIN(MIN(TblMili[[#This Row],[Ice Elemental]]+Races!$E$71,Races!$F$71),6)  +  0.2 * ( MAX(TblMili[[#This Row],[Ice Elemental]]+Races!$E$71-6,0) + MAX(Races!$F$71-6,0) )  -  Races!$I$71</f>
        <v>6.4285714285714946E-2</v>
      </c>
      <c r="CY77" s="97">
        <f ca="1">TblMili[[#This Row],[Frost Mage bonus]]*TblMili[[#This Row],[Unit 3]]+TblMili[[#This Row],[Ice Elemental bonus]]*TblMili[[#This Row],[Unit 4]]</f>
        <v>362.44285714285752</v>
      </c>
      <c r="CZ77" s="268"/>
      <c r="DA77" s="146">
        <f ca="1">MIN(SUM(TblConstr[[#This Row],[Plain]:[Water]])/TblMili[[#This Row],[Land]]/favorable_terrain_bonus/100,favorable_terrain_max)</f>
        <v>0</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33370.800000000003</v>
      </c>
      <c r="DD77" s="145"/>
      <c r="DE77" s="269">
        <f ca="1">(TblMili[[#This Row],[Wizards]]+2*TblMili[[#This Row],[Archmages]])/TblConstr[[#This Row],[Land]]</f>
        <v>3.5714285714285712E-2</v>
      </c>
      <c r="DF77" s="269">
        <f ca="1">TblMili[[#This Row],[Raw (2)]]*(1+race_wizard_strength+IF(TblMili[[#This Row],[Hour]]&gt;72,tech_magical_weaponry_wiz*TblTech[[#This Row],[3-5]],0))</f>
        <v>3.5714285714285712E-2</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3126</v>
      </c>
      <c r="C78" s="160">
        <f ca="1">TblPop[[#This Row],[Military%]]</f>
        <v>0.2423443677804481</v>
      </c>
      <c r="D78" s="145"/>
      <c r="E78" s="45">
        <f ca="1">OFFSET(TblMili[[#This Row],[Unit 1]],-1,0) + OFFSET(TblMili[[#This Row],[Train Unit 1]],-9,0) - TblMili[[#This Row],[Release Unit 1]]</f>
        <v>0</v>
      </c>
      <c r="F78" s="45">
        <f ca="1">OFFSET(TblMili[[#This Row],[Unit 2]],-1,0) + OFFSET(TblMili[[#This Row],[Train Unit 2]],-9,0)-TblMili[[#This Row],[Release Unit 2]]</f>
        <v>898</v>
      </c>
      <c r="G78" s="45">
        <f ca="1">OFFSET(TblMili[[#This Row],[Unit 3]],-1,0) + OFFSET(TblMili[[#This Row],[Train Unit 3]],-12,0)-TblMili[[#This Row],[Release Unit 3]]</f>
        <v>625</v>
      </c>
      <c r="H78" s="45">
        <f ca="1">OFFSET(TblMili[[#This Row],[Unit 4]],-1,0) + OFFSET(TblMili[[#This Row],[Train Unit 4]],-12,0)-TblMili[[#This Row],[Release Unit 4]]</f>
        <v>638</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33895.800000000003</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3190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3269.7499999999995</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7420.5</v>
      </c>
      <c r="T78" s="262">
        <f ca="1">TblMili[[#This Row],[Non Draft]]+TblMili[[#This Row],[Draftees]]</f>
        <v>7420.5</v>
      </c>
      <c r="U78" s="263">
        <f ca="1">race_defense + TblImps[[#This Row],[Walls]] + ROUND( MIN(gt_bonus*TblConstr[[#This Row],[Tot GT]]/TblConstr[[#This Row],[Land]],gt_bonus_cap), 4) + IF(TblMagic[[#This Row],[Active Howling]]&gt;0,howling_dp_bonus,IF(TblMagic[[#This Row],[Active Ares Call]]&gt;0,ares_call_bonus))</f>
        <v>0.23750000000000002</v>
      </c>
      <c r="V78" s="264">
        <f ca="1">TblMili[[#This Row],[Non Draft]] * (1 + TblMili[[#This Row],[Mods_Def]])</f>
        <v>9182.8687499999996</v>
      </c>
      <c r="W78" s="262">
        <f ca="1">TblMili[[#This Row],[Draft]] * (1 + TblMili[[#This Row],[Mods_Def]])</f>
        <v>9182.8687499999996</v>
      </c>
      <c r="X78" s="262">
        <f ca="1">TblConstr[[#This Row],[Land]]</f>
        <v>700</v>
      </c>
      <c r="Y78" s="265"/>
      <c r="Z78" s="270">
        <f ca="1">IF(TblMili[[#This Row],[Set]]&lt;&gt;"",TblMili[[#This Row],[Set]],OFFSET(TblMili[[#This Row],[Draftrate]],-1,0))</f>
        <v>0.9</v>
      </c>
      <c r="AA78" s="97">
        <f ca="1">OFFSET(TblMili[[#This Row],[Draftees]],-1,0)+OFFSET(TblPop[[#This Row],[Draft Growth]],-1,0) - SUM(TblMili[[#This Row],[Train Unit 1]:[Train Spies]],TblMili[[#This Row],[Train Wiz]]) - TblMili[[#This Row],[Release Draft]] + SUM(TblMili[[#This Row],[Release Unit 1]:[Release AM]]) - TblExplore[[#This Row],[Draftees (2)]]</f>
        <v>0</v>
      </c>
      <c r="AB78" s="157"/>
      <c r="AC78" s="183">
        <f ca="1">(TblConstr[[#This Row],[Tot Smi]]+TblConstr[[#This Row],[Dest Smi]])/(TblConstr[[#This Row],[Land]]-TblExplore[[#This Row],[Land Bonus]]*20)</f>
        <v>0.18</v>
      </c>
      <c r="AD78" s="140"/>
      <c r="AE78" s="261">
        <f>TblMili[[#This Row],[Hour]]</f>
        <v>75</v>
      </c>
      <c r="AF78" s="141">
        <f ca="1">TblExplore[[#This Row],[Time]]</f>
        <v>45432.833333333154</v>
      </c>
      <c r="AG78" s="182"/>
      <c r="AH78" s="161">
        <v>98</v>
      </c>
      <c r="AI78" s="182"/>
      <c r="AJ78" s="182"/>
      <c r="AK78" s="182"/>
      <c r="AL78" s="182"/>
      <c r="AM78" s="182"/>
      <c r="AN78" s="182"/>
      <c r="AO78" s="145"/>
      <c r="AP78" s="97">
        <f ca="1">TblProd[[#This Row],[Platinum]]</f>
        <v>41111</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45432.833333333154</v>
      </c>
      <c r="AV78" s="97">
        <f ca="1">TblMili[[#This Row],[Draftees]]</f>
        <v>0</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192</v>
      </c>
      <c r="BJ78" s="97">
        <f ca="1">ROUNDUP(IF(race="Gnome",1,(1-MIN(TblMili[[#This Row],[Smithies]]*smithy_bonus,smithy_bonus_cap) + tech_3_5*TblTech[[#This Row],[3-5]] + tech_5_3*TblTech[[#This Row],[5-3]] + tech_5_5*TblTech[[#This Row],[5-5]]))*spec_op_ore,0)</f>
        <v>0</v>
      </c>
      <c r="BK78" s="97">
        <f ca="1">ROUNDUP((1-MIN(TblMili[[#This Row],[Smithies]]*smithy_bonus,smithy_bonus_cap) + tech_3_5*TblTech[[#This Row],[3-5]] + tech_5_3*TblTech[[#This Row],[5-3]] + tech_5_5*TblTech[[#This Row],[5-5]])*spec_dp_plat,0)</f>
        <v>192</v>
      </c>
      <c r="BL78" s="97">
        <f ca="1">ROUNDUP(IF(race="Gnome",1,(1-MIN(TblMili[[#This Row],[Smithies]]*smithy_bonus,smithy_bonus_cap) + tech_3_5*TblTech[[#This Row],[3-5]] + tech_5_3*TblTech[[#This Row],[5-3]] + tech_5_5*TblTech[[#This Row],[5-5]]))*spec_dp_ore,0)</f>
        <v>0</v>
      </c>
      <c r="BM78" s="97">
        <f ca="1">ROUNDUP((1-MIN(TblMili[[#This Row],[Smithies]]*smithy_bonus,smithy_bonus_cap) + tech_3_5*TblTech[[#This Row],[3-5]] + tech_5_3*TblTech[[#This Row],[5-3]] + tech_5_5*TblTech[[#This Row],[5-5]])*elite1_plat,0)</f>
        <v>592</v>
      </c>
      <c r="BN78" s="97">
        <f ca="1">ROUNDUP(IF(race="Gnome",1,(1-MIN(TblMili[[#This Row],[Smithies]]*smithy_bonus,smithy_bonus_cap) + tech_3_5*TblTech[[#This Row],[3-5]] + tech_5_3*TblTech[[#This Row],[5-3]] + tech_5_5*TblTech[[#This Row],[5-5]]))*elite1_ore,0)</f>
        <v>0</v>
      </c>
      <c r="BO78" s="97">
        <f ca="1">ROUNDUP((1-MIN(TblMili[[#This Row],[Smithies]]*smithy_bonus,smithy_bonus_cap) + tech_3_5*TblTech[[#This Row],[3-5]] + tech_5_3*TblTech[[#This Row],[5-3]] + tech_5_5*TblTech[[#This Row],[5-5]])*elite2_plat,0)</f>
        <v>608</v>
      </c>
      <c r="BP78" s="97">
        <f ca="1">ROUNDUP(IF(race="Gnome",1,(1-MIN(TblMili[[#This Row],[Smithies]]*smithy_bonus,smithy_bonus_cap) + tech_3_5*TblTech[[#This Row],[3-5]] + tech_5_3*TblTech[[#This Row],[5-3]] + tech_5_5*TblTech[[#This Row],[5-5]]))*elite2_ore,0)</f>
        <v>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5.7142857142857141E-2</v>
      </c>
      <c r="BW78" s="160">
        <f ca="1">TblMili[[#This Row],[WG''s]]</f>
        <v>0</v>
      </c>
      <c r="BX78" s="266">
        <f ca="1">IF(mystic_cap="none",TblMili[[#This Row],[Hill]]/mystic_bonus,MIN(mystic_cap,TblMili[[#This Row],[Hill]]/mystic_bonus))</f>
        <v>0.2857142857142857</v>
      </c>
      <c r="BY78" s="266">
        <f ca="1">IF(druid_op_cap="none",TblMili[[#This Row],[Hill]]/druid_op_bonus,MIN(druid_op_cap,TblMili[[#This Row],[Hill]]/druid_op_bonus))</f>
        <v>0.2857142857142857</v>
      </c>
      <c r="BZ78" s="266">
        <f ca="1">IF(druid_dp_cap="none",TblMili[[#This Row],[Hill]]/druid_dp_bonus,MIN(druid_dp_cap,TblMili[[#This Row],[Hill]]/druid_dp_bonus))</f>
        <v>0.2857142857142857</v>
      </c>
      <c r="CA78" s="266">
        <f ca="1">MIN(dryad_cap,TblMili[[#This Row],[Hill]]/dryad_bonus)</f>
        <v>0.2857142857142857</v>
      </c>
      <c r="CB78" s="266">
        <f ca="1">MIN(rocka_cap,TblMili[[#This Row],[Hill]]/rocka_bonus)</f>
        <v>0.2857142857142857</v>
      </c>
      <c r="CC78" s="266">
        <f ca="1">MIN(adept_op_cap,TblMili[[#This Row],[WG]]/adept_op_bonus)</f>
        <v>0</v>
      </c>
      <c r="CD78" s="266">
        <f ca="1">MIN(adept_dp_cap,TblMili[[#This Row],[WG]]/adept_dp_bonus)</f>
        <v>0</v>
      </c>
      <c r="CE78" s="97">
        <f ca="1">MIN(TblMili[[#This Row],[Unit 3]],TblMili[[#This Row],[Unit 2]])*2</f>
        <v>1250</v>
      </c>
      <c r="CF78" s="97">
        <f ca="1">MIN(TblMili[[#This Row],[Unit 1]],TblMili[[#This Row],[Unit 4]])*2</f>
        <v>0</v>
      </c>
      <c r="CG78" s="266">
        <f ca="1">MIN(frost_mage_cap,TblMili[[#This Row],[Hill]]/frost_mage_bonus)</f>
        <v>0.2857142857142857</v>
      </c>
      <c r="CH78" s="45">
        <f ca="1">MIN(ice_elem_cap,TblMili[[#This Row],[Raw (2)]]*ice_elem_bonus)</f>
        <v>3.5714285714285712E-2</v>
      </c>
      <c r="CI78" s="266">
        <f t="shared" si="3"/>
        <v>0.83333333333333337</v>
      </c>
      <c r="CJ78" s="266">
        <f ca="1">MIN(nox_nightshade_cap,TblConstr[[#This Row],[Homeland]]/TblConstr[[#This Row],[Land]]/nox_nightshade_swamp_bonus)</f>
        <v>0.5714285714285714</v>
      </c>
      <c r="CK78" s="267"/>
      <c r="CL78" s="267"/>
      <c r="CM78" s="267"/>
      <c r="CN78" s="266">
        <f ca="1">MIN(6,TblMili[[#This Row],[Mystic]]+Races!$F$19)*1.8 +  IF(TblMili[[#This Row],[Mystic]]+Races!$F$19&gt;6,(TblMili[[#This Row],[Mystic]]+Races!$F$19-6)*0.2,0) - Races!$I$19</f>
        <v>0.51428571428571423</v>
      </c>
      <c r="CO7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8" s="97">
        <f ca="1">TblMili[[#This Row],[Mystic bonus]]*TblMili[[#This Row],[Unit 3]]+TblMili[[#This Row],[Druid bonus]]*TblMili[[#This Row],[Unit 4]]</f>
        <v>731.57142857142821</v>
      </c>
      <c r="CQ78" s="158">
        <f ca="1">MIN(6,TblMili[[#This Row],[Dryad]]+Races!$F$35)*1.8 +  IF(TblMili[[#This Row],[Dryad]]+Races!$F$35&gt;6,(TblMili[[#This Row],[Dryad]]+Races!$F$35-6)*0.2,0) - Races!$I$19</f>
        <v>-1.2857142857142856</v>
      </c>
      <c r="CR78" s="97">
        <f ca="1">sylvan*(TblMili[[#This Row],[Mystic bonus]]*TblMili[[#This Row],[Unit 3]])</f>
        <v>0</v>
      </c>
      <c r="CS78" s="158">
        <f ca="1">1.8 * MIN(MAX(Races!$E$27,TblMili[[#This Row],[Rockapult]]+Races!$F$27),6)  +  0.45 * MIN(MIN(Races!$E$27,TblMili[[#This Row],[Rockapult]]+Races!$F$27),6)  +  0.2 * ( MAX(Races!$E$27-6,0) + MAX(TblMili[[#This Row],[Rockapult]]+Races!$F$27-6,0) )  -  Races!$I$20</f>
        <v>2.7642857142857133</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0.51428571428571423</v>
      </c>
      <c r="CX78" s="158">
        <f ca="1">1.8 * MIN(MAX(TblMili[[#This Row],[Ice Elemental]]+Races!$E$71,Races!$F$71),6)  +  0.45 * MIN(MIN(TblMili[[#This Row],[Ice Elemental]]+Races!$E$71,Races!$F$71),6)  +  0.2 * ( MAX(TblMili[[#This Row],[Ice Elemental]]+Races!$E$71-6,0) + MAX(Races!$F$71-6,0) )  -  Races!$I$71</f>
        <v>6.4285714285714946E-2</v>
      </c>
      <c r="CY78" s="97">
        <f ca="1">TblMili[[#This Row],[Frost Mage bonus]]*TblMili[[#This Row],[Unit 3]]+TblMili[[#This Row],[Ice Elemental bonus]]*TblMili[[#This Row],[Unit 4]]</f>
        <v>362.44285714285752</v>
      </c>
      <c r="CZ78" s="268"/>
      <c r="DA78" s="146">
        <f ca="1">MIN(SUM(TblConstr[[#This Row],[Plain]:[Water]])/TblMili[[#This Row],[Land]]/favorable_terrain_bonus/100,favorable_terrain_max)</f>
        <v>0</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33895.800000000003</v>
      </c>
      <c r="DD78" s="145"/>
      <c r="DE78" s="269">
        <f ca="1">(TblMili[[#This Row],[Wizards]]+2*TblMili[[#This Row],[Archmages]])/TblConstr[[#This Row],[Land]]</f>
        <v>3.5714285714285712E-2</v>
      </c>
      <c r="DF78" s="269">
        <f ca="1">TblMili[[#This Row],[Raw (2)]]*(1+race_wizard_strength+IF(TblMili[[#This Row],[Hour]]&gt;72,tech_magical_weaponry_wiz*TblTech[[#This Row],[3-5]],0))</f>
        <v>3.5714285714285712E-2</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3224</v>
      </c>
      <c r="C79" s="160">
        <f ca="1">TblPop[[#This Row],[Military%]]</f>
        <v>0.24916917845273978</v>
      </c>
      <c r="D79" s="145"/>
      <c r="E79" s="45">
        <f ca="1">OFFSET(TblMili[[#This Row],[Unit 1]],-1,0) + OFFSET(TblMili[[#This Row],[Train Unit 1]],-9,0) - TblMili[[#This Row],[Release Unit 1]]</f>
        <v>0</v>
      </c>
      <c r="F79" s="45">
        <f ca="1">OFFSET(TblMili[[#This Row],[Unit 2]],-1,0) + OFFSET(TblMili[[#This Row],[Train Unit 2]],-9,0)-TblMili[[#This Row],[Release Unit 2]]</f>
        <v>950</v>
      </c>
      <c r="G79" s="45">
        <f ca="1">OFFSET(TblMili[[#This Row],[Unit 3]],-1,0) + OFFSET(TblMili[[#This Row],[Train Unit 3]],-12,0)-TblMili[[#This Row],[Release Unit 3]]</f>
        <v>625</v>
      </c>
      <c r="H79" s="45">
        <f ca="1">OFFSET(TblMili[[#This Row],[Unit 4]],-1,0) + OFFSET(TblMili[[#This Row],[Train Unit 4]],-12,0)-TblMili[[#This Row],[Release Unit 4]]</f>
        <v>638</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34165.800000000003</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3190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3269.7499999999995</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7576.5</v>
      </c>
      <c r="T79" s="262">
        <f ca="1">TblMili[[#This Row],[Non Draft]]+TblMili[[#This Row],[Draftees]]</f>
        <v>7576.5</v>
      </c>
      <c r="U79" s="263">
        <f ca="1">race_defense + TblImps[[#This Row],[Walls]] + ROUND( MIN(gt_bonus*TblConstr[[#This Row],[Tot GT]]/TblConstr[[#This Row],[Land]],gt_bonus_cap), 4) + IF(TblMagic[[#This Row],[Active Howling]]&gt;0,howling_dp_bonus,IF(TblMagic[[#This Row],[Active Ares Call]]&gt;0,ares_call_bonus))</f>
        <v>0.23750000000000002</v>
      </c>
      <c r="V79" s="264">
        <f ca="1">TblMili[[#This Row],[Non Draft]] * (1 + TblMili[[#This Row],[Mods_Def]])</f>
        <v>9375.9187500000007</v>
      </c>
      <c r="W79" s="262">
        <f ca="1">TblMili[[#This Row],[Draft]] * (1 + TblMili[[#This Row],[Mods_Def]])</f>
        <v>9375.9187500000007</v>
      </c>
      <c r="X79" s="262">
        <f ca="1">TblConstr[[#This Row],[Land]]</f>
        <v>700</v>
      </c>
      <c r="Y79" s="265"/>
      <c r="Z79" s="270">
        <f ca="1">IF(TblMili[[#This Row],[Set]]&lt;&gt;"",TblMili[[#This Row],[Set]],OFFSET(TblMili[[#This Row],[Draftrate]],-1,0))</f>
        <v>0.9</v>
      </c>
      <c r="AA79" s="97">
        <f ca="1">OFFSET(TblMili[[#This Row],[Draftees]],-1,0)+OFFSET(TblPop[[#This Row],[Draft Growth]],-1,0) - SUM(TblMili[[#This Row],[Train Unit 1]:[Train Spies]],TblMili[[#This Row],[Train Wiz]]) - TblMili[[#This Row],[Release Draft]] + SUM(TblMili[[#This Row],[Release Unit 1]:[Release AM]]) - TblExplore[[#This Row],[Draftees (2)]]</f>
        <v>0</v>
      </c>
      <c r="AB79" s="157"/>
      <c r="AC79" s="183">
        <f ca="1">(TblConstr[[#This Row],[Tot Smi]]+TblConstr[[#This Row],[Dest Smi]])/(TblConstr[[#This Row],[Land]]-TblExplore[[#This Row],[Land Bonus]]*20)</f>
        <v>0.18</v>
      </c>
      <c r="AD79" s="140"/>
      <c r="AE79" s="261">
        <f>TblMili[[#This Row],[Hour]]</f>
        <v>76</v>
      </c>
      <c r="AF79" s="141">
        <f ca="1">TblExplore[[#This Row],[Time]]</f>
        <v>45432.874999999818</v>
      </c>
      <c r="AG79" s="182"/>
      <c r="AH79" s="182">
        <v>98</v>
      </c>
      <c r="AI79" s="182"/>
      <c r="AJ79" s="182"/>
      <c r="AK79" s="182"/>
      <c r="AL79" s="182"/>
      <c r="AM79" s="182"/>
      <c r="AN79" s="182"/>
      <c r="AO79" s="145"/>
      <c r="AP79" s="97">
        <f ca="1">TblProd[[#This Row],[Platinum]]</f>
        <v>68865</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45432.874999999818</v>
      </c>
      <c r="AV79" s="97">
        <f ca="1">TblMili[[#This Row],[Draftees]]</f>
        <v>0</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192</v>
      </c>
      <c r="BJ79" s="97">
        <f ca="1">ROUNDUP(IF(race="Gnome",1,(1-MIN(TblMili[[#This Row],[Smithies]]*smithy_bonus,smithy_bonus_cap) + tech_3_5*TblTech[[#This Row],[3-5]] + tech_5_3*TblTech[[#This Row],[5-3]] + tech_5_5*TblTech[[#This Row],[5-5]]))*spec_op_ore,0)</f>
        <v>0</v>
      </c>
      <c r="BK79" s="97">
        <f ca="1">ROUNDUP((1-MIN(TblMili[[#This Row],[Smithies]]*smithy_bonus,smithy_bonus_cap) + tech_3_5*TblTech[[#This Row],[3-5]] + tech_5_3*TblTech[[#This Row],[5-3]] + tech_5_5*TblTech[[#This Row],[5-5]])*spec_dp_plat,0)</f>
        <v>192</v>
      </c>
      <c r="BL79" s="97">
        <f ca="1">ROUNDUP(IF(race="Gnome",1,(1-MIN(TblMili[[#This Row],[Smithies]]*smithy_bonus,smithy_bonus_cap) + tech_3_5*TblTech[[#This Row],[3-5]] + tech_5_3*TblTech[[#This Row],[5-3]] + tech_5_5*TblTech[[#This Row],[5-5]]))*spec_dp_ore,0)</f>
        <v>0</v>
      </c>
      <c r="BM79" s="97">
        <f ca="1">ROUNDUP((1-MIN(TblMili[[#This Row],[Smithies]]*smithy_bonus,smithy_bonus_cap) + tech_3_5*TblTech[[#This Row],[3-5]] + tech_5_3*TblTech[[#This Row],[5-3]] + tech_5_5*TblTech[[#This Row],[5-5]])*elite1_plat,0)</f>
        <v>592</v>
      </c>
      <c r="BN79" s="97">
        <f ca="1">ROUNDUP(IF(race="Gnome",1,(1-MIN(TblMili[[#This Row],[Smithies]]*smithy_bonus,smithy_bonus_cap) + tech_3_5*TblTech[[#This Row],[3-5]] + tech_5_3*TblTech[[#This Row],[5-3]] + tech_5_5*TblTech[[#This Row],[5-5]]))*elite1_ore,0)</f>
        <v>0</v>
      </c>
      <c r="BO79" s="97">
        <f ca="1">ROUNDUP((1-MIN(TblMili[[#This Row],[Smithies]]*smithy_bonus,smithy_bonus_cap) + tech_3_5*TblTech[[#This Row],[3-5]] + tech_5_3*TblTech[[#This Row],[5-3]] + tech_5_5*TblTech[[#This Row],[5-5]])*elite2_plat,0)</f>
        <v>608</v>
      </c>
      <c r="BP79" s="97">
        <f ca="1">ROUNDUP(IF(race="Gnome",1,(1-MIN(TblMili[[#This Row],[Smithies]]*smithy_bonus,smithy_bonus_cap) + tech_3_5*TblTech[[#This Row],[3-5]] + tech_5_3*TblTech[[#This Row],[5-3]] + tech_5_5*TblTech[[#This Row],[5-5]]))*elite2_ore,0)</f>
        <v>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5.7142857142857141E-2</v>
      </c>
      <c r="BW79" s="160">
        <f ca="1">TblMili[[#This Row],[WG''s]]</f>
        <v>0</v>
      </c>
      <c r="BX79" s="266">
        <f ca="1">IF(mystic_cap="none",TblMili[[#This Row],[Hill]]/mystic_bonus,MIN(mystic_cap,TblMili[[#This Row],[Hill]]/mystic_bonus))</f>
        <v>0.2857142857142857</v>
      </c>
      <c r="BY79" s="266">
        <f ca="1">IF(druid_op_cap="none",TblMili[[#This Row],[Hill]]/druid_op_bonus,MIN(druid_op_cap,TblMili[[#This Row],[Hill]]/druid_op_bonus))</f>
        <v>0.2857142857142857</v>
      </c>
      <c r="BZ79" s="266">
        <f ca="1">IF(druid_dp_cap="none",TblMili[[#This Row],[Hill]]/druid_dp_bonus,MIN(druid_dp_cap,TblMili[[#This Row],[Hill]]/druid_dp_bonus))</f>
        <v>0.2857142857142857</v>
      </c>
      <c r="CA79" s="266">
        <f ca="1">MIN(dryad_cap,TblMili[[#This Row],[Hill]]/dryad_bonus)</f>
        <v>0.2857142857142857</v>
      </c>
      <c r="CB79" s="266">
        <f ca="1">MIN(rocka_cap,TblMili[[#This Row],[Hill]]/rocka_bonus)</f>
        <v>0.2857142857142857</v>
      </c>
      <c r="CC79" s="266">
        <f ca="1">MIN(adept_op_cap,TblMili[[#This Row],[WG]]/adept_op_bonus)</f>
        <v>0</v>
      </c>
      <c r="CD79" s="266">
        <f ca="1">MIN(adept_dp_cap,TblMili[[#This Row],[WG]]/adept_dp_bonus)</f>
        <v>0</v>
      </c>
      <c r="CE79" s="97">
        <f ca="1">MIN(TblMili[[#This Row],[Unit 3]],TblMili[[#This Row],[Unit 2]])*2</f>
        <v>1250</v>
      </c>
      <c r="CF79" s="97">
        <f ca="1">MIN(TblMili[[#This Row],[Unit 1]],TblMili[[#This Row],[Unit 4]])*2</f>
        <v>0</v>
      </c>
      <c r="CG79" s="266">
        <f ca="1">MIN(frost_mage_cap,TblMili[[#This Row],[Hill]]/frost_mage_bonus)</f>
        <v>0.2857142857142857</v>
      </c>
      <c r="CH79" s="45">
        <f ca="1">MIN(ice_elem_cap,TblMili[[#This Row],[Raw (2)]]*ice_elem_bonus)</f>
        <v>3.5714285714285712E-2</v>
      </c>
      <c r="CI79" s="266">
        <f t="shared" si="3"/>
        <v>0.83333333333333337</v>
      </c>
      <c r="CJ79" s="266">
        <f ca="1">MIN(nox_nightshade_cap,TblConstr[[#This Row],[Homeland]]/TblConstr[[#This Row],[Land]]/nox_nightshade_swamp_bonus)</f>
        <v>0.5714285714285714</v>
      </c>
      <c r="CK79" s="267"/>
      <c r="CL79" s="267"/>
      <c r="CM79" s="267"/>
      <c r="CN79" s="266">
        <f ca="1">MIN(6,TblMili[[#This Row],[Mystic]]+Races!$F$19)*1.8 +  IF(TblMili[[#This Row],[Mystic]]+Races!$F$19&gt;6,(TblMili[[#This Row],[Mystic]]+Races!$F$19-6)*0.2,0) - Races!$I$19</f>
        <v>0.51428571428571423</v>
      </c>
      <c r="CO7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79" s="97">
        <f ca="1">TblMili[[#This Row],[Mystic bonus]]*TblMili[[#This Row],[Unit 3]]+TblMili[[#This Row],[Druid bonus]]*TblMili[[#This Row],[Unit 4]]</f>
        <v>731.57142857142821</v>
      </c>
      <c r="CQ79" s="158">
        <f ca="1">MIN(6,TblMili[[#This Row],[Dryad]]+Races!$F$35)*1.8 +  IF(TblMili[[#This Row],[Dryad]]+Races!$F$35&gt;6,(TblMili[[#This Row],[Dryad]]+Races!$F$35-6)*0.2,0) - Races!$I$19</f>
        <v>-1.2857142857142856</v>
      </c>
      <c r="CR79" s="97">
        <f ca="1">sylvan*(TblMili[[#This Row],[Mystic bonus]]*TblMili[[#This Row],[Unit 3]])</f>
        <v>0</v>
      </c>
      <c r="CS79" s="158">
        <f ca="1">1.8 * MIN(MAX(Races!$E$27,TblMili[[#This Row],[Rockapult]]+Races!$F$27),6)  +  0.45 * MIN(MIN(Races!$E$27,TblMili[[#This Row],[Rockapult]]+Races!$F$27),6)  +  0.2 * ( MAX(Races!$E$27-6,0) + MAX(TblMili[[#This Row],[Rockapult]]+Races!$F$27-6,0) )  -  Races!$I$20</f>
        <v>2.7642857142857133</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0.51428571428571423</v>
      </c>
      <c r="CX79" s="158">
        <f ca="1">1.8 * MIN(MAX(TblMili[[#This Row],[Ice Elemental]]+Races!$E$71,Races!$F$71),6)  +  0.45 * MIN(MIN(TblMili[[#This Row],[Ice Elemental]]+Races!$E$71,Races!$F$71),6)  +  0.2 * ( MAX(TblMili[[#This Row],[Ice Elemental]]+Races!$E$71-6,0) + MAX(Races!$F$71-6,0) )  -  Races!$I$71</f>
        <v>6.4285714285714946E-2</v>
      </c>
      <c r="CY79" s="97">
        <f ca="1">TblMili[[#This Row],[Frost Mage bonus]]*TblMili[[#This Row],[Unit 3]]+TblMili[[#This Row],[Ice Elemental bonus]]*TblMili[[#This Row],[Unit 4]]</f>
        <v>362.44285714285752</v>
      </c>
      <c r="CZ79" s="268"/>
      <c r="DA79" s="146">
        <f ca="1">MIN(SUM(TblConstr[[#This Row],[Plain]:[Water]])/TblMili[[#This Row],[Land]]/favorable_terrain_bonus/100,favorable_terrain_max)</f>
        <v>0</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34165.800000000003</v>
      </c>
      <c r="DD79" s="145"/>
      <c r="DE79" s="269">
        <f ca="1">(TblMili[[#This Row],[Wizards]]+2*TblMili[[#This Row],[Archmages]])/TblConstr[[#This Row],[Land]]</f>
        <v>3.5714285714285712E-2</v>
      </c>
      <c r="DF79" s="269">
        <f ca="1">TblMili[[#This Row],[Raw (2)]]*(1+race_wizard_strength+IF(TblMili[[#This Row],[Hour]]&gt;72,tech_magical_weaponry_wiz*TblTech[[#This Row],[3-5]],0))</f>
        <v>3.5714285714285712E-2</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3321</v>
      </c>
      <c r="C80" s="160">
        <f ca="1">TblPop[[#This Row],[Military%]]</f>
        <v>0.2566658938094134</v>
      </c>
      <c r="D80" s="145"/>
      <c r="E80" s="45">
        <f ca="1">OFFSET(TblMili[[#This Row],[Unit 1]],-1,0) + OFFSET(TblMili[[#This Row],[Train Unit 1]],-9,0) - TblMili[[#This Row],[Release Unit 1]]</f>
        <v>0</v>
      </c>
      <c r="F80" s="45">
        <f ca="1">OFFSET(TblMili[[#This Row],[Unit 2]],-1,0) + OFFSET(TblMili[[#This Row],[Train Unit 2]],-9,0)-TblMili[[#This Row],[Release Unit 2]]</f>
        <v>1002</v>
      </c>
      <c r="G80" s="45">
        <f ca="1">OFFSET(TblMili[[#This Row],[Unit 3]],-1,0) + OFFSET(TblMili[[#This Row],[Train Unit 3]],-12,0)-TblMili[[#This Row],[Release Unit 3]]</f>
        <v>625</v>
      </c>
      <c r="H80" s="45">
        <f ca="1">OFFSET(TblMili[[#This Row],[Unit 4]],-1,0) + OFFSET(TblMili[[#This Row],[Train Unit 4]],-12,0)-TblMili[[#This Row],[Release Unit 4]]</f>
        <v>638</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34425.800000000003</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3190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3269.7499999999995</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7732.5</v>
      </c>
      <c r="T80" s="262">
        <f ca="1">TblMili[[#This Row],[Non Draft]]+TblMili[[#This Row],[Draftees]]</f>
        <v>7829.5</v>
      </c>
      <c r="U80" s="263">
        <f ca="1">race_defense + TblImps[[#This Row],[Walls]] + ROUND( MIN(gt_bonus*TblConstr[[#This Row],[Tot GT]]/TblConstr[[#This Row],[Land]],gt_bonus_cap), 4) + IF(TblMagic[[#This Row],[Active Howling]]&gt;0,howling_dp_bonus,IF(TblMagic[[#This Row],[Active Ares Call]]&gt;0,ares_call_bonus))</f>
        <v>0.23750000000000002</v>
      </c>
      <c r="V80" s="264">
        <f ca="1">TblMili[[#This Row],[Non Draft]] * (1 + TblMili[[#This Row],[Mods_Def]])</f>
        <v>9568.96875</v>
      </c>
      <c r="W80" s="262">
        <f ca="1">TblMili[[#This Row],[Draft]] * (1 + TblMili[[#This Row],[Mods_Def]])</f>
        <v>9689.0062500000004</v>
      </c>
      <c r="X80" s="262">
        <f ca="1">TblConstr[[#This Row],[Land]]</f>
        <v>700</v>
      </c>
      <c r="Y80" s="265"/>
      <c r="Z80" s="270">
        <f ca="1">IF(TblMili[[#This Row],[Set]]&lt;&gt;"",TblMili[[#This Row],[Set]],OFFSET(TblMili[[#This Row],[Draftrate]],-1,0))</f>
        <v>0.9</v>
      </c>
      <c r="AA80" s="97">
        <f ca="1">OFFSET(TblMili[[#This Row],[Draftees]],-1,0)+OFFSET(TblPop[[#This Row],[Draft Growth]],-1,0) - SUM(TblMili[[#This Row],[Train Unit 1]:[Train Spies]],TblMili[[#This Row],[Train Wiz]]) - TblMili[[#This Row],[Release Draft]] + SUM(TblMili[[#This Row],[Release Unit 1]:[Release AM]]) - TblExplore[[#This Row],[Draftees (2)]]</f>
        <v>97</v>
      </c>
      <c r="AB80" s="157"/>
      <c r="AC80" s="183">
        <f ca="1">(TblConstr[[#This Row],[Tot Smi]]+TblConstr[[#This Row],[Dest Smi]])/(TblConstr[[#This Row],[Land]]-TblExplore[[#This Row],[Land Bonus]]*20)</f>
        <v>0.18</v>
      </c>
      <c r="AD80" s="140"/>
      <c r="AE80" s="261">
        <f>TblMili[[#This Row],[Hour]]</f>
        <v>77</v>
      </c>
      <c r="AF80" s="141">
        <f ca="1">TblExplore[[#This Row],[Time]]</f>
        <v>45432.916666666482</v>
      </c>
      <c r="AG80" s="182"/>
      <c r="AH80" s="182"/>
      <c r="AI80" s="182"/>
      <c r="AJ80" s="182"/>
      <c r="AK80" s="182"/>
      <c r="AL80" s="182"/>
      <c r="AM80" s="182"/>
      <c r="AN80" s="182"/>
      <c r="AO80" s="145"/>
      <c r="AP80" s="97">
        <f ca="1">TblProd[[#This Row],[Platinum]]</f>
        <v>153735</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45432.916666666482</v>
      </c>
      <c r="AV80" s="97">
        <f ca="1">TblMili[[#This Row],[Draftees]]</f>
        <v>97</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192</v>
      </c>
      <c r="BJ80" s="97">
        <f ca="1">ROUNDUP(IF(race="Gnome",1,(1-MIN(TblMili[[#This Row],[Smithies]]*smithy_bonus,smithy_bonus_cap) + tech_3_5*TblTech[[#This Row],[3-5]] + tech_5_3*TblTech[[#This Row],[5-3]] + tech_5_5*TblTech[[#This Row],[5-5]]))*spec_op_ore,0)</f>
        <v>0</v>
      </c>
      <c r="BK80" s="97">
        <f ca="1">ROUNDUP((1-MIN(TblMili[[#This Row],[Smithies]]*smithy_bonus,smithy_bonus_cap) + tech_3_5*TblTech[[#This Row],[3-5]] + tech_5_3*TblTech[[#This Row],[5-3]] + tech_5_5*TblTech[[#This Row],[5-5]])*spec_dp_plat,0)</f>
        <v>192</v>
      </c>
      <c r="BL80" s="97">
        <f ca="1">ROUNDUP(IF(race="Gnome",1,(1-MIN(TblMili[[#This Row],[Smithies]]*smithy_bonus,smithy_bonus_cap) + tech_3_5*TblTech[[#This Row],[3-5]] + tech_5_3*TblTech[[#This Row],[5-3]] + tech_5_5*TblTech[[#This Row],[5-5]]))*spec_dp_ore,0)</f>
        <v>0</v>
      </c>
      <c r="BM80" s="97">
        <f ca="1">ROUNDUP((1-MIN(TblMili[[#This Row],[Smithies]]*smithy_bonus,smithy_bonus_cap) + tech_3_5*TblTech[[#This Row],[3-5]] + tech_5_3*TblTech[[#This Row],[5-3]] + tech_5_5*TblTech[[#This Row],[5-5]])*elite1_plat,0)</f>
        <v>592</v>
      </c>
      <c r="BN80" s="97">
        <f ca="1">ROUNDUP(IF(race="Gnome",1,(1-MIN(TblMili[[#This Row],[Smithies]]*smithy_bonus,smithy_bonus_cap) + tech_3_5*TblTech[[#This Row],[3-5]] + tech_5_3*TblTech[[#This Row],[5-3]] + tech_5_5*TblTech[[#This Row],[5-5]]))*elite1_ore,0)</f>
        <v>0</v>
      </c>
      <c r="BO80" s="97">
        <f ca="1">ROUNDUP((1-MIN(TblMili[[#This Row],[Smithies]]*smithy_bonus,smithy_bonus_cap) + tech_3_5*TblTech[[#This Row],[3-5]] + tech_5_3*TblTech[[#This Row],[5-3]] + tech_5_5*TblTech[[#This Row],[5-5]])*elite2_plat,0)</f>
        <v>608</v>
      </c>
      <c r="BP80" s="97">
        <f ca="1">ROUNDUP(IF(race="Gnome",1,(1-MIN(TblMili[[#This Row],[Smithies]]*smithy_bonus,smithy_bonus_cap) + tech_3_5*TblTech[[#This Row],[3-5]] + tech_5_3*TblTech[[#This Row],[5-3]] + tech_5_5*TblTech[[#This Row],[5-5]]))*elite2_ore,0)</f>
        <v>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5.7142857142857141E-2</v>
      </c>
      <c r="BW80" s="160">
        <f ca="1">TblMili[[#This Row],[WG''s]]</f>
        <v>0</v>
      </c>
      <c r="BX80" s="266">
        <f ca="1">IF(mystic_cap="none",TblMili[[#This Row],[Hill]]/mystic_bonus,MIN(mystic_cap,TblMili[[#This Row],[Hill]]/mystic_bonus))</f>
        <v>0.2857142857142857</v>
      </c>
      <c r="BY80" s="266">
        <f ca="1">IF(druid_op_cap="none",TblMili[[#This Row],[Hill]]/druid_op_bonus,MIN(druid_op_cap,TblMili[[#This Row],[Hill]]/druid_op_bonus))</f>
        <v>0.2857142857142857</v>
      </c>
      <c r="BZ80" s="266">
        <f ca="1">IF(druid_dp_cap="none",TblMili[[#This Row],[Hill]]/druid_dp_bonus,MIN(druid_dp_cap,TblMili[[#This Row],[Hill]]/druid_dp_bonus))</f>
        <v>0.2857142857142857</v>
      </c>
      <c r="CA80" s="266">
        <f ca="1">MIN(dryad_cap,TblMili[[#This Row],[Hill]]/dryad_bonus)</f>
        <v>0.2857142857142857</v>
      </c>
      <c r="CB80" s="266">
        <f ca="1">MIN(rocka_cap,TblMili[[#This Row],[Hill]]/rocka_bonus)</f>
        <v>0.2857142857142857</v>
      </c>
      <c r="CC80" s="266">
        <f ca="1">MIN(adept_op_cap,TblMili[[#This Row],[WG]]/adept_op_bonus)</f>
        <v>0</v>
      </c>
      <c r="CD80" s="266">
        <f ca="1">MIN(adept_dp_cap,TblMili[[#This Row],[WG]]/adept_dp_bonus)</f>
        <v>0</v>
      </c>
      <c r="CE80" s="97">
        <f ca="1">MIN(TblMili[[#This Row],[Unit 3]],TblMili[[#This Row],[Unit 2]])*2</f>
        <v>1250</v>
      </c>
      <c r="CF80" s="97">
        <f ca="1">MIN(TblMili[[#This Row],[Unit 1]],TblMili[[#This Row],[Unit 4]])*2</f>
        <v>0</v>
      </c>
      <c r="CG80" s="266">
        <f ca="1">MIN(frost_mage_cap,TblMili[[#This Row],[Hill]]/frost_mage_bonus)</f>
        <v>0.2857142857142857</v>
      </c>
      <c r="CH80" s="45">
        <f ca="1">MIN(ice_elem_cap,TblMili[[#This Row],[Raw (2)]]*ice_elem_bonus)</f>
        <v>3.5714285714285712E-2</v>
      </c>
      <c r="CI80" s="266">
        <f t="shared" si="3"/>
        <v>0.83333333333333337</v>
      </c>
      <c r="CJ80" s="266">
        <f ca="1">MIN(nox_nightshade_cap,TblConstr[[#This Row],[Homeland]]/TblConstr[[#This Row],[Land]]/nox_nightshade_swamp_bonus)</f>
        <v>0.5714285714285714</v>
      </c>
      <c r="CK80" s="267"/>
      <c r="CL80" s="267"/>
      <c r="CM80" s="267"/>
      <c r="CN80" s="266">
        <f ca="1">MIN(6,TblMili[[#This Row],[Mystic]]+Races!$F$19)*1.8 +  IF(TblMili[[#This Row],[Mystic]]+Races!$F$19&gt;6,(TblMili[[#This Row],[Mystic]]+Races!$F$19-6)*0.2,0) - Races!$I$19</f>
        <v>0.51428571428571423</v>
      </c>
      <c r="CO8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0" s="97">
        <f ca="1">TblMili[[#This Row],[Mystic bonus]]*TblMili[[#This Row],[Unit 3]]+TblMili[[#This Row],[Druid bonus]]*TblMili[[#This Row],[Unit 4]]</f>
        <v>731.57142857142821</v>
      </c>
      <c r="CQ80" s="158">
        <f ca="1">MIN(6,TblMili[[#This Row],[Dryad]]+Races!$F$35)*1.8 +  IF(TblMili[[#This Row],[Dryad]]+Races!$F$35&gt;6,(TblMili[[#This Row],[Dryad]]+Races!$F$35-6)*0.2,0) - Races!$I$19</f>
        <v>-1.2857142857142856</v>
      </c>
      <c r="CR80" s="97">
        <f ca="1">sylvan*(TblMili[[#This Row],[Mystic bonus]]*TblMili[[#This Row],[Unit 3]])</f>
        <v>0</v>
      </c>
      <c r="CS80" s="158">
        <f ca="1">1.8 * MIN(MAX(Races!$E$27,TblMili[[#This Row],[Rockapult]]+Races!$F$27),6)  +  0.45 * MIN(MIN(Races!$E$27,TblMili[[#This Row],[Rockapult]]+Races!$F$27),6)  +  0.2 * ( MAX(Races!$E$27-6,0) + MAX(TblMili[[#This Row],[Rockapult]]+Races!$F$27-6,0) )  -  Races!$I$20</f>
        <v>2.7642857142857133</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0.51428571428571423</v>
      </c>
      <c r="CX80" s="158">
        <f ca="1">1.8 * MIN(MAX(TblMili[[#This Row],[Ice Elemental]]+Races!$E$71,Races!$F$71),6)  +  0.45 * MIN(MIN(TblMili[[#This Row],[Ice Elemental]]+Races!$E$71,Races!$F$71),6)  +  0.2 * ( MAX(TblMili[[#This Row],[Ice Elemental]]+Races!$E$71-6,0) + MAX(Races!$F$71-6,0) )  -  Races!$I$71</f>
        <v>6.4285714285714946E-2</v>
      </c>
      <c r="CY80" s="97">
        <f ca="1">TblMili[[#This Row],[Frost Mage bonus]]*TblMili[[#This Row],[Unit 3]]+TblMili[[#This Row],[Ice Elemental bonus]]*TblMili[[#This Row],[Unit 4]]</f>
        <v>362.44285714285752</v>
      </c>
      <c r="CZ80" s="268"/>
      <c r="DA80" s="146">
        <f ca="1">MIN(SUM(TblConstr[[#This Row],[Plain]:[Water]])/TblMili[[#This Row],[Land]]/favorable_terrain_bonus/100,favorable_terrain_max)</f>
        <v>0</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34425.800000000003</v>
      </c>
      <c r="DD80" s="145"/>
      <c r="DE80" s="269">
        <f ca="1">(TblMili[[#This Row],[Wizards]]+2*TblMili[[#This Row],[Archmages]])/TblConstr[[#This Row],[Land]]</f>
        <v>3.5714285714285712E-2</v>
      </c>
      <c r="DF80" s="269">
        <f ca="1">TblMili[[#This Row],[Raw (2)]]*(1+race_wizard_strength+IF(TblMili[[#This Row],[Hour]]&gt;72,tech_magical_weaponry_wiz*TblTech[[#This Row],[3-5]],0))</f>
        <v>3.5714285714285712E-2</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3417</v>
      </c>
      <c r="C81" s="160">
        <f ca="1">TblPop[[#This Row],[Military%]]</f>
        <v>0.26408532344076047</v>
      </c>
      <c r="D81" s="145"/>
      <c r="E81" s="45">
        <f ca="1">OFFSET(TblMili[[#This Row],[Unit 1]],-1,0) + OFFSET(TblMili[[#This Row],[Train Unit 1]],-9,0) - TblMili[[#This Row],[Release Unit 1]]</f>
        <v>0</v>
      </c>
      <c r="F81" s="45">
        <f ca="1">OFFSET(TblMili[[#This Row],[Unit 2]],-1,0) + OFFSET(TblMili[[#This Row],[Train Unit 2]],-9,0)-TblMili[[#This Row],[Release Unit 2]]</f>
        <v>1002</v>
      </c>
      <c r="G81" s="45">
        <f ca="1">OFFSET(TblMili[[#This Row],[Unit 3]],-1,0) + OFFSET(TblMili[[#This Row],[Train Unit 3]],-12,0)-TblMili[[#This Row],[Release Unit 3]]</f>
        <v>625</v>
      </c>
      <c r="H81" s="45">
        <f ca="1">OFFSET(TblMili[[#This Row],[Unit 4]],-1,0) + OFFSET(TblMili[[#This Row],[Train Unit 4]],-12,0)-TblMili[[#This Row],[Release Unit 4]]</f>
        <v>638</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34425.800000000003</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3190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3269.7499999999995</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7732.5</v>
      </c>
      <c r="T81" s="262">
        <f ca="1">TblMili[[#This Row],[Non Draft]]+TblMili[[#This Row],[Draftees]]</f>
        <v>7925.5</v>
      </c>
      <c r="U81" s="263">
        <f ca="1">race_defense + TblImps[[#This Row],[Walls]] + ROUND( MIN(gt_bonus*TblConstr[[#This Row],[Tot GT]]/TblConstr[[#This Row],[Land]],gt_bonus_cap), 4) + IF(TblMagic[[#This Row],[Active Howling]]&gt;0,howling_dp_bonus,IF(TblMagic[[#This Row],[Active Ares Call]]&gt;0,ares_call_bonus))</f>
        <v>0.23750000000000002</v>
      </c>
      <c r="V81" s="264">
        <f ca="1">TblMili[[#This Row],[Non Draft]] * (1 + TblMili[[#This Row],[Mods_Def]])</f>
        <v>9568.96875</v>
      </c>
      <c r="W81" s="262">
        <f ca="1">TblMili[[#This Row],[Draft]] * (1 + TblMili[[#This Row],[Mods_Def]])</f>
        <v>9807.8062499999996</v>
      </c>
      <c r="X81" s="262">
        <f ca="1">TblConstr[[#This Row],[Land]]</f>
        <v>700</v>
      </c>
      <c r="Y81" s="265"/>
      <c r="Z81" s="270">
        <f ca="1">IF(TblMili[[#This Row],[Set]]&lt;&gt;"",TblMili[[#This Row],[Set]],OFFSET(TblMili[[#This Row],[Draftrate]],-1,0))</f>
        <v>0.9</v>
      </c>
      <c r="AA81" s="97">
        <f ca="1">OFFSET(TblMili[[#This Row],[Draftees]],-1,0)+OFFSET(TblPop[[#This Row],[Draft Growth]],-1,0) - SUM(TblMili[[#This Row],[Train Unit 1]:[Train Spies]],TblMili[[#This Row],[Train Wiz]]) - TblMili[[#This Row],[Release Draft]] + SUM(TblMili[[#This Row],[Release Unit 1]:[Release AM]]) - TblExplore[[#This Row],[Draftees (2)]]</f>
        <v>193</v>
      </c>
      <c r="AB81" s="157"/>
      <c r="AC81" s="183">
        <f ca="1">(TblConstr[[#This Row],[Tot Smi]]+TblConstr[[#This Row],[Dest Smi]])/(TblConstr[[#This Row],[Land]]-TblExplore[[#This Row],[Land Bonus]]*20)</f>
        <v>0.18</v>
      </c>
      <c r="AD81" s="140"/>
      <c r="AE81" s="261">
        <f>TblMili[[#This Row],[Hour]]</f>
        <v>78</v>
      </c>
      <c r="AF81" s="141">
        <f ca="1">TblExplore[[#This Row],[Time]]</f>
        <v>45432.958333333147</v>
      </c>
      <c r="AG81" s="182"/>
      <c r="AH81" s="182"/>
      <c r="AI81" s="182"/>
      <c r="AJ81" s="182"/>
      <c r="AK81" s="182"/>
      <c r="AL81" s="182"/>
      <c r="AM81" s="182"/>
      <c r="AN81" s="182"/>
      <c r="AO81" s="145"/>
      <c r="AP81" s="97">
        <f ca="1">TblProd[[#This Row],[Platinum]]</f>
        <v>199845</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45432.958333333147</v>
      </c>
      <c r="AV81" s="97">
        <f ca="1">TblMili[[#This Row],[Draftees]]</f>
        <v>193</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192</v>
      </c>
      <c r="BJ81" s="97">
        <f ca="1">ROUNDUP(IF(race="Gnome",1,(1-MIN(TblMili[[#This Row],[Smithies]]*smithy_bonus,smithy_bonus_cap) + tech_3_5*TblTech[[#This Row],[3-5]] + tech_5_3*TblTech[[#This Row],[5-3]] + tech_5_5*TblTech[[#This Row],[5-5]]))*spec_op_ore,0)</f>
        <v>0</v>
      </c>
      <c r="BK81" s="97">
        <f ca="1">ROUNDUP((1-MIN(TblMili[[#This Row],[Smithies]]*smithy_bonus,smithy_bonus_cap) + tech_3_5*TblTech[[#This Row],[3-5]] + tech_5_3*TblTech[[#This Row],[5-3]] + tech_5_5*TblTech[[#This Row],[5-5]])*spec_dp_plat,0)</f>
        <v>192</v>
      </c>
      <c r="BL81" s="97">
        <f ca="1">ROUNDUP(IF(race="Gnome",1,(1-MIN(TblMili[[#This Row],[Smithies]]*smithy_bonus,smithy_bonus_cap) + tech_3_5*TblTech[[#This Row],[3-5]] + tech_5_3*TblTech[[#This Row],[5-3]] + tech_5_5*TblTech[[#This Row],[5-5]]))*spec_dp_ore,0)</f>
        <v>0</v>
      </c>
      <c r="BM81" s="97">
        <f ca="1">ROUNDUP((1-MIN(TblMili[[#This Row],[Smithies]]*smithy_bonus,smithy_bonus_cap) + tech_3_5*TblTech[[#This Row],[3-5]] + tech_5_3*TblTech[[#This Row],[5-3]] + tech_5_5*TblTech[[#This Row],[5-5]])*elite1_plat,0)</f>
        <v>592</v>
      </c>
      <c r="BN81" s="97">
        <f ca="1">ROUNDUP(IF(race="Gnome",1,(1-MIN(TblMili[[#This Row],[Smithies]]*smithy_bonus,smithy_bonus_cap) + tech_3_5*TblTech[[#This Row],[3-5]] + tech_5_3*TblTech[[#This Row],[5-3]] + tech_5_5*TblTech[[#This Row],[5-5]]))*elite1_ore,0)</f>
        <v>0</v>
      </c>
      <c r="BO81" s="97">
        <f ca="1">ROUNDUP((1-MIN(TblMili[[#This Row],[Smithies]]*smithy_bonus,smithy_bonus_cap) + tech_3_5*TblTech[[#This Row],[3-5]] + tech_5_3*TblTech[[#This Row],[5-3]] + tech_5_5*TblTech[[#This Row],[5-5]])*elite2_plat,0)</f>
        <v>608</v>
      </c>
      <c r="BP81" s="97">
        <f ca="1">ROUNDUP(IF(race="Gnome",1,(1-MIN(TblMili[[#This Row],[Smithies]]*smithy_bonus,smithy_bonus_cap) + tech_3_5*TblTech[[#This Row],[3-5]] + tech_5_3*TblTech[[#This Row],[5-3]] + tech_5_5*TblTech[[#This Row],[5-5]]))*elite2_ore,0)</f>
        <v>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5.7142857142857141E-2</v>
      </c>
      <c r="BW81" s="160">
        <f ca="1">TblMili[[#This Row],[WG''s]]</f>
        <v>0</v>
      </c>
      <c r="BX81" s="266">
        <f ca="1">IF(mystic_cap="none",TblMili[[#This Row],[Hill]]/mystic_bonus,MIN(mystic_cap,TblMili[[#This Row],[Hill]]/mystic_bonus))</f>
        <v>0.2857142857142857</v>
      </c>
      <c r="BY81" s="266">
        <f ca="1">IF(druid_op_cap="none",TblMili[[#This Row],[Hill]]/druid_op_bonus,MIN(druid_op_cap,TblMili[[#This Row],[Hill]]/druid_op_bonus))</f>
        <v>0.2857142857142857</v>
      </c>
      <c r="BZ81" s="266">
        <f ca="1">IF(druid_dp_cap="none",TblMili[[#This Row],[Hill]]/druid_dp_bonus,MIN(druid_dp_cap,TblMili[[#This Row],[Hill]]/druid_dp_bonus))</f>
        <v>0.2857142857142857</v>
      </c>
      <c r="CA81" s="266">
        <f ca="1">MIN(dryad_cap,TblMili[[#This Row],[Hill]]/dryad_bonus)</f>
        <v>0.2857142857142857</v>
      </c>
      <c r="CB81" s="266">
        <f ca="1">MIN(rocka_cap,TblMili[[#This Row],[Hill]]/rocka_bonus)</f>
        <v>0.2857142857142857</v>
      </c>
      <c r="CC81" s="266">
        <f ca="1">MIN(adept_op_cap,TblMili[[#This Row],[WG]]/adept_op_bonus)</f>
        <v>0</v>
      </c>
      <c r="CD81" s="266">
        <f ca="1">MIN(adept_dp_cap,TblMili[[#This Row],[WG]]/adept_dp_bonus)</f>
        <v>0</v>
      </c>
      <c r="CE81" s="97">
        <f ca="1">MIN(TblMili[[#This Row],[Unit 3]],TblMili[[#This Row],[Unit 2]])*2</f>
        <v>1250</v>
      </c>
      <c r="CF81" s="97">
        <f ca="1">MIN(TblMili[[#This Row],[Unit 1]],TblMili[[#This Row],[Unit 4]])*2</f>
        <v>0</v>
      </c>
      <c r="CG81" s="266">
        <f ca="1">MIN(frost_mage_cap,TblMili[[#This Row],[Hill]]/frost_mage_bonus)</f>
        <v>0.2857142857142857</v>
      </c>
      <c r="CH81" s="45">
        <f ca="1">MIN(ice_elem_cap,TblMili[[#This Row],[Raw (2)]]*ice_elem_bonus)</f>
        <v>3.5714285714285712E-2</v>
      </c>
      <c r="CI81" s="266">
        <f t="shared" si="3"/>
        <v>0.83333333333333337</v>
      </c>
      <c r="CJ81" s="266">
        <f ca="1">MIN(nox_nightshade_cap,TblConstr[[#This Row],[Homeland]]/TblConstr[[#This Row],[Land]]/nox_nightshade_swamp_bonus)</f>
        <v>0.5714285714285714</v>
      </c>
      <c r="CK81" s="267"/>
      <c r="CL81" s="267"/>
      <c r="CM81" s="267"/>
      <c r="CN81" s="266">
        <f ca="1">MIN(6,TblMili[[#This Row],[Mystic]]+Races!$F$19)*1.8 +  IF(TblMili[[#This Row],[Mystic]]+Races!$F$19&gt;6,(TblMili[[#This Row],[Mystic]]+Races!$F$19-6)*0.2,0) - Races!$I$19</f>
        <v>0.51428571428571423</v>
      </c>
      <c r="CO8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1" s="97">
        <f ca="1">TblMili[[#This Row],[Mystic bonus]]*TblMili[[#This Row],[Unit 3]]+TblMili[[#This Row],[Druid bonus]]*TblMili[[#This Row],[Unit 4]]</f>
        <v>731.57142857142821</v>
      </c>
      <c r="CQ81" s="158">
        <f ca="1">MIN(6,TblMili[[#This Row],[Dryad]]+Races!$F$35)*1.8 +  IF(TblMili[[#This Row],[Dryad]]+Races!$F$35&gt;6,(TblMili[[#This Row],[Dryad]]+Races!$F$35-6)*0.2,0) - Races!$I$19</f>
        <v>-1.2857142857142856</v>
      </c>
      <c r="CR81" s="97">
        <f ca="1">sylvan*(TblMili[[#This Row],[Mystic bonus]]*TblMili[[#This Row],[Unit 3]])</f>
        <v>0</v>
      </c>
      <c r="CS81" s="158">
        <f ca="1">1.8 * MIN(MAX(Races!$E$27,TblMili[[#This Row],[Rockapult]]+Races!$F$27),6)  +  0.45 * MIN(MIN(Races!$E$27,TblMili[[#This Row],[Rockapult]]+Races!$F$27),6)  +  0.2 * ( MAX(Races!$E$27-6,0) + MAX(TblMili[[#This Row],[Rockapult]]+Races!$F$27-6,0) )  -  Races!$I$20</f>
        <v>2.7642857142857133</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0.51428571428571423</v>
      </c>
      <c r="CX81" s="158">
        <f ca="1">1.8 * MIN(MAX(TblMili[[#This Row],[Ice Elemental]]+Races!$E$71,Races!$F$71),6)  +  0.45 * MIN(MIN(TblMili[[#This Row],[Ice Elemental]]+Races!$E$71,Races!$F$71),6)  +  0.2 * ( MAX(TblMili[[#This Row],[Ice Elemental]]+Races!$E$71-6,0) + MAX(Races!$F$71-6,0) )  -  Races!$I$71</f>
        <v>6.4285714285714946E-2</v>
      </c>
      <c r="CY81" s="97">
        <f ca="1">TblMili[[#This Row],[Frost Mage bonus]]*TblMili[[#This Row],[Unit 3]]+TblMili[[#This Row],[Ice Elemental bonus]]*TblMili[[#This Row],[Unit 4]]</f>
        <v>362.44285714285752</v>
      </c>
      <c r="CZ81" s="268"/>
      <c r="DA81" s="146">
        <f ca="1">MIN(SUM(TblConstr[[#This Row],[Plain]:[Water]])/TblMili[[#This Row],[Land]]/favorable_terrain_bonus/100,favorable_terrain_max)</f>
        <v>0</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34425.800000000003</v>
      </c>
      <c r="DD81" s="145"/>
      <c r="DE81" s="269">
        <f ca="1">(TblMili[[#This Row],[Wizards]]+2*TblMili[[#This Row],[Archmages]])/TblConstr[[#This Row],[Land]]</f>
        <v>3.5714285714285712E-2</v>
      </c>
      <c r="DF81" s="269">
        <f ca="1">TblMili[[#This Row],[Raw (2)]]*(1+race_wizard_strength+IF(TblMili[[#This Row],[Hour]]&gt;72,tech_magical_weaponry_wiz*TblTech[[#This Row],[3-5]],0))</f>
        <v>3.5714285714285712E-2</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3512</v>
      </c>
      <c r="C82" s="160">
        <f ca="1">TblPop[[#This Row],[Military%]]</f>
        <v>0.27142746734678103</v>
      </c>
      <c r="D82" s="145"/>
      <c r="E82" s="45">
        <f ca="1">OFFSET(TblMili[[#This Row],[Unit 1]],-1,0) + OFFSET(TblMili[[#This Row],[Train Unit 1]],-9,0) - TblMili[[#This Row],[Release Unit 1]]</f>
        <v>0</v>
      </c>
      <c r="F82" s="45">
        <f ca="1">OFFSET(TblMili[[#This Row],[Unit 2]],-1,0) + OFFSET(TblMili[[#This Row],[Train Unit 2]],-9,0)-TblMili[[#This Row],[Release Unit 2]]</f>
        <v>1002</v>
      </c>
      <c r="G82" s="45">
        <f ca="1">OFFSET(TblMili[[#This Row],[Unit 3]],-1,0) + OFFSET(TblMili[[#This Row],[Train Unit 3]],-12,0)-TblMili[[#This Row],[Release Unit 3]]</f>
        <v>625</v>
      </c>
      <c r="H82" s="45">
        <f ca="1">OFFSET(TblMili[[#This Row],[Unit 4]],-1,0) + OFFSET(TblMili[[#This Row],[Train Unit 4]],-12,0)-TblMili[[#This Row],[Release Unit 4]]</f>
        <v>696</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35026.1</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3480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3566.9999999999995</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7906.5</v>
      </c>
      <c r="T82" s="262">
        <f ca="1">TblMili[[#This Row],[Non Draft]]+TblMili[[#This Row],[Draftees]]</f>
        <v>8194.5</v>
      </c>
      <c r="U82" s="263">
        <f ca="1">race_defense + TblImps[[#This Row],[Walls]] + ROUND( MIN(gt_bonus*TblConstr[[#This Row],[Tot GT]]/TblConstr[[#This Row],[Land]],gt_bonus_cap), 4) + IF(TblMagic[[#This Row],[Active Howling]]&gt;0,howling_dp_bonus,IF(TblMagic[[#This Row],[Active Ares Call]]&gt;0,ares_call_bonus))</f>
        <v>0.23750000000000002</v>
      </c>
      <c r="V82" s="264">
        <f ca="1">TblMili[[#This Row],[Non Draft]] * (1 + TblMili[[#This Row],[Mods_Def]])</f>
        <v>9784.2937500000007</v>
      </c>
      <c r="W82" s="262">
        <f ca="1">TblMili[[#This Row],[Draft]] * (1 + TblMili[[#This Row],[Mods_Def]])</f>
        <v>10140.69375</v>
      </c>
      <c r="X82" s="262">
        <f ca="1">TblConstr[[#This Row],[Land]]</f>
        <v>700</v>
      </c>
      <c r="Y82" s="265"/>
      <c r="Z82" s="270">
        <f ca="1">IF(TblMili[[#This Row],[Set]]&lt;&gt;"",TblMili[[#This Row],[Set]],OFFSET(TblMili[[#This Row],[Draftrate]],-1,0))</f>
        <v>0.9</v>
      </c>
      <c r="AA82" s="97">
        <f ca="1">OFFSET(TblMili[[#This Row],[Draftees]],-1,0)+OFFSET(TblPop[[#This Row],[Draft Growth]],-1,0) - SUM(TblMili[[#This Row],[Train Unit 1]:[Train Spies]],TblMili[[#This Row],[Train Wiz]]) - TblMili[[#This Row],[Release Draft]] + SUM(TblMili[[#This Row],[Release Unit 1]:[Release AM]]) - TblExplore[[#This Row],[Draftees (2)]]</f>
        <v>288</v>
      </c>
      <c r="AB82" s="157"/>
      <c r="AC82" s="183">
        <f ca="1">(TblConstr[[#This Row],[Tot Smi]]+TblConstr[[#This Row],[Dest Smi]])/(TblConstr[[#This Row],[Land]]-TblExplore[[#This Row],[Land Bonus]]*20)</f>
        <v>0.18</v>
      </c>
      <c r="AD82" s="140"/>
      <c r="AE82" s="261">
        <f>TblMili[[#This Row],[Hour]]</f>
        <v>79</v>
      </c>
      <c r="AF82" s="141">
        <f ca="1">TblExplore[[#This Row],[Time]]</f>
        <v>45432.999999999811</v>
      </c>
      <c r="AG82" s="182"/>
      <c r="AH82" s="182"/>
      <c r="AI82" s="182"/>
      <c r="AJ82" s="182"/>
      <c r="AK82" s="182"/>
      <c r="AL82" s="182"/>
      <c r="AM82" s="182"/>
      <c r="AN82" s="182"/>
      <c r="AO82" s="145"/>
      <c r="AP82" s="97">
        <f ca="1">TblProd[[#This Row],[Platinum]]</f>
        <v>245670</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45432.999999999811</v>
      </c>
      <c r="AV82" s="97">
        <f ca="1">TblMili[[#This Row],[Draftees]]</f>
        <v>288</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192</v>
      </c>
      <c r="BJ82" s="97">
        <f ca="1">ROUNDUP(IF(race="Gnome",1,(1-MIN(TblMili[[#This Row],[Smithies]]*smithy_bonus,smithy_bonus_cap) + tech_3_5*TblTech[[#This Row],[3-5]] + tech_5_3*TblTech[[#This Row],[5-3]] + tech_5_5*TblTech[[#This Row],[5-5]]))*spec_op_ore,0)</f>
        <v>0</v>
      </c>
      <c r="BK82" s="97">
        <f ca="1">ROUNDUP((1-MIN(TblMili[[#This Row],[Smithies]]*smithy_bonus,smithy_bonus_cap) + tech_3_5*TblTech[[#This Row],[3-5]] + tech_5_3*TblTech[[#This Row],[5-3]] + tech_5_5*TblTech[[#This Row],[5-5]])*spec_dp_plat,0)</f>
        <v>192</v>
      </c>
      <c r="BL82" s="97">
        <f ca="1">ROUNDUP(IF(race="Gnome",1,(1-MIN(TblMili[[#This Row],[Smithies]]*smithy_bonus,smithy_bonus_cap) + tech_3_5*TblTech[[#This Row],[3-5]] + tech_5_3*TblTech[[#This Row],[5-3]] + tech_5_5*TblTech[[#This Row],[5-5]]))*spec_dp_ore,0)</f>
        <v>0</v>
      </c>
      <c r="BM82" s="97">
        <f ca="1">ROUNDUP((1-MIN(TblMili[[#This Row],[Smithies]]*smithy_bonus,smithy_bonus_cap) + tech_3_5*TblTech[[#This Row],[3-5]] + tech_5_3*TblTech[[#This Row],[5-3]] + tech_5_5*TblTech[[#This Row],[5-5]])*elite1_plat,0)</f>
        <v>592</v>
      </c>
      <c r="BN82" s="97">
        <f ca="1">ROUNDUP(IF(race="Gnome",1,(1-MIN(TblMili[[#This Row],[Smithies]]*smithy_bonus,smithy_bonus_cap) + tech_3_5*TblTech[[#This Row],[3-5]] + tech_5_3*TblTech[[#This Row],[5-3]] + tech_5_5*TblTech[[#This Row],[5-5]]))*elite1_ore,0)</f>
        <v>0</v>
      </c>
      <c r="BO82" s="97">
        <f ca="1">ROUNDUP((1-MIN(TblMili[[#This Row],[Smithies]]*smithy_bonus,smithy_bonus_cap) + tech_3_5*TblTech[[#This Row],[3-5]] + tech_5_3*TblTech[[#This Row],[5-3]] + tech_5_5*TblTech[[#This Row],[5-5]])*elite2_plat,0)</f>
        <v>608</v>
      </c>
      <c r="BP82" s="97">
        <f ca="1">ROUNDUP(IF(race="Gnome",1,(1-MIN(TblMili[[#This Row],[Smithies]]*smithy_bonus,smithy_bonus_cap) + tech_3_5*TblTech[[#This Row],[3-5]] + tech_5_3*TblTech[[#This Row],[5-3]] + tech_5_5*TblTech[[#This Row],[5-5]]))*elite2_ore,0)</f>
        <v>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5.7142857142857141E-2</v>
      </c>
      <c r="BW82" s="160">
        <f ca="1">TblMili[[#This Row],[WG''s]]</f>
        <v>0</v>
      </c>
      <c r="BX82" s="266">
        <f ca="1">IF(mystic_cap="none",TblMili[[#This Row],[Hill]]/mystic_bonus,MIN(mystic_cap,TblMili[[#This Row],[Hill]]/mystic_bonus))</f>
        <v>0.2857142857142857</v>
      </c>
      <c r="BY82" s="266">
        <f ca="1">IF(druid_op_cap="none",TblMili[[#This Row],[Hill]]/druid_op_bonus,MIN(druid_op_cap,TblMili[[#This Row],[Hill]]/druid_op_bonus))</f>
        <v>0.2857142857142857</v>
      </c>
      <c r="BZ82" s="266">
        <f ca="1">IF(druid_dp_cap="none",TblMili[[#This Row],[Hill]]/druid_dp_bonus,MIN(druid_dp_cap,TblMili[[#This Row],[Hill]]/druid_dp_bonus))</f>
        <v>0.2857142857142857</v>
      </c>
      <c r="CA82" s="266">
        <f ca="1">MIN(dryad_cap,TblMili[[#This Row],[Hill]]/dryad_bonus)</f>
        <v>0.2857142857142857</v>
      </c>
      <c r="CB82" s="266">
        <f ca="1">MIN(rocka_cap,TblMili[[#This Row],[Hill]]/rocka_bonus)</f>
        <v>0.2857142857142857</v>
      </c>
      <c r="CC82" s="266">
        <f ca="1">MIN(adept_op_cap,TblMili[[#This Row],[WG]]/adept_op_bonus)</f>
        <v>0</v>
      </c>
      <c r="CD82" s="266">
        <f ca="1">MIN(adept_dp_cap,TblMili[[#This Row],[WG]]/adept_dp_bonus)</f>
        <v>0</v>
      </c>
      <c r="CE82" s="97">
        <f ca="1">MIN(TblMili[[#This Row],[Unit 3]],TblMili[[#This Row],[Unit 2]])*2</f>
        <v>1250</v>
      </c>
      <c r="CF82" s="97">
        <f ca="1">MIN(TblMili[[#This Row],[Unit 1]],TblMili[[#This Row],[Unit 4]])*2</f>
        <v>0</v>
      </c>
      <c r="CG82" s="266">
        <f ca="1">MIN(frost_mage_cap,TblMili[[#This Row],[Hill]]/frost_mage_bonus)</f>
        <v>0.2857142857142857</v>
      </c>
      <c r="CH82" s="45">
        <f ca="1">MIN(ice_elem_cap,TblMili[[#This Row],[Raw (2)]]*ice_elem_bonus)</f>
        <v>3.5714285714285712E-2</v>
      </c>
      <c r="CI82" s="266">
        <f t="shared" si="3"/>
        <v>0.83333333333333337</v>
      </c>
      <c r="CJ82" s="266">
        <f ca="1">MIN(nox_nightshade_cap,TblConstr[[#This Row],[Homeland]]/TblConstr[[#This Row],[Land]]/nox_nightshade_swamp_bonus)</f>
        <v>0.5714285714285714</v>
      </c>
      <c r="CK82" s="267"/>
      <c r="CL82" s="267"/>
      <c r="CM82" s="267"/>
      <c r="CN82" s="266">
        <f ca="1">MIN(6,TblMili[[#This Row],[Mystic]]+Races!$F$19)*1.8 +  IF(TblMili[[#This Row],[Mystic]]+Races!$F$19&gt;6,(TblMili[[#This Row],[Mystic]]+Races!$F$19-6)*0.2,0) - Races!$I$19</f>
        <v>0.51428571428571423</v>
      </c>
      <c r="CO8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2" s="97">
        <f ca="1">TblMili[[#This Row],[Mystic bonus]]*TblMili[[#This Row],[Unit 3]]+TblMili[[#This Row],[Druid bonus]]*TblMili[[#This Row],[Unit 4]]</f>
        <v>768.85714285714243</v>
      </c>
      <c r="CQ82" s="158">
        <f ca="1">MIN(6,TblMili[[#This Row],[Dryad]]+Races!$F$35)*1.8 +  IF(TblMili[[#This Row],[Dryad]]+Races!$F$35&gt;6,(TblMili[[#This Row],[Dryad]]+Races!$F$35-6)*0.2,0) - Races!$I$19</f>
        <v>-1.2857142857142856</v>
      </c>
      <c r="CR82" s="97">
        <f ca="1">sylvan*(TblMili[[#This Row],[Mystic bonus]]*TblMili[[#This Row],[Unit 3]])</f>
        <v>0</v>
      </c>
      <c r="CS82" s="158">
        <f ca="1">1.8 * MIN(MAX(Races!$E$27,TblMili[[#This Row],[Rockapult]]+Races!$F$27),6)  +  0.45 * MIN(MIN(Races!$E$27,TblMili[[#This Row],[Rockapult]]+Races!$F$27),6)  +  0.2 * ( MAX(Races!$E$27-6,0) + MAX(TblMili[[#This Row],[Rockapult]]+Races!$F$27-6,0) )  -  Races!$I$20</f>
        <v>2.7642857142857133</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0.51428571428571423</v>
      </c>
      <c r="CX82" s="158">
        <f ca="1">1.8 * MIN(MAX(TblMili[[#This Row],[Ice Elemental]]+Races!$E$71,Races!$F$71),6)  +  0.45 * MIN(MIN(TblMili[[#This Row],[Ice Elemental]]+Races!$E$71,Races!$F$71),6)  +  0.2 * ( MAX(TblMili[[#This Row],[Ice Elemental]]+Races!$E$71-6,0) + MAX(Races!$F$71-6,0) )  -  Races!$I$71</f>
        <v>6.4285714285714946E-2</v>
      </c>
      <c r="CY82" s="97">
        <f ca="1">TblMili[[#This Row],[Frost Mage bonus]]*TblMili[[#This Row],[Unit 3]]+TblMili[[#This Row],[Ice Elemental bonus]]*TblMili[[#This Row],[Unit 4]]</f>
        <v>366.17142857142898</v>
      </c>
      <c r="CZ82" s="268"/>
      <c r="DA82" s="146">
        <f ca="1">MIN(SUM(TblConstr[[#This Row],[Plain]:[Water]])/TblMili[[#This Row],[Land]]/favorable_terrain_bonus/100,favorable_terrain_max)</f>
        <v>0</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35026.1</v>
      </c>
      <c r="DD82" s="145"/>
      <c r="DE82" s="269">
        <f ca="1">(TblMili[[#This Row],[Wizards]]+2*TblMili[[#This Row],[Archmages]])/TblConstr[[#This Row],[Land]]</f>
        <v>3.5714285714285712E-2</v>
      </c>
      <c r="DF82" s="269">
        <f ca="1">TblMili[[#This Row],[Raw (2)]]*(1+race_wizard_strength+IF(TblMili[[#This Row],[Hour]]&gt;72,tech_magical_weaponry_wiz*TblTech[[#This Row],[3-5]],0))</f>
        <v>3.5714285714285712E-2</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3606</v>
      </c>
      <c r="C83" s="160">
        <f ca="1">TblPop[[#This Row],[Military%]]</f>
        <v>0.27869232552747508</v>
      </c>
      <c r="D83" s="145"/>
      <c r="E83" s="45">
        <f ca="1">OFFSET(TblMili[[#This Row],[Unit 1]],-1,0) + OFFSET(TblMili[[#This Row],[Train Unit 1]],-9,0) - TblMili[[#This Row],[Release Unit 1]]</f>
        <v>0</v>
      </c>
      <c r="F83" s="45">
        <f ca="1">OFFSET(TblMili[[#This Row],[Unit 2]],-1,0) + OFFSET(TblMili[[#This Row],[Train Unit 2]],-9,0)-TblMili[[#This Row],[Release Unit 2]]</f>
        <v>1002</v>
      </c>
      <c r="G83" s="45">
        <f ca="1">OFFSET(TblMili[[#This Row],[Unit 3]],-1,0) + OFFSET(TblMili[[#This Row],[Train Unit 3]],-12,0)-TblMili[[#This Row],[Release Unit 3]]</f>
        <v>625</v>
      </c>
      <c r="H83" s="45">
        <f ca="1">OFFSET(TblMili[[#This Row],[Unit 4]],-1,0) + OFFSET(TblMili[[#This Row],[Train Unit 4]],-12,0)-TblMili[[#This Row],[Release Unit 4]]</f>
        <v>748</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35564.300000000003</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3740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3833.4999999999995</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8062.5</v>
      </c>
      <c r="T83" s="262">
        <f ca="1">TblMili[[#This Row],[Non Draft]]+TblMili[[#This Row],[Draftees]]</f>
        <v>8444.5</v>
      </c>
      <c r="U83" s="263">
        <f ca="1">race_defense + TblImps[[#This Row],[Walls]] + ROUND( MIN(gt_bonus*TblConstr[[#This Row],[Tot GT]]/TblConstr[[#This Row],[Land]],gt_bonus_cap), 4) + IF(TblMagic[[#This Row],[Active Howling]]&gt;0,howling_dp_bonus,IF(TblMagic[[#This Row],[Active Ares Call]]&gt;0,ares_call_bonus))</f>
        <v>0.23750000000000002</v>
      </c>
      <c r="V83" s="264">
        <f ca="1">TblMili[[#This Row],[Non Draft]] * (1 + TblMili[[#This Row],[Mods_Def]])</f>
        <v>9977.34375</v>
      </c>
      <c r="W83" s="262">
        <f ca="1">TblMili[[#This Row],[Draft]] * (1 + TblMili[[#This Row],[Mods_Def]])</f>
        <v>10450.06875</v>
      </c>
      <c r="X83" s="262">
        <f ca="1">TblConstr[[#This Row],[Land]]</f>
        <v>700</v>
      </c>
      <c r="Y83" s="265"/>
      <c r="Z83" s="270">
        <f ca="1">IF(TblMili[[#This Row],[Set]]&lt;&gt;"",TblMili[[#This Row],[Set]],OFFSET(TblMili[[#This Row],[Draftrate]],-1,0))</f>
        <v>0.9</v>
      </c>
      <c r="AA83" s="97">
        <f ca="1">OFFSET(TblMili[[#This Row],[Draftees]],-1,0)+OFFSET(TblPop[[#This Row],[Draft Growth]],-1,0) - SUM(TblMili[[#This Row],[Train Unit 1]:[Train Spies]],TblMili[[#This Row],[Train Wiz]]) - TblMili[[#This Row],[Release Draft]] + SUM(TblMili[[#This Row],[Release Unit 1]:[Release AM]]) - TblExplore[[#This Row],[Draftees (2)]]</f>
        <v>382</v>
      </c>
      <c r="AB83" s="157"/>
      <c r="AC83" s="183">
        <f ca="1">(TblConstr[[#This Row],[Tot Smi]]+TblConstr[[#This Row],[Dest Smi]])/(TblConstr[[#This Row],[Land]]-TblExplore[[#This Row],[Land Bonus]]*20)</f>
        <v>0.18</v>
      </c>
      <c r="AD83" s="140"/>
      <c r="AE83" s="261">
        <f>TblMili[[#This Row],[Hour]]</f>
        <v>80</v>
      </c>
      <c r="AF83" s="141">
        <f ca="1">TblExplore[[#This Row],[Time]]</f>
        <v>45433.041666666475</v>
      </c>
      <c r="AG83" s="182"/>
      <c r="AH83" s="182"/>
      <c r="AI83" s="182"/>
      <c r="AJ83" s="182"/>
      <c r="AK83" s="182"/>
      <c r="AL83" s="182"/>
      <c r="AM83" s="182"/>
      <c r="AN83" s="182"/>
      <c r="AO83" s="145"/>
      <c r="AP83" s="97">
        <f ca="1">TblProd[[#This Row],[Platinum]]</f>
        <v>291213</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45433.041666666475</v>
      </c>
      <c r="AV83" s="97">
        <f ca="1">TblMili[[#This Row],[Draftees]]</f>
        <v>382</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192</v>
      </c>
      <c r="BJ83" s="97">
        <f ca="1">ROUNDUP(IF(race="Gnome",1,(1-MIN(TblMili[[#This Row],[Smithies]]*smithy_bonus,smithy_bonus_cap) + tech_3_5*TblTech[[#This Row],[3-5]] + tech_5_3*TblTech[[#This Row],[5-3]] + tech_5_5*TblTech[[#This Row],[5-5]]))*spec_op_ore,0)</f>
        <v>0</v>
      </c>
      <c r="BK83" s="97">
        <f ca="1">ROUNDUP((1-MIN(TblMili[[#This Row],[Smithies]]*smithy_bonus,smithy_bonus_cap) + tech_3_5*TblTech[[#This Row],[3-5]] + tech_5_3*TblTech[[#This Row],[5-3]] + tech_5_5*TblTech[[#This Row],[5-5]])*spec_dp_plat,0)</f>
        <v>192</v>
      </c>
      <c r="BL83" s="97">
        <f ca="1">ROUNDUP(IF(race="Gnome",1,(1-MIN(TblMili[[#This Row],[Smithies]]*smithy_bonus,smithy_bonus_cap) + tech_3_5*TblTech[[#This Row],[3-5]] + tech_5_3*TblTech[[#This Row],[5-3]] + tech_5_5*TblTech[[#This Row],[5-5]]))*spec_dp_ore,0)</f>
        <v>0</v>
      </c>
      <c r="BM83" s="97">
        <f ca="1">ROUNDUP((1-MIN(TblMili[[#This Row],[Smithies]]*smithy_bonus,smithy_bonus_cap) + tech_3_5*TblTech[[#This Row],[3-5]] + tech_5_3*TblTech[[#This Row],[5-3]] + tech_5_5*TblTech[[#This Row],[5-5]])*elite1_plat,0)</f>
        <v>592</v>
      </c>
      <c r="BN83" s="97">
        <f ca="1">ROUNDUP(IF(race="Gnome",1,(1-MIN(TblMili[[#This Row],[Smithies]]*smithy_bonus,smithy_bonus_cap) + tech_3_5*TblTech[[#This Row],[3-5]] + tech_5_3*TblTech[[#This Row],[5-3]] + tech_5_5*TblTech[[#This Row],[5-5]]))*elite1_ore,0)</f>
        <v>0</v>
      </c>
      <c r="BO83" s="97">
        <f ca="1">ROUNDUP((1-MIN(TblMili[[#This Row],[Smithies]]*smithy_bonus,smithy_bonus_cap) + tech_3_5*TblTech[[#This Row],[3-5]] + tech_5_3*TblTech[[#This Row],[5-3]] + tech_5_5*TblTech[[#This Row],[5-5]])*elite2_plat,0)</f>
        <v>608</v>
      </c>
      <c r="BP83" s="97">
        <f ca="1">ROUNDUP(IF(race="Gnome",1,(1-MIN(TblMili[[#This Row],[Smithies]]*smithy_bonus,smithy_bonus_cap) + tech_3_5*TblTech[[#This Row],[3-5]] + tech_5_3*TblTech[[#This Row],[5-3]] + tech_5_5*TblTech[[#This Row],[5-5]]))*elite2_ore,0)</f>
        <v>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5.7142857142857141E-2</v>
      </c>
      <c r="BW83" s="160">
        <f ca="1">TblMili[[#This Row],[WG''s]]</f>
        <v>0</v>
      </c>
      <c r="BX83" s="266">
        <f ca="1">IF(mystic_cap="none",TblMili[[#This Row],[Hill]]/mystic_bonus,MIN(mystic_cap,TblMili[[#This Row],[Hill]]/mystic_bonus))</f>
        <v>0.2857142857142857</v>
      </c>
      <c r="BY83" s="266">
        <f ca="1">IF(druid_op_cap="none",TblMili[[#This Row],[Hill]]/druid_op_bonus,MIN(druid_op_cap,TblMili[[#This Row],[Hill]]/druid_op_bonus))</f>
        <v>0.2857142857142857</v>
      </c>
      <c r="BZ83" s="266">
        <f ca="1">IF(druid_dp_cap="none",TblMili[[#This Row],[Hill]]/druid_dp_bonus,MIN(druid_dp_cap,TblMili[[#This Row],[Hill]]/druid_dp_bonus))</f>
        <v>0.2857142857142857</v>
      </c>
      <c r="CA83" s="266">
        <f ca="1">MIN(dryad_cap,TblMili[[#This Row],[Hill]]/dryad_bonus)</f>
        <v>0.2857142857142857</v>
      </c>
      <c r="CB83" s="266">
        <f ca="1">MIN(rocka_cap,TblMili[[#This Row],[Hill]]/rocka_bonus)</f>
        <v>0.2857142857142857</v>
      </c>
      <c r="CC83" s="266">
        <f ca="1">MIN(adept_op_cap,TblMili[[#This Row],[WG]]/adept_op_bonus)</f>
        <v>0</v>
      </c>
      <c r="CD83" s="266">
        <f ca="1">MIN(adept_dp_cap,TblMili[[#This Row],[WG]]/adept_dp_bonus)</f>
        <v>0</v>
      </c>
      <c r="CE83" s="97">
        <f ca="1">MIN(TblMili[[#This Row],[Unit 3]],TblMili[[#This Row],[Unit 2]])*2</f>
        <v>1250</v>
      </c>
      <c r="CF83" s="97">
        <f ca="1">MIN(TblMili[[#This Row],[Unit 1]],TblMili[[#This Row],[Unit 4]])*2</f>
        <v>0</v>
      </c>
      <c r="CG83" s="266">
        <f ca="1">MIN(frost_mage_cap,TblMili[[#This Row],[Hill]]/frost_mage_bonus)</f>
        <v>0.2857142857142857</v>
      </c>
      <c r="CH83" s="45">
        <f ca="1">MIN(ice_elem_cap,TblMili[[#This Row],[Raw (2)]]*ice_elem_bonus)</f>
        <v>3.5714285714285712E-2</v>
      </c>
      <c r="CI83" s="266">
        <f t="shared" si="3"/>
        <v>0.83333333333333337</v>
      </c>
      <c r="CJ83" s="266">
        <f ca="1">MIN(nox_nightshade_cap,TblConstr[[#This Row],[Homeland]]/TblConstr[[#This Row],[Land]]/nox_nightshade_swamp_bonus)</f>
        <v>0.5714285714285714</v>
      </c>
      <c r="CK83" s="267"/>
      <c r="CL83" s="267"/>
      <c r="CM83" s="267"/>
      <c r="CN83" s="266">
        <f ca="1">MIN(6,TblMili[[#This Row],[Mystic]]+Races!$F$19)*1.8 +  IF(TblMili[[#This Row],[Mystic]]+Races!$F$19&gt;6,(TblMili[[#This Row],[Mystic]]+Races!$F$19-6)*0.2,0) - Races!$I$19</f>
        <v>0.51428571428571423</v>
      </c>
      <c r="CO8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3" s="97">
        <f ca="1">TblMili[[#This Row],[Mystic bonus]]*TblMili[[#This Row],[Unit 3]]+TblMili[[#This Row],[Druid bonus]]*TblMili[[#This Row],[Unit 4]]</f>
        <v>802.28571428571388</v>
      </c>
      <c r="CQ83" s="158">
        <f ca="1">MIN(6,TblMili[[#This Row],[Dryad]]+Races!$F$35)*1.8 +  IF(TblMili[[#This Row],[Dryad]]+Races!$F$35&gt;6,(TblMili[[#This Row],[Dryad]]+Races!$F$35-6)*0.2,0) - Races!$I$19</f>
        <v>-1.2857142857142856</v>
      </c>
      <c r="CR83" s="97">
        <f ca="1">sylvan*(TblMili[[#This Row],[Mystic bonus]]*TblMili[[#This Row],[Unit 3]])</f>
        <v>0</v>
      </c>
      <c r="CS83" s="158">
        <f ca="1">1.8 * MIN(MAX(Races!$E$27,TblMili[[#This Row],[Rockapult]]+Races!$F$27),6)  +  0.45 * MIN(MIN(Races!$E$27,TblMili[[#This Row],[Rockapult]]+Races!$F$27),6)  +  0.2 * ( MAX(Races!$E$27-6,0) + MAX(TblMili[[#This Row],[Rockapult]]+Races!$F$27-6,0) )  -  Races!$I$20</f>
        <v>2.7642857142857133</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0.51428571428571423</v>
      </c>
      <c r="CX83" s="158">
        <f ca="1">1.8 * MIN(MAX(TblMili[[#This Row],[Ice Elemental]]+Races!$E$71,Races!$F$71),6)  +  0.45 * MIN(MIN(TblMili[[#This Row],[Ice Elemental]]+Races!$E$71,Races!$F$71),6)  +  0.2 * ( MAX(TblMili[[#This Row],[Ice Elemental]]+Races!$E$71-6,0) + MAX(Races!$F$71-6,0) )  -  Races!$I$71</f>
        <v>6.4285714285714946E-2</v>
      </c>
      <c r="CY83" s="97">
        <f ca="1">TblMili[[#This Row],[Frost Mage bonus]]*TblMili[[#This Row],[Unit 3]]+TblMili[[#This Row],[Ice Elemental bonus]]*TblMili[[#This Row],[Unit 4]]</f>
        <v>369.51428571428619</v>
      </c>
      <c r="CZ83" s="268"/>
      <c r="DA83" s="146">
        <f ca="1">MIN(SUM(TblConstr[[#This Row],[Plain]:[Water]])/TblMili[[#This Row],[Land]]/favorable_terrain_bonus/100,favorable_terrain_max)</f>
        <v>0</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35564.300000000003</v>
      </c>
      <c r="DD83" s="145"/>
      <c r="DE83" s="269">
        <f ca="1">(TblMili[[#This Row],[Wizards]]+2*TblMili[[#This Row],[Archmages]])/TblConstr[[#This Row],[Land]]</f>
        <v>3.5714285714285712E-2</v>
      </c>
      <c r="DF83" s="269">
        <f ca="1">TblMili[[#This Row],[Raw (2)]]*(1+race_wizard_strength+IF(TblMili[[#This Row],[Hour]]&gt;72,tech_magical_weaponry_wiz*TblTech[[#This Row],[3-5]],0))</f>
        <v>3.5714285714285712E-2</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3699</v>
      </c>
      <c r="C84" s="160">
        <f ca="1">TblPop[[#This Row],[Military%]]</f>
        <v>0.28587989798284258</v>
      </c>
      <c r="D84" s="145"/>
      <c r="E84" s="45">
        <f ca="1">OFFSET(TblMili[[#This Row],[Unit 1]],-1,0) + OFFSET(TblMili[[#This Row],[Train Unit 1]],-9,0) - TblMili[[#This Row],[Release Unit 1]]</f>
        <v>0</v>
      </c>
      <c r="F84" s="45">
        <f ca="1">OFFSET(TblMili[[#This Row],[Unit 2]],-1,0) + OFFSET(TblMili[[#This Row],[Train Unit 2]],-9,0)-TblMili[[#This Row],[Release Unit 2]]</f>
        <v>1002</v>
      </c>
      <c r="G84" s="45">
        <f ca="1">OFFSET(TblMili[[#This Row],[Unit 3]],-1,0) + OFFSET(TblMili[[#This Row],[Train Unit 3]],-12,0)-TblMili[[#This Row],[Release Unit 3]]</f>
        <v>625</v>
      </c>
      <c r="H84" s="45">
        <f ca="1">OFFSET(TblMili[[#This Row],[Unit 4]],-1,0) + OFFSET(TblMili[[#This Row],[Train Unit 4]],-12,0)-TblMili[[#This Row],[Release Unit 4]]</f>
        <v>851</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36630.35</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4255</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4361.375</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8371.5</v>
      </c>
      <c r="T84" s="262">
        <f ca="1">TblMili[[#This Row],[Non Draft]]+TblMili[[#This Row],[Draftees]]</f>
        <v>8846.5</v>
      </c>
      <c r="U84" s="263">
        <f ca="1">race_defense + TblImps[[#This Row],[Walls]] + ROUND( MIN(gt_bonus*TblConstr[[#This Row],[Tot GT]]/TblConstr[[#This Row],[Land]],gt_bonus_cap), 4) + IF(TblMagic[[#This Row],[Active Howling]]&gt;0,howling_dp_bonus,IF(TblMagic[[#This Row],[Active Ares Call]]&gt;0,ares_call_bonus))</f>
        <v>0.23750000000000002</v>
      </c>
      <c r="V84" s="264">
        <f ca="1">TblMili[[#This Row],[Non Draft]] * (1 + TblMili[[#This Row],[Mods_Def]])</f>
        <v>10359.731250000001</v>
      </c>
      <c r="W84" s="262">
        <f ca="1">TblMili[[#This Row],[Draft]] * (1 + TblMili[[#This Row],[Mods_Def]])</f>
        <v>10947.543750000001</v>
      </c>
      <c r="X84" s="262">
        <f ca="1">TblConstr[[#This Row],[Land]]</f>
        <v>700</v>
      </c>
      <c r="Y84" s="265"/>
      <c r="Z84" s="270">
        <f ca="1">IF(TblMili[[#This Row],[Set]]&lt;&gt;"",TblMili[[#This Row],[Set]],OFFSET(TblMili[[#This Row],[Draftrate]],-1,0))</f>
        <v>0.9</v>
      </c>
      <c r="AA84" s="97">
        <f ca="1">OFFSET(TblMili[[#This Row],[Draftees]],-1,0)+OFFSET(TblPop[[#This Row],[Draft Growth]],-1,0) - SUM(TblMili[[#This Row],[Train Unit 1]:[Train Spies]],TblMili[[#This Row],[Train Wiz]]) - TblMili[[#This Row],[Release Draft]] + SUM(TblMili[[#This Row],[Release Unit 1]:[Release AM]]) - TblExplore[[#This Row],[Draftees (2)]]</f>
        <v>475</v>
      </c>
      <c r="AB84" s="157"/>
      <c r="AC84" s="183">
        <f ca="1">(TblConstr[[#This Row],[Tot Smi]]+TblConstr[[#This Row],[Dest Smi]])/(TblConstr[[#This Row],[Land]]-TblExplore[[#This Row],[Land Bonus]]*20)</f>
        <v>0.18</v>
      </c>
      <c r="AD84" s="140"/>
      <c r="AE84" s="261">
        <f>TblMili[[#This Row],[Hour]]</f>
        <v>81</v>
      </c>
      <c r="AF84" s="141">
        <f ca="1">TblExplore[[#This Row],[Time]]</f>
        <v>45433.083333333139</v>
      </c>
      <c r="AG84" s="182"/>
      <c r="AH84" s="182"/>
      <c r="AI84" s="182"/>
      <c r="AJ84" s="182"/>
      <c r="AK84" s="182"/>
      <c r="AL84" s="182"/>
      <c r="AM84" s="182"/>
      <c r="AN84" s="182"/>
      <c r="AO84" s="145"/>
      <c r="AP84" s="97">
        <f ca="1">TblProd[[#This Row],[Platinum]]</f>
        <v>336477</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45433.083333333139</v>
      </c>
      <c r="AV84" s="97">
        <f ca="1">TblMili[[#This Row],[Draftees]]</f>
        <v>475</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192</v>
      </c>
      <c r="BJ84" s="97">
        <f ca="1">ROUNDUP(IF(race="Gnome",1,(1-MIN(TblMili[[#This Row],[Smithies]]*smithy_bonus,smithy_bonus_cap) + tech_3_5*TblTech[[#This Row],[3-5]] + tech_5_3*TblTech[[#This Row],[5-3]] + tech_5_5*TblTech[[#This Row],[5-5]]))*spec_op_ore,0)</f>
        <v>0</v>
      </c>
      <c r="BK84" s="97">
        <f ca="1">ROUNDUP((1-MIN(TblMili[[#This Row],[Smithies]]*smithy_bonus,smithy_bonus_cap) + tech_3_5*TblTech[[#This Row],[3-5]] + tech_5_3*TblTech[[#This Row],[5-3]] + tech_5_5*TblTech[[#This Row],[5-5]])*spec_dp_plat,0)</f>
        <v>192</v>
      </c>
      <c r="BL84" s="97">
        <f ca="1">ROUNDUP(IF(race="Gnome",1,(1-MIN(TblMili[[#This Row],[Smithies]]*smithy_bonus,smithy_bonus_cap) + tech_3_5*TblTech[[#This Row],[3-5]] + tech_5_3*TblTech[[#This Row],[5-3]] + tech_5_5*TblTech[[#This Row],[5-5]]))*spec_dp_ore,0)</f>
        <v>0</v>
      </c>
      <c r="BM84" s="97">
        <f ca="1">ROUNDUP((1-MIN(TblMili[[#This Row],[Smithies]]*smithy_bonus,smithy_bonus_cap) + tech_3_5*TblTech[[#This Row],[3-5]] + tech_5_3*TblTech[[#This Row],[5-3]] + tech_5_5*TblTech[[#This Row],[5-5]])*elite1_plat,0)</f>
        <v>592</v>
      </c>
      <c r="BN84" s="97">
        <f ca="1">ROUNDUP(IF(race="Gnome",1,(1-MIN(TblMili[[#This Row],[Smithies]]*smithy_bonus,smithy_bonus_cap) + tech_3_5*TblTech[[#This Row],[3-5]] + tech_5_3*TblTech[[#This Row],[5-3]] + tech_5_5*TblTech[[#This Row],[5-5]]))*elite1_ore,0)</f>
        <v>0</v>
      </c>
      <c r="BO84" s="97">
        <f ca="1">ROUNDUP((1-MIN(TblMili[[#This Row],[Smithies]]*smithy_bonus,smithy_bonus_cap) + tech_3_5*TblTech[[#This Row],[3-5]] + tech_5_3*TblTech[[#This Row],[5-3]] + tech_5_5*TblTech[[#This Row],[5-5]])*elite2_plat,0)</f>
        <v>608</v>
      </c>
      <c r="BP84" s="97">
        <f ca="1">ROUNDUP(IF(race="Gnome",1,(1-MIN(TblMili[[#This Row],[Smithies]]*smithy_bonus,smithy_bonus_cap) + tech_3_5*TblTech[[#This Row],[3-5]] + tech_5_3*TblTech[[#This Row],[5-3]] + tech_5_5*TblTech[[#This Row],[5-5]]))*elite2_ore,0)</f>
        <v>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5.7142857142857141E-2</v>
      </c>
      <c r="BW84" s="160">
        <f ca="1">TblMili[[#This Row],[WG''s]]</f>
        <v>0</v>
      </c>
      <c r="BX84" s="266">
        <f ca="1">IF(mystic_cap="none",TblMili[[#This Row],[Hill]]/mystic_bonus,MIN(mystic_cap,TblMili[[#This Row],[Hill]]/mystic_bonus))</f>
        <v>0.2857142857142857</v>
      </c>
      <c r="BY84" s="266">
        <f ca="1">IF(druid_op_cap="none",TblMili[[#This Row],[Hill]]/druid_op_bonus,MIN(druid_op_cap,TblMili[[#This Row],[Hill]]/druid_op_bonus))</f>
        <v>0.2857142857142857</v>
      </c>
      <c r="BZ84" s="266">
        <f ca="1">IF(druid_dp_cap="none",TblMili[[#This Row],[Hill]]/druid_dp_bonus,MIN(druid_dp_cap,TblMili[[#This Row],[Hill]]/druid_dp_bonus))</f>
        <v>0.2857142857142857</v>
      </c>
      <c r="CA84" s="266">
        <f ca="1">MIN(dryad_cap,TblMili[[#This Row],[Hill]]/dryad_bonus)</f>
        <v>0.2857142857142857</v>
      </c>
      <c r="CB84" s="266">
        <f ca="1">MIN(rocka_cap,TblMili[[#This Row],[Hill]]/rocka_bonus)</f>
        <v>0.2857142857142857</v>
      </c>
      <c r="CC84" s="266">
        <f ca="1">MIN(adept_op_cap,TblMili[[#This Row],[WG]]/adept_op_bonus)</f>
        <v>0</v>
      </c>
      <c r="CD84" s="266">
        <f ca="1">MIN(adept_dp_cap,TblMili[[#This Row],[WG]]/adept_dp_bonus)</f>
        <v>0</v>
      </c>
      <c r="CE84" s="97">
        <f ca="1">MIN(TblMili[[#This Row],[Unit 3]],TblMili[[#This Row],[Unit 2]])*2</f>
        <v>1250</v>
      </c>
      <c r="CF84" s="97">
        <f ca="1">MIN(TblMili[[#This Row],[Unit 1]],TblMili[[#This Row],[Unit 4]])*2</f>
        <v>0</v>
      </c>
      <c r="CG84" s="266">
        <f ca="1">MIN(frost_mage_cap,TblMili[[#This Row],[Hill]]/frost_mage_bonus)</f>
        <v>0.2857142857142857</v>
      </c>
      <c r="CH84" s="45">
        <f ca="1">MIN(ice_elem_cap,TblMili[[#This Row],[Raw (2)]]*ice_elem_bonus)</f>
        <v>3.5714285714285712E-2</v>
      </c>
      <c r="CI84" s="266">
        <f t="shared" si="3"/>
        <v>0.83333333333333337</v>
      </c>
      <c r="CJ84" s="266">
        <f ca="1">MIN(nox_nightshade_cap,TblConstr[[#This Row],[Homeland]]/TblConstr[[#This Row],[Land]]/nox_nightshade_swamp_bonus)</f>
        <v>0.5714285714285714</v>
      </c>
      <c r="CK84" s="267"/>
      <c r="CL84" s="267"/>
      <c r="CM84" s="267"/>
      <c r="CN84" s="266">
        <f ca="1">MIN(6,TblMili[[#This Row],[Mystic]]+Races!$F$19)*1.8 +  IF(TblMili[[#This Row],[Mystic]]+Races!$F$19&gt;6,(TblMili[[#This Row],[Mystic]]+Races!$F$19-6)*0.2,0) - Races!$I$19</f>
        <v>0.51428571428571423</v>
      </c>
      <c r="CO8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4" s="97">
        <f ca="1">TblMili[[#This Row],[Mystic bonus]]*TblMili[[#This Row],[Unit 3]]+TblMili[[#This Row],[Druid bonus]]*TblMili[[#This Row],[Unit 4]]</f>
        <v>868.49999999999955</v>
      </c>
      <c r="CQ84" s="158">
        <f ca="1">MIN(6,TblMili[[#This Row],[Dryad]]+Races!$F$35)*1.8 +  IF(TblMili[[#This Row],[Dryad]]+Races!$F$35&gt;6,(TblMili[[#This Row],[Dryad]]+Races!$F$35-6)*0.2,0) - Races!$I$19</f>
        <v>-1.2857142857142856</v>
      </c>
      <c r="CR84" s="97">
        <f ca="1">sylvan*(TblMili[[#This Row],[Mystic bonus]]*TblMili[[#This Row],[Unit 3]])</f>
        <v>0</v>
      </c>
      <c r="CS84" s="158">
        <f ca="1">1.8 * MIN(MAX(Races!$E$27,TblMili[[#This Row],[Rockapult]]+Races!$F$27),6)  +  0.45 * MIN(MIN(Races!$E$27,TblMili[[#This Row],[Rockapult]]+Races!$F$27),6)  +  0.2 * ( MAX(Races!$E$27-6,0) + MAX(TblMili[[#This Row],[Rockapult]]+Races!$F$27-6,0) )  -  Races!$I$20</f>
        <v>2.7642857142857133</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0.51428571428571423</v>
      </c>
      <c r="CX84" s="158">
        <f ca="1">1.8 * MIN(MAX(TblMili[[#This Row],[Ice Elemental]]+Races!$E$71,Races!$F$71),6)  +  0.45 * MIN(MIN(TblMili[[#This Row],[Ice Elemental]]+Races!$E$71,Races!$F$71),6)  +  0.2 * ( MAX(TblMili[[#This Row],[Ice Elemental]]+Races!$E$71-6,0) + MAX(Races!$F$71-6,0) )  -  Races!$I$71</f>
        <v>6.4285714285714946E-2</v>
      </c>
      <c r="CY84" s="97">
        <f ca="1">TblMili[[#This Row],[Frost Mage bonus]]*TblMili[[#This Row],[Unit 3]]+TblMili[[#This Row],[Ice Elemental bonus]]*TblMili[[#This Row],[Unit 4]]</f>
        <v>376.13571428571481</v>
      </c>
      <c r="CZ84" s="268"/>
      <c r="DA84" s="146">
        <f ca="1">MIN(SUM(TblConstr[[#This Row],[Plain]:[Water]])/TblMili[[#This Row],[Land]]/favorable_terrain_bonus/100,favorable_terrain_max)</f>
        <v>0</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36630.35</v>
      </c>
      <c r="DD84" s="145"/>
      <c r="DE84" s="269">
        <f ca="1">(TblMili[[#This Row],[Wizards]]+2*TblMili[[#This Row],[Archmages]])/TblConstr[[#This Row],[Land]]</f>
        <v>3.5714285714285712E-2</v>
      </c>
      <c r="DF84" s="269">
        <f ca="1">TblMili[[#This Row],[Raw (2)]]*(1+race_wizard_strength+IF(TblMili[[#This Row],[Hour]]&gt;72,tech_magical_weaponry_wiz*TblTech[[#This Row],[3-5]],0))</f>
        <v>3.5714285714285712E-2</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3791</v>
      </c>
      <c r="C85" s="160">
        <f ca="1">TblPop[[#This Row],[Military%]]</f>
        <v>0.29299018471288352</v>
      </c>
      <c r="D85" s="145"/>
      <c r="E85" s="45">
        <f ca="1">OFFSET(TblMili[[#This Row],[Unit 1]],-1,0) + OFFSET(TblMili[[#This Row],[Train Unit 1]],-9,0) - TblMili[[#This Row],[Release Unit 1]]</f>
        <v>0</v>
      </c>
      <c r="F85" s="45">
        <f ca="1">OFFSET(TblMili[[#This Row],[Unit 2]],-1,0) + OFFSET(TblMili[[#This Row],[Train Unit 2]],-9,0)-TblMili[[#This Row],[Release Unit 2]]</f>
        <v>1002</v>
      </c>
      <c r="G85" s="45">
        <f ca="1">OFFSET(TblMili[[#This Row],[Unit 3]],-1,0) + OFFSET(TblMili[[#This Row],[Train Unit 3]],-12,0)-TblMili[[#This Row],[Release Unit 3]]</f>
        <v>625</v>
      </c>
      <c r="H85" s="45">
        <f ca="1">OFFSET(TblMili[[#This Row],[Unit 4]],-1,0) + OFFSET(TblMili[[#This Row],[Train Unit 4]],-12,0)-TblMili[[#This Row],[Release Unit 4]]</f>
        <v>953</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37686.050000000003</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4765</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4884.125</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8677.5</v>
      </c>
      <c r="T85" s="262">
        <f ca="1">TblMili[[#This Row],[Non Draft]]+TblMili[[#This Row],[Draftees]]</f>
        <v>9244.5</v>
      </c>
      <c r="U85" s="263">
        <f ca="1">race_defense + TblImps[[#This Row],[Walls]] + ROUND( MIN(gt_bonus*TblConstr[[#This Row],[Tot GT]]/TblConstr[[#This Row],[Land]],gt_bonus_cap), 4) + IF(TblMagic[[#This Row],[Active Howling]]&gt;0,howling_dp_bonus,IF(TblMagic[[#This Row],[Active Ares Call]]&gt;0,ares_call_bonus))</f>
        <v>0.23750000000000002</v>
      </c>
      <c r="V85" s="264">
        <f ca="1">TblMili[[#This Row],[Non Draft]] * (1 + TblMili[[#This Row],[Mods_Def]])</f>
        <v>10738.40625</v>
      </c>
      <c r="W85" s="262">
        <f ca="1">TblMili[[#This Row],[Draft]] * (1 + TblMili[[#This Row],[Mods_Def]])</f>
        <v>11440.06875</v>
      </c>
      <c r="X85" s="262">
        <f ca="1">TblConstr[[#This Row],[Land]]</f>
        <v>700</v>
      </c>
      <c r="Y85" s="265"/>
      <c r="Z85" s="270">
        <f ca="1">IF(TblMili[[#This Row],[Set]]&lt;&gt;"",TblMili[[#This Row],[Set]],OFFSET(TblMili[[#This Row],[Draftrate]],-1,0))</f>
        <v>0.9</v>
      </c>
      <c r="AA85" s="97">
        <f ca="1">OFFSET(TblMili[[#This Row],[Draftees]],-1,0)+OFFSET(TblPop[[#This Row],[Draft Growth]],-1,0) - SUM(TblMili[[#This Row],[Train Unit 1]:[Train Spies]],TblMili[[#This Row],[Train Wiz]]) - TblMili[[#This Row],[Release Draft]] + SUM(TblMili[[#This Row],[Release Unit 1]:[Release AM]]) - TblExplore[[#This Row],[Draftees (2)]]</f>
        <v>567</v>
      </c>
      <c r="AB85" s="157"/>
      <c r="AC85" s="183">
        <f ca="1">(TblConstr[[#This Row],[Tot Smi]]+TblConstr[[#This Row],[Dest Smi]])/(TblConstr[[#This Row],[Land]]-TblExplore[[#This Row],[Land Bonus]]*20)</f>
        <v>0.18</v>
      </c>
      <c r="AD85" s="140"/>
      <c r="AE85" s="261">
        <f>TblMili[[#This Row],[Hour]]</f>
        <v>82</v>
      </c>
      <c r="AF85" s="141">
        <f ca="1">TblExplore[[#This Row],[Time]]</f>
        <v>45433.124999999804</v>
      </c>
      <c r="AG85" s="182"/>
      <c r="AH85" s="182"/>
      <c r="AI85" s="182"/>
      <c r="AJ85" s="182"/>
      <c r="AK85" s="182"/>
      <c r="AL85" s="182"/>
      <c r="AM85" s="182"/>
      <c r="AN85" s="182"/>
      <c r="AO85" s="145"/>
      <c r="AP85" s="97">
        <f ca="1">TblProd[[#This Row],[Platinum]]</f>
        <v>381464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45433.124999999804</v>
      </c>
      <c r="AV85" s="97">
        <f ca="1">TblMili[[#This Row],[Draftees]]</f>
        <v>567</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192</v>
      </c>
      <c r="BJ85" s="97">
        <f ca="1">ROUNDUP(IF(race="Gnome",1,(1-MIN(TblMili[[#This Row],[Smithies]]*smithy_bonus,smithy_bonus_cap) + tech_3_5*TblTech[[#This Row],[3-5]] + tech_5_3*TblTech[[#This Row],[5-3]] + tech_5_5*TblTech[[#This Row],[5-5]]))*spec_op_ore,0)</f>
        <v>0</v>
      </c>
      <c r="BK85" s="97">
        <f ca="1">ROUNDUP((1-MIN(TblMili[[#This Row],[Smithies]]*smithy_bonus,smithy_bonus_cap) + tech_3_5*TblTech[[#This Row],[3-5]] + tech_5_3*TblTech[[#This Row],[5-3]] + tech_5_5*TblTech[[#This Row],[5-5]])*spec_dp_plat,0)</f>
        <v>192</v>
      </c>
      <c r="BL85" s="97">
        <f ca="1">ROUNDUP(IF(race="Gnome",1,(1-MIN(TblMili[[#This Row],[Smithies]]*smithy_bonus,smithy_bonus_cap) + tech_3_5*TblTech[[#This Row],[3-5]] + tech_5_3*TblTech[[#This Row],[5-3]] + tech_5_5*TblTech[[#This Row],[5-5]]))*spec_dp_ore,0)</f>
        <v>0</v>
      </c>
      <c r="BM85" s="97">
        <f ca="1">ROUNDUP((1-MIN(TblMili[[#This Row],[Smithies]]*smithy_bonus,smithy_bonus_cap) + tech_3_5*TblTech[[#This Row],[3-5]] + tech_5_3*TblTech[[#This Row],[5-3]] + tech_5_5*TblTech[[#This Row],[5-5]])*elite1_plat,0)</f>
        <v>592</v>
      </c>
      <c r="BN85" s="97">
        <f ca="1">ROUNDUP(IF(race="Gnome",1,(1-MIN(TblMili[[#This Row],[Smithies]]*smithy_bonus,smithy_bonus_cap) + tech_3_5*TblTech[[#This Row],[3-5]] + tech_5_3*TblTech[[#This Row],[5-3]] + tech_5_5*TblTech[[#This Row],[5-5]]))*elite1_ore,0)</f>
        <v>0</v>
      </c>
      <c r="BO85" s="97">
        <f ca="1">ROUNDUP((1-MIN(TblMili[[#This Row],[Smithies]]*smithy_bonus,smithy_bonus_cap) + tech_3_5*TblTech[[#This Row],[3-5]] + tech_5_3*TblTech[[#This Row],[5-3]] + tech_5_5*TblTech[[#This Row],[5-5]])*elite2_plat,0)</f>
        <v>608</v>
      </c>
      <c r="BP85" s="97">
        <f ca="1">ROUNDUP(IF(race="Gnome",1,(1-MIN(TblMili[[#This Row],[Smithies]]*smithy_bonus,smithy_bonus_cap) + tech_3_5*TblTech[[#This Row],[3-5]] + tech_5_3*TblTech[[#This Row],[5-3]] + tech_5_5*TblTech[[#This Row],[5-5]]))*elite2_ore,0)</f>
        <v>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5.7142857142857141E-2</v>
      </c>
      <c r="BW85" s="160">
        <f ca="1">TblMili[[#This Row],[WG''s]]</f>
        <v>0</v>
      </c>
      <c r="BX85" s="266">
        <f ca="1">IF(mystic_cap="none",TblMili[[#This Row],[Hill]]/mystic_bonus,MIN(mystic_cap,TblMili[[#This Row],[Hill]]/mystic_bonus))</f>
        <v>0.2857142857142857</v>
      </c>
      <c r="BY85" s="266">
        <f ca="1">IF(druid_op_cap="none",TblMili[[#This Row],[Hill]]/druid_op_bonus,MIN(druid_op_cap,TblMili[[#This Row],[Hill]]/druid_op_bonus))</f>
        <v>0.2857142857142857</v>
      </c>
      <c r="BZ85" s="266">
        <f ca="1">IF(druid_dp_cap="none",TblMili[[#This Row],[Hill]]/druid_dp_bonus,MIN(druid_dp_cap,TblMili[[#This Row],[Hill]]/druid_dp_bonus))</f>
        <v>0.2857142857142857</v>
      </c>
      <c r="CA85" s="266">
        <f ca="1">MIN(dryad_cap,TblMili[[#This Row],[Hill]]/dryad_bonus)</f>
        <v>0.2857142857142857</v>
      </c>
      <c r="CB85" s="266">
        <f ca="1">MIN(rocka_cap,TblMili[[#This Row],[Hill]]/rocka_bonus)</f>
        <v>0.2857142857142857</v>
      </c>
      <c r="CC85" s="266">
        <f ca="1">MIN(adept_op_cap,TblMili[[#This Row],[WG]]/adept_op_bonus)</f>
        <v>0</v>
      </c>
      <c r="CD85" s="266">
        <f ca="1">MIN(adept_dp_cap,TblMili[[#This Row],[WG]]/adept_dp_bonus)</f>
        <v>0</v>
      </c>
      <c r="CE85" s="97">
        <f ca="1">MIN(TblMili[[#This Row],[Unit 3]],TblMili[[#This Row],[Unit 2]])*2</f>
        <v>1250</v>
      </c>
      <c r="CF85" s="97">
        <f ca="1">MIN(TblMili[[#This Row],[Unit 1]],TblMili[[#This Row],[Unit 4]])*2</f>
        <v>0</v>
      </c>
      <c r="CG85" s="266">
        <f ca="1">MIN(frost_mage_cap,TblMili[[#This Row],[Hill]]/frost_mage_bonus)</f>
        <v>0.2857142857142857</v>
      </c>
      <c r="CH85" s="45">
        <f ca="1">MIN(ice_elem_cap,TblMili[[#This Row],[Raw (2)]]*ice_elem_bonus)</f>
        <v>3.5714285714285712E-2</v>
      </c>
      <c r="CI85" s="266">
        <f t="shared" si="3"/>
        <v>0.83333333333333337</v>
      </c>
      <c r="CJ85" s="266">
        <f ca="1">MIN(nox_nightshade_cap,TblConstr[[#This Row],[Homeland]]/TblConstr[[#This Row],[Land]]/nox_nightshade_swamp_bonus)</f>
        <v>0.5714285714285714</v>
      </c>
      <c r="CK85" s="267"/>
      <c r="CL85" s="267"/>
      <c r="CM85" s="267"/>
      <c r="CN85" s="266">
        <f ca="1">MIN(6,TblMili[[#This Row],[Mystic]]+Races!$F$19)*1.8 +  IF(TblMili[[#This Row],[Mystic]]+Races!$F$19&gt;6,(TblMili[[#This Row],[Mystic]]+Races!$F$19-6)*0.2,0) - Races!$I$19</f>
        <v>0.51428571428571423</v>
      </c>
      <c r="CO8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5" s="97">
        <f ca="1">TblMili[[#This Row],[Mystic bonus]]*TblMili[[#This Row],[Unit 3]]+TblMili[[#This Row],[Druid bonus]]*TblMili[[#This Row],[Unit 4]]</f>
        <v>934.07142857142799</v>
      </c>
      <c r="CQ85" s="158">
        <f ca="1">MIN(6,TblMili[[#This Row],[Dryad]]+Races!$F$35)*1.8 +  IF(TblMili[[#This Row],[Dryad]]+Races!$F$35&gt;6,(TblMili[[#This Row],[Dryad]]+Races!$F$35-6)*0.2,0) - Races!$I$19</f>
        <v>-1.2857142857142856</v>
      </c>
      <c r="CR85" s="97">
        <f ca="1">sylvan*(TblMili[[#This Row],[Mystic bonus]]*TblMili[[#This Row],[Unit 3]])</f>
        <v>0</v>
      </c>
      <c r="CS85" s="158">
        <f ca="1">1.8 * MIN(MAX(Races!$E$27,TblMili[[#This Row],[Rockapult]]+Races!$F$27),6)  +  0.45 * MIN(MIN(Races!$E$27,TblMili[[#This Row],[Rockapult]]+Races!$F$27),6)  +  0.2 * ( MAX(Races!$E$27-6,0) + MAX(TblMili[[#This Row],[Rockapult]]+Races!$F$27-6,0) )  -  Races!$I$20</f>
        <v>2.7642857142857133</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0.51428571428571423</v>
      </c>
      <c r="CX85" s="158">
        <f ca="1">1.8 * MIN(MAX(TblMili[[#This Row],[Ice Elemental]]+Races!$E$71,Races!$F$71),6)  +  0.45 * MIN(MIN(TblMili[[#This Row],[Ice Elemental]]+Races!$E$71,Races!$F$71),6)  +  0.2 * ( MAX(TblMili[[#This Row],[Ice Elemental]]+Races!$E$71-6,0) + MAX(Races!$F$71-6,0) )  -  Races!$I$71</f>
        <v>6.4285714285714946E-2</v>
      </c>
      <c r="CY85" s="97">
        <f ca="1">TblMili[[#This Row],[Frost Mage bonus]]*TblMili[[#This Row],[Unit 3]]+TblMili[[#This Row],[Ice Elemental bonus]]*TblMili[[#This Row],[Unit 4]]</f>
        <v>382.69285714285775</v>
      </c>
      <c r="CZ85" s="268"/>
      <c r="DA85" s="146">
        <f ca="1">MIN(SUM(TblConstr[[#This Row],[Plain]:[Water]])/TblMili[[#This Row],[Land]]/favorable_terrain_bonus/100,favorable_terrain_max)</f>
        <v>0</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37686.050000000003</v>
      </c>
      <c r="DD85" s="145"/>
      <c r="DE85" s="269">
        <f ca="1">(TblMili[[#This Row],[Wizards]]+2*TblMili[[#This Row],[Archmages]])/TblConstr[[#This Row],[Land]]</f>
        <v>3.5714285714285712E-2</v>
      </c>
      <c r="DF85" s="269">
        <f ca="1">TblMili[[#This Row],[Raw (2)]]*(1+race_wizard_strength+IF(TblMili[[#This Row],[Hour]]&gt;72,tech_magical_weaponry_wiz*TblTech[[#This Row],[3-5]],0))</f>
        <v>3.5714285714285712E-2</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3882</v>
      </c>
      <c r="C86" s="160">
        <f ca="1">TblPop[[#This Row],[Military%]]</f>
        <v>0.30002318571759795</v>
      </c>
      <c r="D86" s="145"/>
      <c r="E86" s="45">
        <f ca="1">OFFSET(TblMili[[#This Row],[Unit 1]],-1,0) + OFFSET(TblMili[[#This Row],[Train Unit 1]],-9,0) - TblMili[[#This Row],[Release Unit 1]]</f>
        <v>0</v>
      </c>
      <c r="F86" s="45">
        <f ca="1">OFFSET(TblMili[[#This Row],[Unit 2]],-1,0) + OFFSET(TblMili[[#This Row],[Train Unit 2]],-9,0)-TblMili[[#This Row],[Release Unit 2]]</f>
        <v>1050</v>
      </c>
      <c r="G86" s="45">
        <f ca="1">OFFSET(TblMili[[#This Row],[Unit 3]],-1,0) + OFFSET(TblMili[[#This Row],[Train Unit 3]],-12,0)-TblMili[[#This Row],[Release Unit 3]]</f>
        <v>625</v>
      </c>
      <c r="H86" s="45">
        <f ca="1">OFFSET(TblMili[[#This Row],[Unit 4]],-1,0) + OFFSET(TblMili[[#This Row],[Train Unit 4]],-12,0)-TblMili[[#This Row],[Release Unit 4]]</f>
        <v>1054</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38971.4</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5270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5401.7499999999991</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9124.5</v>
      </c>
      <c r="T86" s="262">
        <f ca="1">TblMili[[#This Row],[Non Draft]]+TblMili[[#This Row],[Draftees]]</f>
        <v>9782.5</v>
      </c>
      <c r="U86" s="263">
        <f ca="1">race_defense + TblImps[[#This Row],[Walls]] + ROUND( MIN(gt_bonus*TblConstr[[#This Row],[Tot GT]]/TblConstr[[#This Row],[Land]],gt_bonus_cap), 4) + IF(TblMagic[[#This Row],[Active Howling]]&gt;0,howling_dp_bonus,IF(TblMagic[[#This Row],[Active Ares Call]]&gt;0,ares_call_bonus))</f>
        <v>0.23750000000000002</v>
      </c>
      <c r="V86" s="264">
        <f ca="1">TblMili[[#This Row],[Non Draft]] * (1 + TblMili[[#This Row],[Mods_Def]])</f>
        <v>11291.56875</v>
      </c>
      <c r="W86" s="262">
        <f ca="1">TblMili[[#This Row],[Draft]] * (1 + TblMili[[#This Row],[Mods_Def]])</f>
        <v>12105.84375</v>
      </c>
      <c r="X86" s="262">
        <f ca="1">TblConstr[[#This Row],[Land]]</f>
        <v>700</v>
      </c>
      <c r="Y86" s="265"/>
      <c r="Z86" s="270">
        <f ca="1">IF(TblMili[[#This Row],[Set]]&lt;&gt;"",TblMili[[#This Row],[Set]],OFFSET(TblMili[[#This Row],[Draftrate]],-1,0))</f>
        <v>0.9</v>
      </c>
      <c r="AA86" s="97">
        <f ca="1">OFFSET(TblMili[[#This Row],[Draftees]],-1,0)+OFFSET(TblPop[[#This Row],[Draft Growth]],-1,0) - SUM(TblMili[[#This Row],[Train Unit 1]:[Train Spies]],TblMili[[#This Row],[Train Wiz]]) - TblMili[[#This Row],[Release Draft]] + SUM(TblMili[[#This Row],[Release Unit 1]:[Release AM]]) - TblExplore[[#This Row],[Draftees (2)]]</f>
        <v>658</v>
      </c>
      <c r="AB86" s="157"/>
      <c r="AC86" s="183">
        <f ca="1">(TblConstr[[#This Row],[Tot Smi]]+TblConstr[[#This Row],[Dest Smi]])/(TblConstr[[#This Row],[Land]]-TblExplore[[#This Row],[Land Bonus]]*20)</f>
        <v>0.18</v>
      </c>
      <c r="AD86" s="140"/>
      <c r="AE86" s="261">
        <f>TblMili[[#This Row],[Hour]]</f>
        <v>83</v>
      </c>
      <c r="AF86" s="141">
        <f ca="1">TblExplore[[#This Row],[Time]]</f>
        <v>45433.166666666468</v>
      </c>
      <c r="AG86" s="182"/>
      <c r="AH86" s="182"/>
      <c r="AI86" s="182"/>
      <c r="AJ86" s="182"/>
      <c r="AK86" s="182"/>
      <c r="AL86" s="182"/>
      <c r="AM86" s="182"/>
      <c r="AN86" s="182"/>
      <c r="AO86" s="145"/>
      <c r="AP86" s="97">
        <f ca="1">TblProd[[#This Row],[Platinum]]</f>
        <v>426178</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45433.166666666468</v>
      </c>
      <c r="AV86" s="97">
        <f ca="1">TblMili[[#This Row],[Draftees]]</f>
        <v>658</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192</v>
      </c>
      <c r="BJ86" s="97">
        <f ca="1">ROUNDUP(IF(race="Gnome",1,(1-MIN(TblMili[[#This Row],[Smithies]]*smithy_bonus,smithy_bonus_cap) + tech_3_5*TblTech[[#This Row],[3-5]] + tech_5_3*TblTech[[#This Row],[5-3]] + tech_5_5*TblTech[[#This Row],[5-5]]))*spec_op_ore,0)</f>
        <v>0</v>
      </c>
      <c r="BK86" s="97">
        <f ca="1">ROUNDUP((1-MIN(TblMili[[#This Row],[Smithies]]*smithy_bonus,smithy_bonus_cap) + tech_3_5*TblTech[[#This Row],[3-5]] + tech_5_3*TblTech[[#This Row],[5-3]] + tech_5_5*TblTech[[#This Row],[5-5]])*spec_dp_plat,0)</f>
        <v>192</v>
      </c>
      <c r="BL86" s="97">
        <f ca="1">ROUNDUP(IF(race="Gnome",1,(1-MIN(TblMili[[#This Row],[Smithies]]*smithy_bonus,smithy_bonus_cap) + tech_3_5*TblTech[[#This Row],[3-5]] + tech_5_3*TblTech[[#This Row],[5-3]] + tech_5_5*TblTech[[#This Row],[5-5]]))*spec_dp_ore,0)</f>
        <v>0</v>
      </c>
      <c r="BM86" s="97">
        <f ca="1">ROUNDUP((1-MIN(TblMili[[#This Row],[Smithies]]*smithy_bonus,smithy_bonus_cap) + tech_3_5*TblTech[[#This Row],[3-5]] + tech_5_3*TblTech[[#This Row],[5-3]] + tech_5_5*TblTech[[#This Row],[5-5]])*elite1_plat,0)</f>
        <v>592</v>
      </c>
      <c r="BN86" s="97">
        <f ca="1">ROUNDUP(IF(race="Gnome",1,(1-MIN(TblMili[[#This Row],[Smithies]]*smithy_bonus,smithy_bonus_cap) + tech_3_5*TblTech[[#This Row],[3-5]] + tech_5_3*TblTech[[#This Row],[5-3]] + tech_5_5*TblTech[[#This Row],[5-5]]))*elite1_ore,0)</f>
        <v>0</v>
      </c>
      <c r="BO86" s="97">
        <f ca="1">ROUNDUP((1-MIN(TblMili[[#This Row],[Smithies]]*smithy_bonus,smithy_bonus_cap) + tech_3_5*TblTech[[#This Row],[3-5]] + tech_5_3*TblTech[[#This Row],[5-3]] + tech_5_5*TblTech[[#This Row],[5-5]])*elite2_plat,0)</f>
        <v>608</v>
      </c>
      <c r="BP86" s="97">
        <f ca="1">ROUNDUP(IF(race="Gnome",1,(1-MIN(TblMili[[#This Row],[Smithies]]*smithy_bonus,smithy_bonus_cap) + tech_3_5*TblTech[[#This Row],[3-5]] + tech_5_3*TblTech[[#This Row],[5-3]] + tech_5_5*TblTech[[#This Row],[5-5]]))*elite2_ore,0)</f>
        <v>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5.7142857142857141E-2</v>
      </c>
      <c r="BW86" s="160">
        <f ca="1">TblMili[[#This Row],[WG''s]]</f>
        <v>0</v>
      </c>
      <c r="BX86" s="266">
        <f ca="1">IF(mystic_cap="none",TblMili[[#This Row],[Hill]]/mystic_bonus,MIN(mystic_cap,TblMili[[#This Row],[Hill]]/mystic_bonus))</f>
        <v>0.2857142857142857</v>
      </c>
      <c r="BY86" s="266">
        <f ca="1">IF(druid_op_cap="none",TblMili[[#This Row],[Hill]]/druid_op_bonus,MIN(druid_op_cap,TblMili[[#This Row],[Hill]]/druid_op_bonus))</f>
        <v>0.2857142857142857</v>
      </c>
      <c r="BZ86" s="266">
        <f ca="1">IF(druid_dp_cap="none",TblMili[[#This Row],[Hill]]/druid_dp_bonus,MIN(druid_dp_cap,TblMili[[#This Row],[Hill]]/druid_dp_bonus))</f>
        <v>0.2857142857142857</v>
      </c>
      <c r="CA86" s="266">
        <f ca="1">MIN(dryad_cap,TblMili[[#This Row],[Hill]]/dryad_bonus)</f>
        <v>0.2857142857142857</v>
      </c>
      <c r="CB86" s="266">
        <f ca="1">MIN(rocka_cap,TblMili[[#This Row],[Hill]]/rocka_bonus)</f>
        <v>0.2857142857142857</v>
      </c>
      <c r="CC86" s="266">
        <f ca="1">MIN(adept_op_cap,TblMili[[#This Row],[WG]]/adept_op_bonus)</f>
        <v>0</v>
      </c>
      <c r="CD86" s="266">
        <f ca="1">MIN(adept_dp_cap,TblMili[[#This Row],[WG]]/adept_dp_bonus)</f>
        <v>0</v>
      </c>
      <c r="CE86" s="97">
        <f ca="1">MIN(TblMili[[#This Row],[Unit 3]],TblMili[[#This Row],[Unit 2]])*2</f>
        <v>1250</v>
      </c>
      <c r="CF86" s="97">
        <f ca="1">MIN(TblMili[[#This Row],[Unit 1]],TblMili[[#This Row],[Unit 4]])*2</f>
        <v>0</v>
      </c>
      <c r="CG86" s="266">
        <f ca="1">MIN(frost_mage_cap,TblMili[[#This Row],[Hill]]/frost_mage_bonus)</f>
        <v>0.2857142857142857</v>
      </c>
      <c r="CH86" s="45">
        <f ca="1">MIN(ice_elem_cap,TblMili[[#This Row],[Raw (2)]]*ice_elem_bonus)</f>
        <v>3.5714285714285712E-2</v>
      </c>
      <c r="CI86" s="266">
        <f t="shared" si="3"/>
        <v>0.83333333333333337</v>
      </c>
      <c r="CJ86" s="266">
        <f ca="1">MIN(nox_nightshade_cap,TblConstr[[#This Row],[Homeland]]/TblConstr[[#This Row],[Land]]/nox_nightshade_swamp_bonus)</f>
        <v>0.5714285714285714</v>
      </c>
      <c r="CK86" s="267"/>
      <c r="CL86" s="267"/>
      <c r="CM86" s="267"/>
      <c r="CN86" s="266">
        <f ca="1">MIN(6,TblMili[[#This Row],[Mystic]]+Races!$F$19)*1.8 +  IF(TblMili[[#This Row],[Mystic]]+Races!$F$19&gt;6,(TblMili[[#This Row],[Mystic]]+Races!$F$19-6)*0.2,0) - Races!$I$19</f>
        <v>0.51428571428571423</v>
      </c>
      <c r="CO8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6" s="97">
        <f ca="1">TblMili[[#This Row],[Mystic bonus]]*TblMili[[#This Row],[Unit 3]]+TblMili[[#This Row],[Druid bonus]]*TblMili[[#This Row],[Unit 4]]</f>
        <v>998.99999999999932</v>
      </c>
      <c r="CQ86" s="158">
        <f ca="1">MIN(6,TblMili[[#This Row],[Dryad]]+Races!$F$35)*1.8 +  IF(TblMili[[#This Row],[Dryad]]+Races!$F$35&gt;6,(TblMili[[#This Row],[Dryad]]+Races!$F$35-6)*0.2,0) - Races!$I$19</f>
        <v>-1.2857142857142856</v>
      </c>
      <c r="CR86" s="97">
        <f ca="1">sylvan*(TblMili[[#This Row],[Mystic bonus]]*TblMili[[#This Row],[Unit 3]])</f>
        <v>0</v>
      </c>
      <c r="CS86" s="158">
        <f ca="1">1.8 * MIN(MAX(Races!$E$27,TblMili[[#This Row],[Rockapult]]+Races!$F$27),6)  +  0.45 * MIN(MIN(Races!$E$27,TblMili[[#This Row],[Rockapult]]+Races!$F$27),6)  +  0.2 * ( MAX(Races!$E$27-6,0) + MAX(TblMili[[#This Row],[Rockapult]]+Races!$F$27-6,0) )  -  Races!$I$20</f>
        <v>2.7642857142857133</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0.51428571428571423</v>
      </c>
      <c r="CX86" s="158">
        <f ca="1">1.8 * MIN(MAX(TblMili[[#This Row],[Ice Elemental]]+Races!$E$71,Races!$F$71),6)  +  0.45 * MIN(MIN(TblMili[[#This Row],[Ice Elemental]]+Races!$E$71,Races!$F$71),6)  +  0.2 * ( MAX(TblMili[[#This Row],[Ice Elemental]]+Races!$E$71-6,0) + MAX(Races!$F$71-6,0) )  -  Races!$I$71</f>
        <v>6.4285714285714946E-2</v>
      </c>
      <c r="CY86" s="97">
        <f ca="1">TblMili[[#This Row],[Frost Mage bonus]]*TblMili[[#This Row],[Unit 3]]+TblMili[[#This Row],[Ice Elemental bonus]]*TblMili[[#This Row],[Unit 4]]</f>
        <v>389.18571428571494</v>
      </c>
      <c r="CZ86" s="268"/>
      <c r="DA86" s="146">
        <f ca="1">MIN(SUM(TblConstr[[#This Row],[Plain]:[Water]])/TblMili[[#This Row],[Land]]/favorable_terrain_bonus/100,favorable_terrain_max)</f>
        <v>0</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38971.4</v>
      </c>
      <c r="DD86" s="145"/>
      <c r="DE86" s="269">
        <f ca="1">(TblMili[[#This Row],[Wizards]]+2*TblMili[[#This Row],[Archmages]])/TblConstr[[#This Row],[Land]]</f>
        <v>3.5714285714285712E-2</v>
      </c>
      <c r="DF86" s="269">
        <f ca="1">TblMili[[#This Row],[Raw (2)]]*(1+race_wizard_strength+IF(TblMili[[#This Row],[Hour]]&gt;72,tech_magical_weaponry_wiz*TblTech[[#This Row],[3-5]],0))</f>
        <v>3.5714285714285712E-2</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3973</v>
      </c>
      <c r="C87" s="160">
        <f ca="1">TblPop[[#This Row],[Military%]]</f>
        <v>0.30705618672231239</v>
      </c>
      <c r="D87" s="145"/>
      <c r="E87" s="45">
        <f ca="1">OFFSET(TblMili[[#This Row],[Unit 1]],-1,0) + OFFSET(TblMili[[#This Row],[Train Unit 1]],-9,0) - TblMili[[#This Row],[Release Unit 1]]</f>
        <v>0</v>
      </c>
      <c r="F87" s="45">
        <f ca="1">OFFSET(TblMili[[#This Row],[Unit 2]],-1,0) + OFFSET(TblMili[[#This Row],[Train Unit 2]],-9,0)-TblMili[[#This Row],[Release Unit 2]]</f>
        <v>1148</v>
      </c>
      <c r="G87" s="45">
        <f ca="1">OFFSET(TblMili[[#This Row],[Unit 3]],-1,0) + OFFSET(TblMili[[#This Row],[Train Unit 3]],-12,0)-TblMili[[#This Row],[Release Unit 3]]</f>
        <v>625</v>
      </c>
      <c r="H87" s="45">
        <f ca="1">OFFSET(TblMili[[#This Row],[Unit 4]],-1,0) + OFFSET(TblMili[[#This Row],[Train Unit 4]],-12,0)-TblMili[[#This Row],[Release Unit 4]]</f>
        <v>1154</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40496.400000000001</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5770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5914.2499999999991</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9718.5</v>
      </c>
      <c r="T87" s="262">
        <f ca="1">TblMili[[#This Row],[Non Draft]]+TblMili[[#This Row],[Draftees]]</f>
        <v>10467.5</v>
      </c>
      <c r="U87" s="263">
        <f ca="1">race_defense + TblImps[[#This Row],[Walls]] + ROUND( MIN(gt_bonus*TblConstr[[#This Row],[Tot GT]]/TblConstr[[#This Row],[Land]],gt_bonus_cap), 4) + IF(TblMagic[[#This Row],[Active Howling]]&gt;0,howling_dp_bonus,IF(TblMagic[[#This Row],[Active Ares Call]]&gt;0,ares_call_bonus))</f>
        <v>0.23750000000000002</v>
      </c>
      <c r="V87" s="264">
        <f ca="1">TblMili[[#This Row],[Non Draft]] * (1 + TblMili[[#This Row],[Mods_Def]])</f>
        <v>12026.643750000001</v>
      </c>
      <c r="W87" s="262">
        <f ca="1">TblMili[[#This Row],[Draft]] * (1 + TblMili[[#This Row],[Mods_Def]])</f>
        <v>12953.53125</v>
      </c>
      <c r="X87" s="262">
        <f ca="1">TblConstr[[#This Row],[Land]]</f>
        <v>700</v>
      </c>
      <c r="Y87" s="265"/>
      <c r="Z87" s="270">
        <f ca="1">IF(TblMili[[#This Row],[Set]]&lt;&gt;"",TblMili[[#This Row],[Set]],OFFSET(TblMili[[#This Row],[Draftrate]],-1,0))</f>
        <v>0.9</v>
      </c>
      <c r="AA87" s="97">
        <f ca="1">OFFSET(TblMili[[#This Row],[Draftees]],-1,0)+OFFSET(TblPop[[#This Row],[Draft Growth]],-1,0) - SUM(TblMili[[#This Row],[Train Unit 1]:[Train Spies]],TblMili[[#This Row],[Train Wiz]]) - TblMili[[#This Row],[Release Draft]] + SUM(TblMili[[#This Row],[Release Unit 1]:[Release AM]]) - TblExplore[[#This Row],[Draftees (2)]]</f>
        <v>749</v>
      </c>
      <c r="AB87" s="157"/>
      <c r="AC87" s="183">
        <f ca="1">(TblConstr[[#This Row],[Tot Smi]]+TblConstr[[#This Row],[Dest Smi]])/(TblConstr[[#This Row],[Land]]-TblExplore[[#This Row],[Land Bonus]]*20)</f>
        <v>0.18</v>
      </c>
      <c r="AD87" s="140"/>
      <c r="AE87" s="261">
        <f>TblMili[[#This Row],[Hour]]</f>
        <v>84</v>
      </c>
      <c r="AF87" s="141">
        <f ca="1">TblExplore[[#This Row],[Time]]</f>
        <v>45433.208333333132</v>
      </c>
      <c r="AG87" s="182"/>
      <c r="AH87" s="182"/>
      <c r="AI87" s="182"/>
      <c r="AJ87" s="182"/>
      <c r="AK87" s="182"/>
      <c r="AL87" s="182"/>
      <c r="AM87" s="182"/>
      <c r="AN87" s="182"/>
      <c r="AO87" s="145"/>
      <c r="AP87" s="97">
        <f ca="1">TblProd[[#This Row],[Platinum]]</f>
        <v>470622</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45433.208333333132</v>
      </c>
      <c r="AV87" s="97">
        <f ca="1">TblMili[[#This Row],[Draftees]]</f>
        <v>749</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192</v>
      </c>
      <c r="BJ87" s="97">
        <f ca="1">ROUNDUP(IF(race="Gnome",1,(1-MIN(TblMili[[#This Row],[Smithies]]*smithy_bonus,smithy_bonus_cap) + tech_3_5*TblTech[[#This Row],[3-5]] + tech_5_3*TblTech[[#This Row],[5-3]] + tech_5_5*TblTech[[#This Row],[5-5]]))*spec_op_ore,0)</f>
        <v>0</v>
      </c>
      <c r="BK87" s="97">
        <f ca="1">ROUNDUP((1-MIN(TblMili[[#This Row],[Smithies]]*smithy_bonus,smithy_bonus_cap) + tech_3_5*TblTech[[#This Row],[3-5]] + tech_5_3*TblTech[[#This Row],[5-3]] + tech_5_5*TblTech[[#This Row],[5-5]])*spec_dp_plat,0)</f>
        <v>192</v>
      </c>
      <c r="BL87" s="97">
        <f ca="1">ROUNDUP(IF(race="Gnome",1,(1-MIN(TblMili[[#This Row],[Smithies]]*smithy_bonus,smithy_bonus_cap) + tech_3_5*TblTech[[#This Row],[3-5]] + tech_5_3*TblTech[[#This Row],[5-3]] + tech_5_5*TblTech[[#This Row],[5-5]]))*spec_dp_ore,0)</f>
        <v>0</v>
      </c>
      <c r="BM87" s="97">
        <f ca="1">ROUNDUP((1-MIN(TblMili[[#This Row],[Smithies]]*smithy_bonus,smithy_bonus_cap) + tech_3_5*TblTech[[#This Row],[3-5]] + tech_5_3*TblTech[[#This Row],[5-3]] + tech_5_5*TblTech[[#This Row],[5-5]])*elite1_plat,0)</f>
        <v>592</v>
      </c>
      <c r="BN87" s="97">
        <f ca="1">ROUNDUP(IF(race="Gnome",1,(1-MIN(TblMili[[#This Row],[Smithies]]*smithy_bonus,smithy_bonus_cap) + tech_3_5*TblTech[[#This Row],[3-5]] + tech_5_3*TblTech[[#This Row],[5-3]] + tech_5_5*TblTech[[#This Row],[5-5]]))*elite1_ore,0)</f>
        <v>0</v>
      </c>
      <c r="BO87" s="97">
        <f ca="1">ROUNDUP((1-MIN(TblMili[[#This Row],[Smithies]]*smithy_bonus,smithy_bonus_cap) + tech_3_5*TblTech[[#This Row],[3-5]] + tech_5_3*TblTech[[#This Row],[5-3]] + tech_5_5*TblTech[[#This Row],[5-5]])*elite2_plat,0)</f>
        <v>608</v>
      </c>
      <c r="BP87" s="97">
        <f ca="1">ROUNDUP(IF(race="Gnome",1,(1-MIN(TblMili[[#This Row],[Smithies]]*smithy_bonus,smithy_bonus_cap) + tech_3_5*TblTech[[#This Row],[3-5]] + tech_5_3*TblTech[[#This Row],[5-3]] + tech_5_5*TblTech[[#This Row],[5-5]]))*elite2_ore,0)</f>
        <v>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5.7142857142857141E-2</v>
      </c>
      <c r="BW87" s="160">
        <f ca="1">TblMili[[#This Row],[WG''s]]</f>
        <v>0</v>
      </c>
      <c r="BX87" s="266">
        <f ca="1">IF(mystic_cap="none",TblMili[[#This Row],[Hill]]/mystic_bonus,MIN(mystic_cap,TblMili[[#This Row],[Hill]]/mystic_bonus))</f>
        <v>0.2857142857142857</v>
      </c>
      <c r="BY87" s="266">
        <f ca="1">IF(druid_op_cap="none",TblMili[[#This Row],[Hill]]/druid_op_bonus,MIN(druid_op_cap,TblMili[[#This Row],[Hill]]/druid_op_bonus))</f>
        <v>0.2857142857142857</v>
      </c>
      <c r="BZ87" s="266">
        <f ca="1">IF(druid_dp_cap="none",TblMili[[#This Row],[Hill]]/druid_dp_bonus,MIN(druid_dp_cap,TblMili[[#This Row],[Hill]]/druid_dp_bonus))</f>
        <v>0.2857142857142857</v>
      </c>
      <c r="CA87" s="266">
        <f ca="1">MIN(dryad_cap,TblMili[[#This Row],[Hill]]/dryad_bonus)</f>
        <v>0.2857142857142857</v>
      </c>
      <c r="CB87" s="266">
        <f ca="1">MIN(rocka_cap,TblMili[[#This Row],[Hill]]/rocka_bonus)</f>
        <v>0.2857142857142857</v>
      </c>
      <c r="CC87" s="266">
        <f ca="1">MIN(adept_op_cap,TblMili[[#This Row],[WG]]/adept_op_bonus)</f>
        <v>0</v>
      </c>
      <c r="CD87" s="266">
        <f ca="1">MIN(adept_dp_cap,TblMili[[#This Row],[WG]]/adept_dp_bonus)</f>
        <v>0</v>
      </c>
      <c r="CE87" s="97">
        <f ca="1">MIN(TblMili[[#This Row],[Unit 3]],TblMili[[#This Row],[Unit 2]])*2</f>
        <v>1250</v>
      </c>
      <c r="CF87" s="97">
        <f ca="1">MIN(TblMili[[#This Row],[Unit 1]],TblMili[[#This Row],[Unit 4]])*2</f>
        <v>0</v>
      </c>
      <c r="CG87" s="266">
        <f ca="1">MIN(frost_mage_cap,TblMili[[#This Row],[Hill]]/frost_mage_bonus)</f>
        <v>0.2857142857142857</v>
      </c>
      <c r="CH87" s="45">
        <f ca="1">MIN(ice_elem_cap,TblMili[[#This Row],[Raw (2)]]*ice_elem_bonus)</f>
        <v>3.5714285714285712E-2</v>
      </c>
      <c r="CI87" s="266">
        <f t="shared" si="3"/>
        <v>0.83333333333333337</v>
      </c>
      <c r="CJ87" s="266">
        <f ca="1">MIN(nox_nightshade_cap,TblConstr[[#This Row],[Homeland]]/TblConstr[[#This Row],[Land]]/nox_nightshade_swamp_bonus)</f>
        <v>0.5714285714285714</v>
      </c>
      <c r="CK87" s="267"/>
      <c r="CL87" s="267"/>
      <c r="CM87" s="267"/>
      <c r="CN87" s="266">
        <f ca="1">MIN(6,TblMili[[#This Row],[Mystic]]+Races!$F$19)*1.8 +  IF(TblMili[[#This Row],[Mystic]]+Races!$F$19&gt;6,(TblMili[[#This Row],[Mystic]]+Races!$F$19-6)*0.2,0) - Races!$I$19</f>
        <v>0.51428571428571423</v>
      </c>
      <c r="CO8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7" s="97">
        <f ca="1">TblMili[[#This Row],[Mystic bonus]]*TblMili[[#This Row],[Unit 3]]+TblMili[[#This Row],[Druid bonus]]*TblMili[[#This Row],[Unit 4]]</f>
        <v>1063.2857142857138</v>
      </c>
      <c r="CQ87" s="158">
        <f ca="1">MIN(6,TblMili[[#This Row],[Dryad]]+Races!$F$35)*1.8 +  IF(TblMili[[#This Row],[Dryad]]+Races!$F$35&gt;6,(TblMili[[#This Row],[Dryad]]+Races!$F$35-6)*0.2,0) - Races!$I$19</f>
        <v>-1.2857142857142856</v>
      </c>
      <c r="CR87" s="97">
        <f ca="1">sylvan*(TblMili[[#This Row],[Mystic bonus]]*TblMili[[#This Row],[Unit 3]])</f>
        <v>0</v>
      </c>
      <c r="CS87" s="158">
        <f ca="1">1.8 * MIN(MAX(Races!$E$27,TblMili[[#This Row],[Rockapult]]+Races!$F$27),6)  +  0.45 * MIN(MIN(Races!$E$27,TblMili[[#This Row],[Rockapult]]+Races!$F$27),6)  +  0.2 * ( MAX(Races!$E$27-6,0) + MAX(TblMili[[#This Row],[Rockapult]]+Races!$F$27-6,0) )  -  Races!$I$20</f>
        <v>2.7642857142857133</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0.51428571428571423</v>
      </c>
      <c r="CX87" s="158">
        <f ca="1">1.8 * MIN(MAX(TblMili[[#This Row],[Ice Elemental]]+Races!$E$71,Races!$F$71),6)  +  0.45 * MIN(MIN(TblMili[[#This Row],[Ice Elemental]]+Races!$E$71,Races!$F$71),6)  +  0.2 * ( MAX(TblMili[[#This Row],[Ice Elemental]]+Races!$E$71-6,0) + MAX(Races!$F$71-6,0) )  -  Races!$I$71</f>
        <v>6.4285714285714946E-2</v>
      </c>
      <c r="CY87" s="97">
        <f ca="1">TblMili[[#This Row],[Frost Mage bonus]]*TblMili[[#This Row],[Unit 3]]+TblMili[[#This Row],[Ice Elemental bonus]]*TblMili[[#This Row],[Unit 4]]</f>
        <v>395.61428571428644</v>
      </c>
      <c r="CZ87" s="268"/>
      <c r="DA87" s="146">
        <f ca="1">MIN(SUM(TblConstr[[#This Row],[Plain]:[Water]])/TblMili[[#This Row],[Land]]/favorable_terrain_bonus/100,favorable_terrain_max)</f>
        <v>0</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40496.400000000001</v>
      </c>
      <c r="DD87" s="145"/>
      <c r="DE87" s="269">
        <f ca="1">(TblMili[[#This Row],[Wizards]]+2*TblMili[[#This Row],[Archmages]])/TblConstr[[#This Row],[Land]]</f>
        <v>3.5714285714285712E-2</v>
      </c>
      <c r="DF87" s="269">
        <f ca="1">TblMili[[#This Row],[Raw (2)]]*(1+race_wizard_strength+IF(TblMili[[#This Row],[Hour]]&gt;72,tech_magical_weaponry_wiz*TblTech[[#This Row],[3-5]],0))</f>
        <v>3.5714285714285712E-2</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4063</v>
      </c>
      <c r="C88" s="160">
        <f ca="1">TblPop[[#This Row],[Military%]]</f>
        <v>0.31401190200170026</v>
      </c>
      <c r="D88" s="145"/>
      <c r="E88" s="45">
        <f ca="1">OFFSET(TblMili[[#This Row],[Unit 1]],-1,0) + OFFSET(TblMili[[#This Row],[Train Unit 1]],-9,0) - TblMili[[#This Row],[Release Unit 1]]</f>
        <v>0</v>
      </c>
      <c r="F88" s="45">
        <f ca="1">OFFSET(TblMili[[#This Row],[Unit 2]],-1,0) + OFFSET(TblMili[[#This Row],[Train Unit 2]],-9,0)-TblMili[[#This Row],[Release Unit 2]]</f>
        <v>1246</v>
      </c>
      <c r="G88" s="45">
        <f ca="1">OFFSET(TblMili[[#This Row],[Unit 3]],-1,0) + OFFSET(TblMili[[#This Row],[Train Unit 3]],-12,0)-TblMili[[#This Row],[Release Unit 3]]</f>
        <v>650</v>
      </c>
      <c r="H88" s="45">
        <f ca="1">OFFSET(TblMili[[#This Row],[Unit 4]],-1,0) + OFFSET(TblMili[[#This Row],[Train Unit 4]],-12,0)-TblMili[[#This Row],[Release Unit 4]]</f>
        <v>1228</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41954.8</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6140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6293.4999999999991</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10347</v>
      </c>
      <c r="T88" s="262">
        <f ca="1">TblMili[[#This Row],[Non Draft]]+TblMili[[#This Row],[Draftees]]</f>
        <v>11186</v>
      </c>
      <c r="U88" s="263">
        <f ca="1">race_defense + TblImps[[#This Row],[Walls]] + ROUND( MIN(gt_bonus*TblConstr[[#This Row],[Tot GT]]/TblConstr[[#This Row],[Land]],gt_bonus_cap), 4) + IF(TblMagic[[#This Row],[Active Howling]]&gt;0,howling_dp_bonus,IF(TblMagic[[#This Row],[Active Ares Call]]&gt;0,ares_call_bonus))</f>
        <v>0.23750000000000002</v>
      </c>
      <c r="V88" s="264">
        <f ca="1">TblMili[[#This Row],[Non Draft]] * (1 + TblMili[[#This Row],[Mods_Def]])</f>
        <v>12804.4125</v>
      </c>
      <c r="W88" s="262">
        <f ca="1">TblMili[[#This Row],[Draft]] * (1 + TblMili[[#This Row],[Mods_Def]])</f>
        <v>13842.675000000001</v>
      </c>
      <c r="X88" s="262">
        <f ca="1">TblConstr[[#This Row],[Land]]</f>
        <v>700</v>
      </c>
      <c r="Y88" s="265"/>
      <c r="Z88" s="270">
        <f ca="1">IF(TblMili[[#This Row],[Set]]&lt;&gt;"",TblMili[[#This Row],[Set]],OFFSET(TblMili[[#This Row],[Draftrate]],-1,0))</f>
        <v>0.9</v>
      </c>
      <c r="AA88" s="97">
        <f ca="1">OFFSET(TblMili[[#This Row],[Draftees]],-1,0)+OFFSET(TblPop[[#This Row],[Draft Growth]],-1,0) - SUM(TblMili[[#This Row],[Train Unit 1]:[Train Spies]],TblMili[[#This Row],[Train Wiz]]) - TblMili[[#This Row],[Release Draft]] + SUM(TblMili[[#This Row],[Release Unit 1]:[Release AM]]) - TblExplore[[#This Row],[Draftees (2)]]</f>
        <v>839</v>
      </c>
      <c r="AB88" s="157"/>
      <c r="AC88" s="183">
        <f ca="1">(TblConstr[[#This Row],[Tot Smi]]+TblConstr[[#This Row],[Dest Smi]])/(TblConstr[[#This Row],[Land]]-TblExplore[[#This Row],[Land Bonus]]*20)</f>
        <v>0.18</v>
      </c>
      <c r="AD88" s="261"/>
      <c r="AE88" s="261">
        <f>TblMili[[#This Row],[Hour]]</f>
        <v>85</v>
      </c>
      <c r="AF88" s="141">
        <f ca="1">TblExplore[[#This Row],[Time]]</f>
        <v>45433.249999999796</v>
      </c>
      <c r="AG88" s="182"/>
      <c r="AH88" s="182"/>
      <c r="AI88" s="182"/>
      <c r="AJ88" s="182"/>
      <c r="AK88" s="182"/>
      <c r="AL88" s="182"/>
      <c r="AM88" s="182"/>
      <c r="AN88" s="182"/>
      <c r="AO88" s="145"/>
      <c r="AP88" s="97">
        <f ca="1">TblProd[[#This Row],[Platinum]]</f>
        <v>514796</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45433.249999999796</v>
      </c>
      <c r="AV88" s="97">
        <f ca="1">TblMili[[#This Row],[Draftees]]</f>
        <v>839</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192</v>
      </c>
      <c r="BJ88" s="97">
        <f ca="1">ROUNDUP(IF(race="Gnome",1,(1-MIN(TblMili[[#This Row],[Smithies]]*smithy_bonus,smithy_bonus_cap) + tech_3_5*TblTech[[#This Row],[3-5]] + tech_5_3*TblTech[[#This Row],[5-3]] + tech_5_5*TblTech[[#This Row],[5-5]]))*spec_op_ore,0)</f>
        <v>0</v>
      </c>
      <c r="BK88" s="97">
        <f ca="1">ROUNDUP((1-MIN(TblMili[[#This Row],[Smithies]]*smithy_bonus,smithy_bonus_cap) + tech_3_5*TblTech[[#This Row],[3-5]] + tech_5_3*TblTech[[#This Row],[5-3]] + tech_5_5*TblTech[[#This Row],[5-5]])*spec_dp_plat,0)</f>
        <v>192</v>
      </c>
      <c r="BL88" s="97">
        <f ca="1">ROUNDUP(IF(race="Gnome",1,(1-MIN(TblMili[[#This Row],[Smithies]]*smithy_bonus,smithy_bonus_cap) + tech_3_5*TblTech[[#This Row],[3-5]] + tech_5_3*TblTech[[#This Row],[5-3]] + tech_5_5*TblTech[[#This Row],[5-5]]))*spec_dp_ore,0)</f>
        <v>0</v>
      </c>
      <c r="BM88" s="97">
        <f ca="1">ROUNDUP((1-MIN(TblMili[[#This Row],[Smithies]]*smithy_bonus,smithy_bonus_cap) + tech_3_5*TblTech[[#This Row],[3-5]] + tech_5_3*TblTech[[#This Row],[5-3]] + tech_5_5*TblTech[[#This Row],[5-5]])*elite1_plat,0)</f>
        <v>592</v>
      </c>
      <c r="BN88" s="97">
        <f ca="1">ROUNDUP(IF(race="Gnome",1,(1-MIN(TblMili[[#This Row],[Smithies]]*smithy_bonus,smithy_bonus_cap) + tech_3_5*TblTech[[#This Row],[3-5]] + tech_5_3*TblTech[[#This Row],[5-3]] + tech_5_5*TblTech[[#This Row],[5-5]]))*elite1_ore,0)</f>
        <v>0</v>
      </c>
      <c r="BO88" s="97">
        <f ca="1">ROUNDUP((1-MIN(TblMili[[#This Row],[Smithies]]*smithy_bonus,smithy_bonus_cap) + tech_3_5*TblTech[[#This Row],[3-5]] + tech_5_3*TblTech[[#This Row],[5-3]] + tech_5_5*TblTech[[#This Row],[5-5]])*elite2_plat,0)</f>
        <v>608</v>
      </c>
      <c r="BP88" s="97">
        <f ca="1">ROUNDUP(IF(race="Gnome",1,(1-MIN(TblMili[[#This Row],[Smithies]]*smithy_bonus,smithy_bonus_cap) + tech_3_5*TblTech[[#This Row],[3-5]] + tech_5_3*TblTech[[#This Row],[5-3]] + tech_5_5*TblTech[[#This Row],[5-5]]))*elite2_ore,0)</f>
        <v>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5.7142857142857141E-2</v>
      </c>
      <c r="BW88" s="160">
        <f ca="1">TblMili[[#This Row],[WG''s]]</f>
        <v>0</v>
      </c>
      <c r="BX88" s="266">
        <f ca="1">IF(mystic_cap="none",TblMili[[#This Row],[Hill]]/mystic_bonus,MIN(mystic_cap,TblMili[[#This Row],[Hill]]/mystic_bonus))</f>
        <v>0.2857142857142857</v>
      </c>
      <c r="BY88" s="266">
        <f ca="1">IF(druid_op_cap="none",TblMili[[#This Row],[Hill]]/druid_op_bonus,MIN(druid_op_cap,TblMili[[#This Row],[Hill]]/druid_op_bonus))</f>
        <v>0.2857142857142857</v>
      </c>
      <c r="BZ88" s="266">
        <f ca="1">IF(druid_dp_cap="none",TblMili[[#This Row],[Hill]]/druid_dp_bonus,MIN(druid_dp_cap,TblMili[[#This Row],[Hill]]/druid_dp_bonus))</f>
        <v>0.2857142857142857</v>
      </c>
      <c r="CA88" s="266">
        <f ca="1">MIN(dryad_cap,TblMili[[#This Row],[Hill]]/dryad_bonus)</f>
        <v>0.2857142857142857</v>
      </c>
      <c r="CB88" s="266">
        <f ca="1">MIN(rocka_cap,TblMili[[#This Row],[Hill]]/rocka_bonus)</f>
        <v>0.2857142857142857</v>
      </c>
      <c r="CC88" s="266">
        <f ca="1">MIN(adept_op_cap,TblMili[[#This Row],[WG]]/adept_op_bonus)</f>
        <v>0</v>
      </c>
      <c r="CD88" s="266">
        <f ca="1">MIN(adept_dp_cap,TblMili[[#This Row],[WG]]/adept_dp_bonus)</f>
        <v>0</v>
      </c>
      <c r="CE88" s="97">
        <f ca="1">MIN(TblMili[[#This Row],[Unit 3]],TblMili[[#This Row],[Unit 2]])*2</f>
        <v>1300</v>
      </c>
      <c r="CF88" s="97">
        <f ca="1">MIN(TblMili[[#This Row],[Unit 1]],TblMili[[#This Row],[Unit 4]])*2</f>
        <v>0</v>
      </c>
      <c r="CG88" s="266">
        <f ca="1">MIN(frost_mage_cap,TblMili[[#This Row],[Hill]]/frost_mage_bonus)</f>
        <v>0.2857142857142857</v>
      </c>
      <c r="CH88" s="45">
        <f ca="1">MIN(ice_elem_cap,TblMili[[#This Row],[Raw (2)]]*ice_elem_bonus)</f>
        <v>3.5714285714285712E-2</v>
      </c>
      <c r="CI88" s="266">
        <f t="shared" si="3"/>
        <v>0.83333333333333337</v>
      </c>
      <c r="CJ88" s="266">
        <f ca="1">MIN(nox_nightshade_cap,TblConstr[[#This Row],[Homeland]]/TblConstr[[#This Row],[Land]]/nox_nightshade_swamp_bonus)</f>
        <v>0.5714285714285714</v>
      </c>
      <c r="CK88" s="267"/>
      <c r="CL88" s="267"/>
      <c r="CM88" s="267"/>
      <c r="CN88" s="266">
        <f ca="1">MIN(6,TblMili[[#This Row],[Mystic]]+Races!$F$19)*1.8 +  IF(TblMili[[#This Row],[Mystic]]+Races!$F$19&gt;6,(TblMili[[#This Row],[Mystic]]+Races!$F$19-6)*0.2,0) - Races!$I$19</f>
        <v>0.51428571428571423</v>
      </c>
      <c r="CO8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8" s="97">
        <f ca="1">TblMili[[#This Row],[Mystic bonus]]*TblMili[[#This Row],[Unit 3]]+TblMili[[#This Row],[Druid bonus]]*TblMili[[#This Row],[Unit 4]]</f>
        <v>1123.7142857142851</v>
      </c>
      <c r="CQ88" s="158">
        <f ca="1">MIN(6,TblMili[[#This Row],[Dryad]]+Races!$F$35)*1.8 +  IF(TblMili[[#This Row],[Dryad]]+Races!$F$35&gt;6,(TblMili[[#This Row],[Dryad]]+Races!$F$35-6)*0.2,0) - Races!$I$19</f>
        <v>-1.2857142857142856</v>
      </c>
      <c r="CR88" s="97">
        <f ca="1">sylvan*(TblMili[[#This Row],[Mystic bonus]]*TblMili[[#This Row],[Unit 3]])</f>
        <v>0</v>
      </c>
      <c r="CS88" s="158">
        <f ca="1">1.8 * MIN(MAX(Races!$E$27,TblMili[[#This Row],[Rockapult]]+Races!$F$27),6)  +  0.45 * MIN(MIN(Races!$E$27,TblMili[[#This Row],[Rockapult]]+Races!$F$27),6)  +  0.2 * ( MAX(Races!$E$27-6,0) + MAX(TblMili[[#This Row],[Rockapult]]+Races!$F$27-6,0) )  -  Races!$I$20</f>
        <v>2.7642857142857133</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0.51428571428571423</v>
      </c>
      <c r="CX88" s="158">
        <f ca="1">1.8 * MIN(MAX(TblMili[[#This Row],[Ice Elemental]]+Races!$E$71,Races!$F$71),6)  +  0.45 * MIN(MIN(TblMili[[#This Row],[Ice Elemental]]+Races!$E$71,Races!$F$71),6)  +  0.2 * ( MAX(TblMili[[#This Row],[Ice Elemental]]+Races!$E$71-6,0) + MAX(Races!$F$71-6,0) )  -  Races!$I$71</f>
        <v>6.4285714285714946E-2</v>
      </c>
      <c r="CY88" s="97">
        <f ca="1">TblMili[[#This Row],[Frost Mage bonus]]*TblMili[[#This Row],[Unit 3]]+TblMili[[#This Row],[Ice Elemental bonus]]*TblMili[[#This Row],[Unit 4]]</f>
        <v>413.2285714285722</v>
      </c>
      <c r="CZ88" s="268"/>
      <c r="DA88" s="146">
        <f ca="1">MIN(SUM(TblConstr[[#This Row],[Plain]:[Water]])/TblMili[[#This Row],[Land]]/favorable_terrain_bonus/100,favorable_terrain_max)</f>
        <v>0</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41954.8</v>
      </c>
      <c r="DD88" s="145"/>
      <c r="DE88" s="269">
        <f ca="1">(TblMili[[#This Row],[Wizards]]+2*TblMili[[#This Row],[Archmages]])/TblConstr[[#This Row],[Land]]</f>
        <v>3.5714285714285712E-2</v>
      </c>
      <c r="DF88" s="269">
        <f ca="1">TblMili[[#This Row],[Raw (2)]]*(1+race_wizard_strength+IF(TblMili[[#This Row],[Hour]]&gt;72,tech_magical_weaponry_wiz*TblTech[[#This Row],[3-5]],0))</f>
        <v>3.5714285714285712E-2</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4152</v>
      </c>
      <c r="C89" s="160">
        <f ca="1">TblPop[[#This Row],[Military%]]</f>
        <v>0.32089033155576163</v>
      </c>
      <c r="D89" s="145"/>
      <c r="E89" s="45">
        <f ca="1">OFFSET(TblMili[[#This Row],[Unit 1]],-1,0) + OFFSET(TblMili[[#This Row],[Train Unit 1]],-9,0) - TblMili[[#This Row],[Release Unit 1]]</f>
        <v>0</v>
      </c>
      <c r="F89" s="45">
        <f ca="1">OFFSET(TblMili[[#This Row],[Unit 2]],-1,0) + OFFSET(TblMili[[#This Row],[Train Unit 2]],-9,0)-TblMili[[#This Row],[Release Unit 2]]</f>
        <v>1246</v>
      </c>
      <c r="G89" s="45">
        <f ca="1">OFFSET(TblMili[[#This Row],[Unit 3]],-1,0) + OFFSET(TblMili[[#This Row],[Train Unit 3]],-12,0)-TblMili[[#This Row],[Release Unit 3]]</f>
        <v>700</v>
      </c>
      <c r="H89" s="45">
        <f ca="1">OFFSET(TblMili[[#This Row],[Unit 4]],-1,0) + OFFSET(TblMili[[#This Row],[Train Unit 4]],-12,0)-TblMili[[#This Row],[Release Unit 4]]</f>
        <v>1228</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42359.8</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6140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6293.4999999999991</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89" s="262">
        <f ca="1">TblMili[[#This Row],[Non Draft]]+TblMili[[#This Row],[Draftees]]</f>
        <v>11500</v>
      </c>
      <c r="U89" s="263">
        <f ca="1">race_defense + TblImps[[#This Row],[Walls]] + ROUND( MIN(gt_bonus*TblConstr[[#This Row],[Tot GT]]/TblConstr[[#This Row],[Land]],gt_bonus_cap), 4) + IF(TblMagic[[#This Row],[Active Howling]]&gt;0,howling_dp_bonus,IF(TblMagic[[#This Row],[Active Ares Call]]&gt;0,ares_call_bonus))</f>
        <v>0.23750000000000002</v>
      </c>
      <c r="V89" s="264">
        <f ca="1">TblMili[[#This Row],[Non Draft]] * (1 + TblMili[[#This Row],[Mods_Def]])</f>
        <v>13082.85</v>
      </c>
      <c r="W89" s="262">
        <f ca="1">TblMili[[#This Row],[Draft]] * (1 + TblMili[[#This Row],[Mods_Def]])</f>
        <v>14231.25</v>
      </c>
      <c r="X89" s="262">
        <f ca="1">TblConstr[[#This Row],[Land]]</f>
        <v>700</v>
      </c>
      <c r="Y89" s="265"/>
      <c r="Z89" s="270">
        <f ca="1">IF(TblMili[[#This Row],[Set]]&lt;&gt;"",TblMili[[#This Row],[Set]],OFFSET(TblMili[[#This Row],[Draftrate]],-1,0))</f>
        <v>0.9</v>
      </c>
      <c r="AA89" s="97">
        <f ca="1">OFFSET(TblMili[[#This Row],[Draftees]],-1,0)+OFFSET(TblPop[[#This Row],[Draft Growth]],-1,0) - SUM(TblMili[[#This Row],[Train Unit 1]:[Train Spies]],TblMili[[#This Row],[Train Wiz]]) - TblMili[[#This Row],[Release Draft]] + SUM(TblMili[[#This Row],[Release Unit 1]:[Release AM]]) - TblExplore[[#This Row],[Draftees (2)]]</f>
        <v>928</v>
      </c>
      <c r="AB89" s="157"/>
      <c r="AC89" s="183">
        <f ca="1">(TblConstr[[#This Row],[Tot Smi]]+TblConstr[[#This Row],[Dest Smi]])/(TblConstr[[#This Row],[Land]]-TblExplore[[#This Row],[Land Bonus]]*20)</f>
        <v>0.18</v>
      </c>
      <c r="AD89" s="140"/>
      <c r="AE89" s="261">
        <f>TblMili[[#This Row],[Hour]]</f>
        <v>86</v>
      </c>
      <c r="AF89" s="141">
        <f ca="1">TblExplore[[#This Row],[Time]]</f>
        <v>45433.291666666461</v>
      </c>
      <c r="AG89" s="182"/>
      <c r="AH89" s="182"/>
      <c r="AI89" s="182"/>
      <c r="AJ89" s="182"/>
      <c r="AK89" s="182"/>
      <c r="AL89" s="182"/>
      <c r="AM89" s="182"/>
      <c r="AN89" s="182"/>
      <c r="AO89" s="145"/>
      <c r="AP89" s="97">
        <f ca="1">TblProd[[#This Row],[Platinum]]</f>
        <v>558702</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45433.291666666461</v>
      </c>
      <c r="AV89" s="97">
        <f ca="1">TblMili[[#This Row],[Draftees]]</f>
        <v>928</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192</v>
      </c>
      <c r="BJ89" s="97">
        <f ca="1">ROUNDUP(IF(race="Gnome",1,(1-MIN(TblMili[[#This Row],[Smithies]]*smithy_bonus,smithy_bonus_cap) + tech_3_5*TblTech[[#This Row],[3-5]] + tech_5_3*TblTech[[#This Row],[5-3]] + tech_5_5*TblTech[[#This Row],[5-5]]))*spec_op_ore,0)</f>
        <v>0</v>
      </c>
      <c r="BK89" s="97">
        <f ca="1">ROUNDUP((1-MIN(TblMili[[#This Row],[Smithies]]*smithy_bonus,smithy_bonus_cap) + tech_3_5*TblTech[[#This Row],[3-5]] + tech_5_3*TblTech[[#This Row],[5-3]] + tech_5_5*TblTech[[#This Row],[5-5]])*spec_dp_plat,0)</f>
        <v>192</v>
      </c>
      <c r="BL89" s="97">
        <f ca="1">ROUNDUP(IF(race="Gnome",1,(1-MIN(TblMili[[#This Row],[Smithies]]*smithy_bonus,smithy_bonus_cap) + tech_3_5*TblTech[[#This Row],[3-5]] + tech_5_3*TblTech[[#This Row],[5-3]] + tech_5_5*TblTech[[#This Row],[5-5]]))*spec_dp_ore,0)</f>
        <v>0</v>
      </c>
      <c r="BM89" s="97">
        <f ca="1">ROUNDUP((1-MIN(TblMili[[#This Row],[Smithies]]*smithy_bonus,smithy_bonus_cap) + tech_3_5*TblTech[[#This Row],[3-5]] + tech_5_3*TblTech[[#This Row],[5-3]] + tech_5_5*TblTech[[#This Row],[5-5]])*elite1_plat,0)</f>
        <v>592</v>
      </c>
      <c r="BN89" s="97">
        <f ca="1">ROUNDUP(IF(race="Gnome",1,(1-MIN(TblMili[[#This Row],[Smithies]]*smithy_bonus,smithy_bonus_cap) + tech_3_5*TblTech[[#This Row],[3-5]] + tech_5_3*TblTech[[#This Row],[5-3]] + tech_5_5*TblTech[[#This Row],[5-5]]))*elite1_ore,0)</f>
        <v>0</v>
      </c>
      <c r="BO89" s="97">
        <f ca="1">ROUNDUP((1-MIN(TblMili[[#This Row],[Smithies]]*smithy_bonus,smithy_bonus_cap) + tech_3_5*TblTech[[#This Row],[3-5]] + tech_5_3*TblTech[[#This Row],[5-3]] + tech_5_5*TblTech[[#This Row],[5-5]])*elite2_plat,0)</f>
        <v>608</v>
      </c>
      <c r="BP89" s="97">
        <f ca="1">ROUNDUP(IF(race="Gnome",1,(1-MIN(TblMili[[#This Row],[Smithies]]*smithy_bonus,smithy_bonus_cap) + tech_3_5*TblTech[[#This Row],[3-5]] + tech_5_3*TblTech[[#This Row],[5-3]] + tech_5_5*TblTech[[#This Row],[5-5]]))*elite2_ore,0)</f>
        <v>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5.7142857142857141E-2</v>
      </c>
      <c r="BW89" s="160">
        <f ca="1">TblMili[[#This Row],[WG''s]]</f>
        <v>0</v>
      </c>
      <c r="BX89" s="266">
        <f ca="1">IF(mystic_cap="none",TblMili[[#This Row],[Hill]]/mystic_bonus,MIN(mystic_cap,TblMili[[#This Row],[Hill]]/mystic_bonus))</f>
        <v>0.2857142857142857</v>
      </c>
      <c r="BY89" s="266">
        <f ca="1">IF(druid_op_cap="none",TblMili[[#This Row],[Hill]]/druid_op_bonus,MIN(druid_op_cap,TblMili[[#This Row],[Hill]]/druid_op_bonus))</f>
        <v>0.2857142857142857</v>
      </c>
      <c r="BZ89" s="266">
        <f ca="1">IF(druid_dp_cap="none",TblMili[[#This Row],[Hill]]/druid_dp_bonus,MIN(druid_dp_cap,TblMili[[#This Row],[Hill]]/druid_dp_bonus))</f>
        <v>0.2857142857142857</v>
      </c>
      <c r="CA89" s="266">
        <f ca="1">MIN(dryad_cap,TblMili[[#This Row],[Hill]]/dryad_bonus)</f>
        <v>0.2857142857142857</v>
      </c>
      <c r="CB89" s="266">
        <f ca="1">MIN(rocka_cap,TblMili[[#This Row],[Hill]]/rocka_bonus)</f>
        <v>0.2857142857142857</v>
      </c>
      <c r="CC89" s="266">
        <f ca="1">MIN(adept_op_cap,TblMili[[#This Row],[WG]]/adept_op_bonus)</f>
        <v>0</v>
      </c>
      <c r="CD89" s="266">
        <f ca="1">MIN(adept_dp_cap,TblMili[[#This Row],[WG]]/adept_dp_bonus)</f>
        <v>0</v>
      </c>
      <c r="CE89" s="97">
        <f ca="1">MIN(TblMili[[#This Row],[Unit 3]],TblMili[[#This Row],[Unit 2]])*2</f>
        <v>1400</v>
      </c>
      <c r="CF89" s="97">
        <f ca="1">MIN(TblMili[[#This Row],[Unit 1]],TblMili[[#This Row],[Unit 4]])*2</f>
        <v>0</v>
      </c>
      <c r="CG89" s="266">
        <f ca="1">MIN(frost_mage_cap,TblMili[[#This Row],[Hill]]/frost_mage_bonus)</f>
        <v>0.2857142857142857</v>
      </c>
      <c r="CH89" s="45">
        <f ca="1">MIN(ice_elem_cap,TblMili[[#This Row],[Raw (2)]]*ice_elem_bonus)</f>
        <v>3.5714285714285712E-2</v>
      </c>
      <c r="CI89" s="266">
        <f t="shared" si="3"/>
        <v>0.83333333333333337</v>
      </c>
      <c r="CJ89" s="266">
        <f ca="1">MIN(nox_nightshade_cap,TblConstr[[#This Row],[Homeland]]/TblConstr[[#This Row],[Land]]/nox_nightshade_swamp_bonus)</f>
        <v>0.5714285714285714</v>
      </c>
      <c r="CK89" s="267"/>
      <c r="CL89" s="267"/>
      <c r="CM89" s="267"/>
      <c r="CN89" s="266">
        <f ca="1">MIN(6,TblMili[[#This Row],[Mystic]]+Races!$F$19)*1.8 +  IF(TblMili[[#This Row],[Mystic]]+Races!$F$19&gt;6,(TblMili[[#This Row],[Mystic]]+Races!$F$19-6)*0.2,0) - Races!$I$19</f>
        <v>0.51428571428571423</v>
      </c>
      <c r="CO8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89" s="97">
        <f ca="1">TblMili[[#This Row],[Mystic bonus]]*TblMili[[#This Row],[Unit 3]]+TblMili[[#This Row],[Druid bonus]]*TblMili[[#This Row],[Unit 4]]</f>
        <v>1149.4285714285706</v>
      </c>
      <c r="CQ89" s="158">
        <f ca="1">MIN(6,TblMili[[#This Row],[Dryad]]+Races!$F$35)*1.8 +  IF(TblMili[[#This Row],[Dryad]]+Races!$F$35&gt;6,(TblMili[[#This Row],[Dryad]]+Races!$F$35-6)*0.2,0) - Races!$I$19</f>
        <v>-1.2857142857142856</v>
      </c>
      <c r="CR89" s="97">
        <f ca="1">sylvan*(TblMili[[#This Row],[Mystic bonus]]*TblMili[[#This Row],[Unit 3]])</f>
        <v>0</v>
      </c>
      <c r="CS89" s="158">
        <f ca="1">1.8 * MIN(MAX(Races!$E$27,TblMili[[#This Row],[Rockapult]]+Races!$F$27),6)  +  0.45 * MIN(MIN(Races!$E$27,TblMili[[#This Row],[Rockapult]]+Races!$F$27),6)  +  0.2 * ( MAX(Races!$E$27-6,0) + MAX(TblMili[[#This Row],[Rockapult]]+Races!$F$27-6,0) )  -  Races!$I$20</f>
        <v>2.7642857142857133</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0.51428571428571423</v>
      </c>
      <c r="CX89" s="158">
        <f ca="1">1.8 * MIN(MAX(TblMili[[#This Row],[Ice Elemental]]+Races!$E$71,Races!$F$71),6)  +  0.45 * MIN(MIN(TblMili[[#This Row],[Ice Elemental]]+Races!$E$71,Races!$F$71),6)  +  0.2 * ( MAX(TblMili[[#This Row],[Ice Elemental]]+Races!$E$71-6,0) + MAX(Races!$F$71-6,0) )  -  Races!$I$71</f>
        <v>6.4285714285714946E-2</v>
      </c>
      <c r="CY89" s="97">
        <f ca="1">TblMili[[#This Row],[Frost Mage bonus]]*TblMili[[#This Row],[Unit 3]]+TblMili[[#This Row],[Ice Elemental bonus]]*TblMili[[#This Row],[Unit 4]]</f>
        <v>438.94285714285786</v>
      </c>
      <c r="CZ89" s="268"/>
      <c r="DA89" s="146">
        <f ca="1">MIN(SUM(TblConstr[[#This Row],[Plain]:[Water]])/TblMili[[#This Row],[Land]]/favorable_terrain_bonus/100,favorable_terrain_max)</f>
        <v>0</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89" s="145"/>
      <c r="DE89" s="269">
        <f ca="1">(TblMili[[#This Row],[Wizards]]+2*TblMili[[#This Row],[Archmages]])/TblConstr[[#This Row],[Land]]</f>
        <v>3.5714285714285712E-2</v>
      </c>
      <c r="DF89" s="269">
        <f ca="1">TblMili[[#This Row],[Raw (2)]]*(1+race_wizard_strength+IF(TblMili[[#This Row],[Hour]]&gt;72,tech_magical_weaponry_wiz*TblTech[[#This Row],[3-5]],0))</f>
        <v>3.5714285714285712E-2</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4240</v>
      </c>
      <c r="C90" s="160">
        <f ca="1">TblPop[[#This Row],[Military%]]</f>
        <v>0.3276914753844965</v>
      </c>
      <c r="D90" s="145"/>
      <c r="E90" s="45">
        <f ca="1">OFFSET(TblMili[[#This Row],[Unit 1]],-1,0) + OFFSET(TblMili[[#This Row],[Train Unit 1]],-9,0) - TblMili[[#This Row],[Release Unit 1]]</f>
        <v>0</v>
      </c>
      <c r="F90" s="45">
        <f ca="1">OFFSET(TblMili[[#This Row],[Unit 2]],-1,0) + OFFSET(TblMili[[#This Row],[Train Unit 2]],-9,0)-TblMili[[#This Row],[Release Unit 2]]</f>
        <v>1246</v>
      </c>
      <c r="G90" s="45">
        <f ca="1">OFFSET(TblMili[[#This Row],[Unit 3]],-1,0) + OFFSET(TblMili[[#This Row],[Train Unit 3]],-12,0)-TblMili[[#This Row],[Release Unit 3]]</f>
        <v>700</v>
      </c>
      <c r="H90" s="45">
        <f ca="1">OFFSET(TblMili[[#This Row],[Unit 4]],-1,0) + OFFSET(TblMili[[#This Row],[Train Unit 4]],-12,0)-TblMili[[#This Row],[Release Unit 4]]</f>
        <v>1228</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42359.8</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6140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6293.4999999999991</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0" s="262">
        <f ca="1">TblMili[[#This Row],[Non Draft]]+TblMili[[#This Row],[Draftees]]</f>
        <v>11588</v>
      </c>
      <c r="U90" s="263">
        <f ca="1">race_defense + TblImps[[#This Row],[Walls]] + ROUND( MIN(gt_bonus*TblConstr[[#This Row],[Tot GT]]/TblConstr[[#This Row],[Land]],gt_bonus_cap), 4) + IF(TblMagic[[#This Row],[Active Howling]]&gt;0,howling_dp_bonus,IF(TblMagic[[#This Row],[Active Ares Call]]&gt;0,ares_call_bonus))</f>
        <v>0.23750000000000002</v>
      </c>
      <c r="V90" s="264">
        <f ca="1">TblMili[[#This Row],[Non Draft]] * (1 + TblMili[[#This Row],[Mods_Def]])</f>
        <v>13082.85</v>
      </c>
      <c r="W90" s="262">
        <f ca="1">TblMili[[#This Row],[Draft]] * (1 + TblMili[[#This Row],[Mods_Def]])</f>
        <v>14340.15</v>
      </c>
      <c r="X90" s="262">
        <f ca="1">TblConstr[[#This Row],[Land]]</f>
        <v>700</v>
      </c>
      <c r="Y90" s="265"/>
      <c r="Z90" s="270">
        <f ca="1">IF(TblMili[[#This Row],[Set]]&lt;&gt;"",TblMili[[#This Row],[Set]],OFFSET(TblMili[[#This Row],[Draftrate]],-1,0))</f>
        <v>0.9</v>
      </c>
      <c r="AA90" s="97">
        <f ca="1">OFFSET(TblMili[[#This Row],[Draftees]],-1,0)+OFFSET(TblPop[[#This Row],[Draft Growth]],-1,0) - SUM(TblMili[[#This Row],[Train Unit 1]:[Train Spies]],TblMili[[#This Row],[Train Wiz]]) - TblMili[[#This Row],[Release Draft]] + SUM(TblMili[[#This Row],[Release Unit 1]:[Release AM]]) - TblExplore[[#This Row],[Draftees (2)]]</f>
        <v>1016</v>
      </c>
      <c r="AB90" s="157"/>
      <c r="AC90" s="183">
        <f ca="1">(TblConstr[[#This Row],[Tot Smi]]+TblConstr[[#This Row],[Dest Smi]])/(TblConstr[[#This Row],[Land]]-TblExplore[[#This Row],[Land Bonus]]*20)</f>
        <v>0.18</v>
      </c>
      <c r="AD90" s="140"/>
      <c r="AE90" s="261">
        <f>TblMili[[#This Row],[Hour]]</f>
        <v>87</v>
      </c>
      <c r="AF90" s="141">
        <f ca="1">TblExplore[[#This Row],[Time]]</f>
        <v>45433.333333333125</v>
      </c>
      <c r="AG90" s="182"/>
      <c r="AH90" s="182"/>
      <c r="AI90" s="182"/>
      <c r="AJ90" s="182"/>
      <c r="AK90" s="182"/>
      <c r="AL90" s="182"/>
      <c r="AM90" s="182"/>
      <c r="AN90" s="182"/>
      <c r="AO90" s="145"/>
      <c r="AP90" s="97">
        <f ca="1">TblProd[[#This Row],[Platinum]]</f>
        <v>602344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45433.333333333125</v>
      </c>
      <c r="AV90" s="97">
        <f ca="1">TblMili[[#This Row],[Draftees]]</f>
        <v>1016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192</v>
      </c>
      <c r="BJ90" s="97">
        <f ca="1">ROUNDUP(IF(race="Gnome",1,(1-MIN(TblMili[[#This Row],[Smithies]]*smithy_bonus,smithy_bonus_cap) + tech_3_5*TblTech[[#This Row],[3-5]] + tech_5_3*TblTech[[#This Row],[5-3]] + tech_5_5*TblTech[[#This Row],[5-5]]))*spec_op_ore,0)</f>
        <v>0</v>
      </c>
      <c r="BK90" s="97">
        <f ca="1">ROUNDUP((1-MIN(TblMili[[#This Row],[Smithies]]*smithy_bonus,smithy_bonus_cap) + tech_3_5*TblTech[[#This Row],[3-5]] + tech_5_3*TblTech[[#This Row],[5-3]] + tech_5_5*TblTech[[#This Row],[5-5]])*spec_dp_plat,0)</f>
        <v>192</v>
      </c>
      <c r="BL90" s="97">
        <f ca="1">ROUNDUP(IF(race="Gnome",1,(1-MIN(TblMili[[#This Row],[Smithies]]*smithy_bonus,smithy_bonus_cap) + tech_3_5*TblTech[[#This Row],[3-5]] + tech_5_3*TblTech[[#This Row],[5-3]] + tech_5_5*TblTech[[#This Row],[5-5]]))*spec_dp_ore,0)</f>
        <v>0</v>
      </c>
      <c r="BM90" s="97">
        <f ca="1">ROUNDUP((1-MIN(TblMili[[#This Row],[Smithies]]*smithy_bonus,smithy_bonus_cap) + tech_3_5*TblTech[[#This Row],[3-5]] + tech_5_3*TblTech[[#This Row],[5-3]] + tech_5_5*TblTech[[#This Row],[5-5]])*elite1_plat,0)</f>
        <v>592</v>
      </c>
      <c r="BN90" s="97">
        <f ca="1">ROUNDUP(IF(race="Gnome",1,(1-MIN(TblMili[[#This Row],[Smithies]]*smithy_bonus,smithy_bonus_cap) + tech_3_5*TblTech[[#This Row],[3-5]] + tech_5_3*TblTech[[#This Row],[5-3]] + tech_5_5*TblTech[[#This Row],[5-5]]))*elite1_ore,0)</f>
        <v>0</v>
      </c>
      <c r="BO90" s="97">
        <f ca="1">ROUNDUP((1-MIN(TblMili[[#This Row],[Smithies]]*smithy_bonus,smithy_bonus_cap) + tech_3_5*TblTech[[#This Row],[3-5]] + tech_5_3*TblTech[[#This Row],[5-3]] + tech_5_5*TblTech[[#This Row],[5-5]])*elite2_plat,0)</f>
        <v>608</v>
      </c>
      <c r="BP90" s="97">
        <f ca="1">ROUNDUP(IF(race="Gnome",1,(1-MIN(TblMili[[#This Row],[Smithies]]*smithy_bonus,smithy_bonus_cap) + tech_3_5*TblTech[[#This Row],[3-5]] + tech_5_3*TblTech[[#This Row],[5-3]] + tech_5_5*TblTech[[#This Row],[5-5]]))*elite2_ore,0)</f>
        <v>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5.7142857142857141E-2</v>
      </c>
      <c r="BW90" s="160">
        <f ca="1">TblMili[[#This Row],[WG''s]]</f>
        <v>0</v>
      </c>
      <c r="BX90" s="266">
        <f ca="1">IF(mystic_cap="none",TblMili[[#This Row],[Hill]]/mystic_bonus,MIN(mystic_cap,TblMili[[#This Row],[Hill]]/mystic_bonus))</f>
        <v>0.2857142857142857</v>
      </c>
      <c r="BY90" s="266">
        <f ca="1">IF(druid_op_cap="none",TblMili[[#This Row],[Hill]]/druid_op_bonus,MIN(druid_op_cap,TblMili[[#This Row],[Hill]]/druid_op_bonus))</f>
        <v>0.2857142857142857</v>
      </c>
      <c r="BZ90" s="266">
        <f ca="1">IF(druid_dp_cap="none",TblMili[[#This Row],[Hill]]/druid_dp_bonus,MIN(druid_dp_cap,TblMili[[#This Row],[Hill]]/druid_dp_bonus))</f>
        <v>0.2857142857142857</v>
      </c>
      <c r="CA90" s="266">
        <f ca="1">MIN(dryad_cap,TblMili[[#This Row],[Hill]]/dryad_bonus)</f>
        <v>0.2857142857142857</v>
      </c>
      <c r="CB90" s="266">
        <f ca="1">MIN(rocka_cap,TblMili[[#This Row],[Hill]]/rocka_bonus)</f>
        <v>0.2857142857142857</v>
      </c>
      <c r="CC90" s="266">
        <f ca="1">MIN(adept_op_cap,TblMili[[#This Row],[WG]]/adept_op_bonus)</f>
        <v>0</v>
      </c>
      <c r="CD90" s="266">
        <f ca="1">MIN(adept_dp_cap,TblMili[[#This Row],[WG]]/adept_dp_bonus)</f>
        <v>0</v>
      </c>
      <c r="CE90" s="97">
        <f ca="1">MIN(TblMili[[#This Row],[Unit 3]],TblMili[[#This Row],[Unit 2]])*2</f>
        <v>1400</v>
      </c>
      <c r="CF90" s="97">
        <f ca="1">MIN(TblMili[[#This Row],[Unit 1]],TblMili[[#This Row],[Unit 4]])*2</f>
        <v>0</v>
      </c>
      <c r="CG90" s="266">
        <f ca="1">MIN(frost_mage_cap,TblMili[[#This Row],[Hill]]/frost_mage_bonus)</f>
        <v>0.2857142857142857</v>
      </c>
      <c r="CH90" s="45">
        <f ca="1">MIN(ice_elem_cap,TblMili[[#This Row],[Raw (2)]]*ice_elem_bonus)</f>
        <v>3.5714285714285712E-2</v>
      </c>
      <c r="CI90" s="266">
        <f t="shared" si="3"/>
        <v>0.83333333333333337</v>
      </c>
      <c r="CJ90" s="266">
        <f ca="1">MIN(nox_nightshade_cap,TblConstr[[#This Row],[Homeland]]/TblConstr[[#This Row],[Land]]/nox_nightshade_swamp_bonus)</f>
        <v>0.5714285714285714</v>
      </c>
      <c r="CK90" s="267"/>
      <c r="CL90" s="267"/>
      <c r="CM90" s="267"/>
      <c r="CN90" s="266">
        <f ca="1">MIN(6,TblMili[[#This Row],[Mystic]]+Races!$F$19)*1.8 +  IF(TblMili[[#This Row],[Mystic]]+Races!$F$19&gt;6,(TblMili[[#This Row],[Mystic]]+Races!$F$19-6)*0.2,0) - Races!$I$19</f>
        <v>0.51428571428571423</v>
      </c>
      <c r="CO9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0" s="97">
        <f ca="1">TblMili[[#This Row],[Mystic bonus]]*TblMili[[#This Row],[Unit 3]]+TblMili[[#This Row],[Druid bonus]]*TblMili[[#This Row],[Unit 4]]</f>
        <v>1149.4285714285706</v>
      </c>
      <c r="CQ90" s="158">
        <f ca="1">MIN(6,TblMili[[#This Row],[Dryad]]+Races!$F$35)*1.8 +  IF(TblMili[[#This Row],[Dryad]]+Races!$F$35&gt;6,(TblMili[[#This Row],[Dryad]]+Races!$F$35-6)*0.2,0) - Races!$I$19</f>
        <v>-1.2857142857142856</v>
      </c>
      <c r="CR90" s="97">
        <f ca="1">sylvan*(TblMili[[#This Row],[Mystic bonus]]*TblMili[[#This Row],[Unit 3]])</f>
        <v>0</v>
      </c>
      <c r="CS90" s="158">
        <f ca="1">1.8 * MIN(MAX(Races!$E$27,TblMili[[#This Row],[Rockapult]]+Races!$F$27),6)  +  0.45 * MIN(MIN(Races!$E$27,TblMili[[#This Row],[Rockapult]]+Races!$F$27),6)  +  0.2 * ( MAX(Races!$E$27-6,0) + MAX(TblMili[[#This Row],[Rockapult]]+Races!$F$27-6,0) )  -  Races!$I$20</f>
        <v>2.7642857142857133</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0.51428571428571423</v>
      </c>
      <c r="CX90" s="158">
        <f ca="1">1.8 * MIN(MAX(TblMili[[#This Row],[Ice Elemental]]+Races!$E$71,Races!$F$71),6)  +  0.45 * MIN(MIN(TblMili[[#This Row],[Ice Elemental]]+Races!$E$71,Races!$F$71),6)  +  0.2 * ( MAX(TblMili[[#This Row],[Ice Elemental]]+Races!$E$71-6,0) + MAX(Races!$F$71-6,0) )  -  Races!$I$71</f>
        <v>6.4285714285714946E-2</v>
      </c>
      <c r="CY90" s="97">
        <f ca="1">TblMili[[#This Row],[Frost Mage bonus]]*TblMili[[#This Row],[Unit 3]]+TblMili[[#This Row],[Ice Elemental bonus]]*TblMili[[#This Row],[Unit 4]]</f>
        <v>438.94285714285786</v>
      </c>
      <c r="CZ90" s="268"/>
      <c r="DA90" s="146">
        <f ca="1">MIN(SUM(TblConstr[[#This Row],[Plain]:[Water]])/TblMili[[#This Row],[Land]]/favorable_terrain_bonus/100,favorable_terrain_max)</f>
        <v>0</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0" s="145"/>
      <c r="DE90" s="269">
        <f ca="1">(TblMili[[#This Row],[Wizards]]+2*TblMili[[#This Row],[Archmages]])/TblConstr[[#This Row],[Land]]</f>
        <v>3.5714285714285712E-2</v>
      </c>
      <c r="DF90" s="269">
        <f ca="1">TblMili[[#This Row],[Raw (2)]]*(1+race_wizard_strength+IF(TblMili[[#This Row],[Hour]]&gt;72,tech_magical_weaponry_wiz*TblTech[[#This Row],[3-5]],0))</f>
        <v>3.5714285714285712E-2</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4327</v>
      </c>
      <c r="C91" s="160">
        <f ca="1">TblPop[[#This Row],[Military%]]</f>
        <v>0.33441533348790481</v>
      </c>
      <c r="D91" s="145"/>
      <c r="E91" s="45">
        <f ca="1">OFFSET(TblMili[[#This Row],[Unit 1]],-1,0) + OFFSET(TblMili[[#This Row],[Train Unit 1]],-9,0) - TblMili[[#This Row],[Release Unit 1]]</f>
        <v>0</v>
      </c>
      <c r="F91" s="45">
        <f ca="1">OFFSET(TblMili[[#This Row],[Unit 2]],-1,0) + OFFSET(TblMili[[#This Row],[Train Unit 2]],-9,0)-TblMili[[#This Row],[Release Unit 2]]</f>
        <v>1246</v>
      </c>
      <c r="G91" s="45">
        <f ca="1">OFFSET(TblMili[[#This Row],[Unit 3]],-1,0) + OFFSET(TblMili[[#This Row],[Train Unit 3]],-12,0)-TblMili[[#This Row],[Release Unit 3]]</f>
        <v>700</v>
      </c>
      <c r="H91" s="45">
        <f ca="1">OFFSET(TblMili[[#This Row],[Unit 4]],-1,0) + OFFSET(TblMili[[#This Row],[Train Unit 4]],-12,0)-TblMili[[#This Row],[Release Unit 4]]</f>
        <v>1228</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42359.8</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6140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6293.4999999999991</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1" s="262">
        <f ca="1">TblMili[[#This Row],[Non Draft]]+TblMili[[#This Row],[Draftees]]</f>
        <v>11675</v>
      </c>
      <c r="U91" s="263">
        <f ca="1">race_defense + TblImps[[#This Row],[Walls]] + ROUND( MIN(gt_bonus*TblConstr[[#This Row],[Tot GT]]/TblConstr[[#This Row],[Land]],gt_bonus_cap), 4) + IF(TblMagic[[#This Row],[Active Howling]]&gt;0,howling_dp_bonus,IF(TblMagic[[#This Row],[Active Ares Call]]&gt;0,ares_call_bonus))</f>
        <v>0.23750000000000002</v>
      </c>
      <c r="V91" s="264">
        <f ca="1">TblMili[[#This Row],[Non Draft]] * (1 + TblMili[[#This Row],[Mods_Def]])</f>
        <v>13082.85</v>
      </c>
      <c r="W91" s="262">
        <f ca="1">TblMili[[#This Row],[Draft]] * (1 + TblMili[[#This Row],[Mods_Def]])</f>
        <v>14447.8125</v>
      </c>
      <c r="X91" s="262">
        <f ca="1">TblConstr[[#This Row],[Land]]</f>
        <v>700</v>
      </c>
      <c r="Y91" s="265"/>
      <c r="Z91" s="270">
        <f ca="1">IF(TblMili[[#This Row],[Set]]&lt;&gt;"",TblMili[[#This Row],[Set]],OFFSET(TblMili[[#This Row],[Draftrate]],-1,0))</f>
        <v>0.9</v>
      </c>
      <c r="AA91" s="97">
        <f ca="1">OFFSET(TblMili[[#This Row],[Draftees]],-1,0)+OFFSET(TblPop[[#This Row],[Draft Growth]],-1,0) - SUM(TblMili[[#This Row],[Train Unit 1]:[Train Spies]],TblMili[[#This Row],[Train Wiz]]) - TblMili[[#This Row],[Release Draft]] + SUM(TblMili[[#This Row],[Release Unit 1]:[Release AM]]) - TblExplore[[#This Row],[Draftees (2)]]</f>
        <v>1103</v>
      </c>
      <c r="AB91" s="157"/>
      <c r="AC91" s="183">
        <f ca="1">(TblConstr[[#This Row],[Tot Smi]]+TblConstr[[#This Row],[Dest Smi]])/(TblConstr[[#This Row],[Land]]-TblExplore[[#This Row],[Land Bonus]]*20)</f>
        <v>0.18</v>
      </c>
      <c r="AD91" s="140"/>
      <c r="AE91" s="261">
        <f>TblMili[[#This Row],[Hour]]</f>
        <v>88</v>
      </c>
      <c r="AF91" s="141">
        <f ca="1">TblExplore[[#This Row],[Time]]</f>
        <v>45433.374999999789</v>
      </c>
      <c r="AG91" s="182"/>
      <c r="AH91" s="182"/>
      <c r="AI91" s="182"/>
      <c r="AJ91" s="182"/>
      <c r="AK91" s="182"/>
      <c r="AL91" s="182"/>
      <c r="AM91" s="182"/>
      <c r="AN91" s="182"/>
      <c r="AO91" s="145"/>
      <c r="AP91" s="97">
        <f ca="1">TblProd[[#This Row],[Platinum]]</f>
        <v>645725</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45433.374999999789</v>
      </c>
      <c r="AV91" s="97">
        <f ca="1">TblMili[[#This Row],[Draftees]]</f>
        <v>1103</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192</v>
      </c>
      <c r="BJ91" s="97">
        <f ca="1">ROUNDUP(IF(race="Gnome",1,(1-MIN(TblMili[[#This Row],[Smithies]]*smithy_bonus,smithy_bonus_cap) + tech_3_5*TblTech[[#This Row],[3-5]] + tech_5_3*TblTech[[#This Row],[5-3]] + tech_5_5*TblTech[[#This Row],[5-5]]))*spec_op_ore,0)</f>
        <v>0</v>
      </c>
      <c r="BK91" s="97">
        <f ca="1">ROUNDUP((1-MIN(TblMili[[#This Row],[Smithies]]*smithy_bonus,smithy_bonus_cap) + tech_3_5*TblTech[[#This Row],[3-5]] + tech_5_3*TblTech[[#This Row],[5-3]] + tech_5_5*TblTech[[#This Row],[5-5]])*spec_dp_plat,0)</f>
        <v>192</v>
      </c>
      <c r="BL91" s="97">
        <f ca="1">ROUNDUP(IF(race="Gnome",1,(1-MIN(TblMili[[#This Row],[Smithies]]*smithy_bonus,smithy_bonus_cap) + tech_3_5*TblTech[[#This Row],[3-5]] + tech_5_3*TblTech[[#This Row],[5-3]] + tech_5_5*TblTech[[#This Row],[5-5]]))*spec_dp_ore,0)</f>
        <v>0</v>
      </c>
      <c r="BM91" s="97">
        <f ca="1">ROUNDUP((1-MIN(TblMili[[#This Row],[Smithies]]*smithy_bonus,smithy_bonus_cap) + tech_3_5*TblTech[[#This Row],[3-5]] + tech_5_3*TblTech[[#This Row],[5-3]] + tech_5_5*TblTech[[#This Row],[5-5]])*elite1_plat,0)</f>
        <v>592</v>
      </c>
      <c r="BN91" s="97">
        <f ca="1">ROUNDUP(IF(race="Gnome",1,(1-MIN(TblMili[[#This Row],[Smithies]]*smithy_bonus,smithy_bonus_cap) + tech_3_5*TblTech[[#This Row],[3-5]] + tech_5_3*TblTech[[#This Row],[5-3]] + tech_5_5*TblTech[[#This Row],[5-5]]))*elite1_ore,0)</f>
        <v>0</v>
      </c>
      <c r="BO91" s="97">
        <f ca="1">ROUNDUP((1-MIN(TblMili[[#This Row],[Smithies]]*smithy_bonus,smithy_bonus_cap) + tech_3_5*TblTech[[#This Row],[3-5]] + tech_5_3*TblTech[[#This Row],[5-3]] + tech_5_5*TblTech[[#This Row],[5-5]])*elite2_plat,0)</f>
        <v>608</v>
      </c>
      <c r="BP91" s="97">
        <f ca="1">ROUNDUP(IF(race="Gnome",1,(1-MIN(TblMili[[#This Row],[Smithies]]*smithy_bonus,smithy_bonus_cap) + tech_3_5*TblTech[[#This Row],[3-5]] + tech_5_3*TblTech[[#This Row],[5-3]] + tech_5_5*TblTech[[#This Row],[5-5]]))*elite2_ore,0)</f>
        <v>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5.7142857142857141E-2</v>
      </c>
      <c r="BW91" s="160">
        <f ca="1">TblMili[[#This Row],[WG''s]]</f>
        <v>0</v>
      </c>
      <c r="BX91" s="266">
        <f ca="1">IF(mystic_cap="none",TblMili[[#This Row],[Hill]]/mystic_bonus,MIN(mystic_cap,TblMili[[#This Row],[Hill]]/mystic_bonus))</f>
        <v>0.2857142857142857</v>
      </c>
      <c r="BY91" s="266">
        <f ca="1">IF(druid_op_cap="none",TblMili[[#This Row],[Hill]]/druid_op_bonus,MIN(druid_op_cap,TblMili[[#This Row],[Hill]]/druid_op_bonus))</f>
        <v>0.2857142857142857</v>
      </c>
      <c r="BZ91" s="266">
        <f ca="1">IF(druid_dp_cap="none",TblMili[[#This Row],[Hill]]/druid_dp_bonus,MIN(druid_dp_cap,TblMili[[#This Row],[Hill]]/druid_dp_bonus))</f>
        <v>0.2857142857142857</v>
      </c>
      <c r="CA91" s="266">
        <f ca="1">MIN(dryad_cap,TblMili[[#This Row],[Hill]]/dryad_bonus)</f>
        <v>0.2857142857142857</v>
      </c>
      <c r="CB91" s="266">
        <f ca="1">MIN(rocka_cap,TblMili[[#This Row],[Hill]]/rocka_bonus)</f>
        <v>0.2857142857142857</v>
      </c>
      <c r="CC91" s="266">
        <f ca="1">MIN(adept_op_cap,TblMili[[#This Row],[WG]]/adept_op_bonus)</f>
        <v>0</v>
      </c>
      <c r="CD91" s="266">
        <f ca="1">MIN(adept_dp_cap,TblMili[[#This Row],[WG]]/adept_dp_bonus)</f>
        <v>0</v>
      </c>
      <c r="CE91" s="97">
        <f ca="1">MIN(TblMili[[#This Row],[Unit 3]],TblMili[[#This Row],[Unit 2]])*2</f>
        <v>1400</v>
      </c>
      <c r="CF91" s="97">
        <f ca="1">MIN(TblMili[[#This Row],[Unit 1]],TblMili[[#This Row],[Unit 4]])*2</f>
        <v>0</v>
      </c>
      <c r="CG91" s="266">
        <f ca="1">MIN(frost_mage_cap,TblMili[[#This Row],[Hill]]/frost_mage_bonus)</f>
        <v>0.2857142857142857</v>
      </c>
      <c r="CH91" s="45">
        <f ca="1">MIN(ice_elem_cap,TblMili[[#This Row],[Raw (2)]]*ice_elem_bonus)</f>
        <v>3.5714285714285712E-2</v>
      </c>
      <c r="CI91" s="266">
        <f t="shared" si="3"/>
        <v>0.83333333333333337</v>
      </c>
      <c r="CJ91" s="266">
        <f ca="1">MIN(nox_nightshade_cap,TblConstr[[#This Row],[Homeland]]/TblConstr[[#This Row],[Land]]/nox_nightshade_swamp_bonus)</f>
        <v>0.5714285714285714</v>
      </c>
      <c r="CK91" s="267"/>
      <c r="CL91" s="267"/>
      <c r="CM91" s="267"/>
      <c r="CN91" s="266">
        <f ca="1">MIN(6,TblMili[[#This Row],[Mystic]]+Races!$F$19)*1.8 +  IF(TblMili[[#This Row],[Mystic]]+Races!$F$19&gt;6,(TblMili[[#This Row],[Mystic]]+Races!$F$19-6)*0.2,0) - Races!$I$19</f>
        <v>0.51428571428571423</v>
      </c>
      <c r="CO9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1" s="97">
        <f ca="1">TblMili[[#This Row],[Mystic bonus]]*TblMili[[#This Row],[Unit 3]]+TblMili[[#This Row],[Druid bonus]]*TblMili[[#This Row],[Unit 4]]</f>
        <v>1149.4285714285706</v>
      </c>
      <c r="CQ91" s="158">
        <f ca="1">MIN(6,TblMili[[#This Row],[Dryad]]+Races!$F$35)*1.8 +  IF(TblMili[[#This Row],[Dryad]]+Races!$F$35&gt;6,(TblMili[[#This Row],[Dryad]]+Races!$F$35-6)*0.2,0) - Races!$I$19</f>
        <v>-1.2857142857142856</v>
      </c>
      <c r="CR91" s="97">
        <f ca="1">sylvan*(TblMili[[#This Row],[Mystic bonus]]*TblMili[[#This Row],[Unit 3]])</f>
        <v>0</v>
      </c>
      <c r="CS91" s="158">
        <f ca="1">1.8 * MIN(MAX(Races!$E$27,TblMili[[#This Row],[Rockapult]]+Races!$F$27),6)  +  0.45 * MIN(MIN(Races!$E$27,TblMili[[#This Row],[Rockapult]]+Races!$F$27),6)  +  0.2 * ( MAX(Races!$E$27-6,0) + MAX(TblMili[[#This Row],[Rockapult]]+Races!$F$27-6,0) )  -  Races!$I$20</f>
        <v>2.7642857142857133</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0.51428571428571423</v>
      </c>
      <c r="CX91" s="158">
        <f ca="1">1.8 * MIN(MAX(TblMili[[#This Row],[Ice Elemental]]+Races!$E$71,Races!$F$71),6)  +  0.45 * MIN(MIN(TblMili[[#This Row],[Ice Elemental]]+Races!$E$71,Races!$F$71),6)  +  0.2 * ( MAX(TblMili[[#This Row],[Ice Elemental]]+Races!$E$71-6,0) + MAX(Races!$F$71-6,0) )  -  Races!$I$71</f>
        <v>6.4285714285714946E-2</v>
      </c>
      <c r="CY91" s="97">
        <f ca="1">TblMili[[#This Row],[Frost Mage bonus]]*TblMili[[#This Row],[Unit 3]]+TblMili[[#This Row],[Ice Elemental bonus]]*TblMili[[#This Row],[Unit 4]]</f>
        <v>438.94285714285786</v>
      </c>
      <c r="CZ91" s="268"/>
      <c r="DA91" s="146">
        <f ca="1">MIN(SUM(TblConstr[[#This Row],[Plain]:[Water]])/TblMili[[#This Row],[Land]]/favorable_terrain_bonus/100,favorable_terrain_max)</f>
        <v>0</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1" s="145"/>
      <c r="DE91" s="269">
        <f ca="1">(TblMili[[#This Row],[Wizards]]+2*TblMili[[#This Row],[Archmages]])/TblConstr[[#This Row],[Land]]</f>
        <v>3.5714285714285712E-2</v>
      </c>
      <c r="DF91" s="269">
        <f ca="1">TblMili[[#This Row],[Raw (2)]]*(1+race_wizard_strength+IF(TblMili[[#This Row],[Hour]]&gt;72,tech_magical_weaponry_wiz*TblTech[[#This Row],[3-5]],0))</f>
        <v>3.5714285714285712E-2</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4413</v>
      </c>
      <c r="C92" s="160">
        <f ca="1">TblPop[[#This Row],[Military%]]</f>
        <v>0.34106190586598656</v>
      </c>
      <c r="D92" s="145"/>
      <c r="E92" s="45">
        <f ca="1">OFFSET(TblMili[[#This Row],[Unit 1]],-1,0) + OFFSET(TblMili[[#This Row],[Train Unit 1]],-9,0) - TblMili[[#This Row],[Release Unit 1]]</f>
        <v>0</v>
      </c>
      <c r="F92" s="45">
        <f ca="1">OFFSET(TblMili[[#This Row],[Unit 2]],-1,0) + OFFSET(TblMili[[#This Row],[Train Unit 2]],-9,0)-TblMili[[#This Row],[Release Unit 2]]</f>
        <v>1246</v>
      </c>
      <c r="G92" s="45">
        <f ca="1">OFFSET(TblMili[[#This Row],[Unit 3]],-1,0) + OFFSET(TblMili[[#This Row],[Train Unit 3]],-12,0)-TblMili[[#This Row],[Release Unit 3]]</f>
        <v>700</v>
      </c>
      <c r="H92" s="45">
        <f ca="1">OFFSET(TblMili[[#This Row],[Unit 4]],-1,0) + OFFSET(TblMili[[#This Row],[Train Unit 4]],-12,0)-TblMili[[#This Row],[Release Unit 4]]</f>
        <v>1228</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42359.8</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6140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6293.4999999999991</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2" s="262">
        <f ca="1">TblMili[[#This Row],[Non Draft]]+TblMili[[#This Row],[Draftees]]</f>
        <v>11761</v>
      </c>
      <c r="U92" s="263">
        <f ca="1">race_defense + TblImps[[#This Row],[Walls]] + ROUND( MIN(gt_bonus*TblConstr[[#This Row],[Tot GT]]/TblConstr[[#This Row],[Land]],gt_bonus_cap), 4) + IF(TblMagic[[#This Row],[Active Howling]]&gt;0,howling_dp_bonus,IF(TblMagic[[#This Row],[Active Ares Call]]&gt;0,ares_call_bonus))</f>
        <v>0.23750000000000002</v>
      </c>
      <c r="V92" s="264">
        <f ca="1">TblMili[[#This Row],[Non Draft]] * (1 + TblMili[[#This Row],[Mods_Def]])</f>
        <v>13082.85</v>
      </c>
      <c r="W92" s="262">
        <f ca="1">TblMili[[#This Row],[Draft]] * (1 + TblMili[[#This Row],[Mods_Def]])</f>
        <v>14554.237500000001</v>
      </c>
      <c r="X92" s="262">
        <f ca="1">TblConstr[[#This Row],[Land]]</f>
        <v>700</v>
      </c>
      <c r="Y92" s="265"/>
      <c r="Z92" s="270">
        <f ca="1">IF(TblMili[[#This Row],[Set]]&lt;&gt;"",TblMili[[#This Row],[Set]],OFFSET(TblMili[[#This Row],[Draftrate]],-1,0))</f>
        <v>0.9</v>
      </c>
      <c r="AA92" s="97">
        <f ca="1">OFFSET(TblMili[[#This Row],[Draftees]],-1,0)+OFFSET(TblPop[[#This Row],[Draft Growth]],-1,0) - SUM(TblMili[[#This Row],[Train Unit 1]:[Train Spies]],TblMili[[#This Row],[Train Wiz]]) - TblMili[[#This Row],[Release Draft]] + SUM(TblMili[[#This Row],[Release Unit 1]:[Release AM]]) - TblExplore[[#This Row],[Draftees (2)]]</f>
        <v>1189</v>
      </c>
      <c r="AB92" s="157"/>
      <c r="AC92" s="183">
        <f ca="1">(TblConstr[[#This Row],[Tot Smi]]+TblConstr[[#This Row],[Dest Smi]])/(TblConstr[[#This Row],[Land]]-TblExplore[[#This Row],[Land Bonus]]*20)</f>
        <v>0.18</v>
      </c>
      <c r="AD92" s="140"/>
      <c r="AE92" s="261">
        <f>TblMili[[#This Row],[Hour]]</f>
        <v>89</v>
      </c>
      <c r="AF92" s="141">
        <f ca="1">TblExplore[[#This Row],[Time]]</f>
        <v>45433.416666666453</v>
      </c>
      <c r="AG92" s="182"/>
      <c r="AH92" s="182"/>
      <c r="AI92" s="182"/>
      <c r="AJ92" s="182"/>
      <c r="AK92" s="182"/>
      <c r="AL92" s="182"/>
      <c r="AM92" s="182"/>
      <c r="AN92" s="182"/>
      <c r="AO92" s="145"/>
      <c r="AP92" s="97">
        <f ca="1">TblProd[[#This Row],[Platinum]]</f>
        <v>688847</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45433.416666666453</v>
      </c>
      <c r="AV92" s="97">
        <f ca="1">TblMili[[#This Row],[Draftees]]</f>
        <v>1189</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192</v>
      </c>
      <c r="BJ92" s="97">
        <f ca="1">ROUNDUP(IF(race="Gnome",1,(1-MIN(TblMili[[#This Row],[Smithies]]*smithy_bonus,smithy_bonus_cap) + tech_3_5*TblTech[[#This Row],[3-5]] + tech_5_3*TblTech[[#This Row],[5-3]] + tech_5_5*TblTech[[#This Row],[5-5]]))*spec_op_ore,0)</f>
        <v>0</v>
      </c>
      <c r="BK92" s="97">
        <f ca="1">ROUNDUP((1-MIN(TblMili[[#This Row],[Smithies]]*smithy_bonus,smithy_bonus_cap) + tech_3_5*TblTech[[#This Row],[3-5]] + tech_5_3*TblTech[[#This Row],[5-3]] + tech_5_5*TblTech[[#This Row],[5-5]])*spec_dp_plat,0)</f>
        <v>192</v>
      </c>
      <c r="BL92" s="97">
        <f ca="1">ROUNDUP(IF(race="Gnome",1,(1-MIN(TblMili[[#This Row],[Smithies]]*smithy_bonus,smithy_bonus_cap) + tech_3_5*TblTech[[#This Row],[3-5]] + tech_5_3*TblTech[[#This Row],[5-3]] + tech_5_5*TblTech[[#This Row],[5-5]]))*spec_dp_ore,0)</f>
        <v>0</v>
      </c>
      <c r="BM92" s="97">
        <f ca="1">ROUNDUP((1-MIN(TblMili[[#This Row],[Smithies]]*smithy_bonus,smithy_bonus_cap) + tech_3_5*TblTech[[#This Row],[3-5]] + tech_5_3*TblTech[[#This Row],[5-3]] + tech_5_5*TblTech[[#This Row],[5-5]])*elite1_plat,0)</f>
        <v>592</v>
      </c>
      <c r="BN92" s="97">
        <f ca="1">ROUNDUP(IF(race="Gnome",1,(1-MIN(TblMili[[#This Row],[Smithies]]*smithy_bonus,smithy_bonus_cap) + tech_3_5*TblTech[[#This Row],[3-5]] + tech_5_3*TblTech[[#This Row],[5-3]] + tech_5_5*TblTech[[#This Row],[5-5]]))*elite1_ore,0)</f>
        <v>0</v>
      </c>
      <c r="BO92" s="97">
        <f ca="1">ROUNDUP((1-MIN(TblMili[[#This Row],[Smithies]]*smithy_bonus,smithy_bonus_cap) + tech_3_5*TblTech[[#This Row],[3-5]] + tech_5_3*TblTech[[#This Row],[5-3]] + tech_5_5*TblTech[[#This Row],[5-5]])*elite2_plat,0)</f>
        <v>608</v>
      </c>
      <c r="BP92" s="97">
        <f ca="1">ROUNDUP(IF(race="Gnome",1,(1-MIN(TblMili[[#This Row],[Smithies]]*smithy_bonus,smithy_bonus_cap) + tech_3_5*TblTech[[#This Row],[3-5]] + tech_5_3*TblTech[[#This Row],[5-3]] + tech_5_5*TblTech[[#This Row],[5-5]]))*elite2_ore,0)</f>
        <v>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5.7142857142857141E-2</v>
      </c>
      <c r="BW92" s="160">
        <f ca="1">TblMili[[#This Row],[WG''s]]</f>
        <v>0</v>
      </c>
      <c r="BX92" s="266">
        <f ca="1">IF(mystic_cap="none",TblMili[[#This Row],[Hill]]/mystic_bonus,MIN(mystic_cap,TblMili[[#This Row],[Hill]]/mystic_bonus))</f>
        <v>0.2857142857142857</v>
      </c>
      <c r="BY92" s="266">
        <f ca="1">IF(druid_op_cap="none",TblMili[[#This Row],[Hill]]/druid_op_bonus,MIN(druid_op_cap,TblMili[[#This Row],[Hill]]/druid_op_bonus))</f>
        <v>0.2857142857142857</v>
      </c>
      <c r="BZ92" s="266">
        <f ca="1">IF(druid_dp_cap="none",TblMili[[#This Row],[Hill]]/druid_dp_bonus,MIN(druid_dp_cap,TblMili[[#This Row],[Hill]]/druid_dp_bonus))</f>
        <v>0.2857142857142857</v>
      </c>
      <c r="CA92" s="266">
        <f ca="1">MIN(dryad_cap,TblMili[[#This Row],[Hill]]/dryad_bonus)</f>
        <v>0.2857142857142857</v>
      </c>
      <c r="CB92" s="266">
        <f ca="1">MIN(rocka_cap,TblMili[[#This Row],[Hill]]/rocka_bonus)</f>
        <v>0.2857142857142857</v>
      </c>
      <c r="CC92" s="266">
        <f ca="1">MIN(adept_op_cap,TblMili[[#This Row],[WG]]/adept_op_bonus)</f>
        <v>0</v>
      </c>
      <c r="CD92" s="266">
        <f ca="1">MIN(adept_dp_cap,TblMili[[#This Row],[WG]]/adept_dp_bonus)</f>
        <v>0</v>
      </c>
      <c r="CE92" s="97">
        <f ca="1">MIN(TblMili[[#This Row],[Unit 3]],TblMili[[#This Row],[Unit 2]])*2</f>
        <v>1400</v>
      </c>
      <c r="CF92" s="97">
        <f ca="1">MIN(TblMili[[#This Row],[Unit 1]],TblMili[[#This Row],[Unit 4]])*2</f>
        <v>0</v>
      </c>
      <c r="CG92" s="266">
        <f ca="1">MIN(frost_mage_cap,TblMili[[#This Row],[Hill]]/frost_mage_bonus)</f>
        <v>0.2857142857142857</v>
      </c>
      <c r="CH92" s="45">
        <f ca="1">MIN(ice_elem_cap,TblMili[[#This Row],[Raw (2)]]*ice_elem_bonus)</f>
        <v>3.5714285714285712E-2</v>
      </c>
      <c r="CI92" s="266">
        <f t="shared" si="3"/>
        <v>0.83333333333333337</v>
      </c>
      <c r="CJ92" s="266">
        <f ca="1">MIN(nox_nightshade_cap,TblConstr[[#This Row],[Homeland]]/TblConstr[[#This Row],[Land]]/nox_nightshade_swamp_bonus)</f>
        <v>0.5714285714285714</v>
      </c>
      <c r="CK92" s="267"/>
      <c r="CL92" s="267"/>
      <c r="CM92" s="267"/>
      <c r="CN92" s="266">
        <f ca="1">MIN(6,TblMili[[#This Row],[Mystic]]+Races!$F$19)*1.8 +  IF(TblMili[[#This Row],[Mystic]]+Races!$F$19&gt;6,(TblMili[[#This Row],[Mystic]]+Races!$F$19-6)*0.2,0) - Races!$I$19</f>
        <v>0.51428571428571423</v>
      </c>
      <c r="CO9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2" s="97">
        <f ca="1">TblMili[[#This Row],[Mystic bonus]]*TblMili[[#This Row],[Unit 3]]+TblMili[[#This Row],[Druid bonus]]*TblMili[[#This Row],[Unit 4]]</f>
        <v>1149.4285714285706</v>
      </c>
      <c r="CQ92" s="158">
        <f ca="1">MIN(6,TblMili[[#This Row],[Dryad]]+Races!$F$35)*1.8 +  IF(TblMili[[#This Row],[Dryad]]+Races!$F$35&gt;6,(TblMili[[#This Row],[Dryad]]+Races!$F$35-6)*0.2,0) - Races!$I$19</f>
        <v>-1.2857142857142856</v>
      </c>
      <c r="CR92" s="97">
        <f ca="1">sylvan*(TblMili[[#This Row],[Mystic bonus]]*TblMili[[#This Row],[Unit 3]])</f>
        <v>0</v>
      </c>
      <c r="CS92" s="158">
        <f ca="1">1.8 * MIN(MAX(Races!$E$27,TblMili[[#This Row],[Rockapult]]+Races!$F$27),6)  +  0.45 * MIN(MIN(Races!$E$27,TblMili[[#This Row],[Rockapult]]+Races!$F$27),6)  +  0.2 * ( MAX(Races!$E$27-6,0) + MAX(TblMili[[#This Row],[Rockapult]]+Races!$F$27-6,0) )  -  Races!$I$20</f>
        <v>2.7642857142857133</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0.51428571428571423</v>
      </c>
      <c r="CX92" s="158">
        <f ca="1">1.8 * MIN(MAX(TblMili[[#This Row],[Ice Elemental]]+Races!$E$71,Races!$F$71),6)  +  0.45 * MIN(MIN(TblMili[[#This Row],[Ice Elemental]]+Races!$E$71,Races!$F$71),6)  +  0.2 * ( MAX(TblMili[[#This Row],[Ice Elemental]]+Races!$E$71-6,0) + MAX(Races!$F$71-6,0) )  -  Races!$I$71</f>
        <v>6.4285714285714946E-2</v>
      </c>
      <c r="CY92" s="97">
        <f ca="1">TblMili[[#This Row],[Frost Mage bonus]]*TblMili[[#This Row],[Unit 3]]+TblMili[[#This Row],[Ice Elemental bonus]]*TblMili[[#This Row],[Unit 4]]</f>
        <v>438.94285714285786</v>
      </c>
      <c r="CZ92" s="268"/>
      <c r="DA92" s="146">
        <f ca="1">MIN(SUM(TblConstr[[#This Row],[Plain]:[Water]])/TblMili[[#This Row],[Land]]/favorable_terrain_bonus/100,favorable_terrain_max)</f>
        <v>0</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2" s="145"/>
      <c r="DE92" s="269">
        <f ca="1">(TblMili[[#This Row],[Wizards]]+2*TblMili[[#This Row],[Archmages]])/TblConstr[[#This Row],[Land]]</f>
        <v>3.5714285714285712E-2</v>
      </c>
      <c r="DF92" s="269">
        <f ca="1">TblMili[[#This Row],[Raw (2)]]*(1+race_wizard_strength+IF(TblMili[[#This Row],[Hour]]&gt;72,tech_magical_weaponry_wiz*TblTech[[#This Row],[3-5]],0))</f>
        <v>3.5714285714285712E-2</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4498</v>
      </c>
      <c r="C93" s="160">
        <f ca="1">TblPop[[#This Row],[Military%]]</f>
        <v>0.34763119251874181</v>
      </c>
      <c r="D93" s="145"/>
      <c r="E93" s="45">
        <f ca="1">OFFSET(TblMili[[#This Row],[Unit 1]],-1,0) + OFFSET(TblMili[[#This Row],[Train Unit 1]],-9,0) - TblMili[[#This Row],[Release Unit 1]]</f>
        <v>0</v>
      </c>
      <c r="F93" s="45">
        <f ca="1">OFFSET(TblMili[[#This Row],[Unit 2]],-1,0) + OFFSET(TblMili[[#This Row],[Train Unit 2]],-9,0)-TblMili[[#This Row],[Release Unit 2]]</f>
        <v>1246</v>
      </c>
      <c r="G93" s="45">
        <f ca="1">OFFSET(TblMili[[#This Row],[Unit 3]],-1,0) + OFFSET(TblMili[[#This Row],[Train Unit 3]],-12,0)-TblMili[[#This Row],[Release Unit 3]]</f>
        <v>700</v>
      </c>
      <c r="H93" s="45">
        <f ca="1">OFFSET(TblMili[[#This Row],[Unit 4]],-1,0) + OFFSET(TblMili[[#This Row],[Train Unit 4]],-12,0)-TblMili[[#This Row],[Release Unit 4]]</f>
        <v>1228</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42359.8</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6140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6293.4999999999991</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3" s="262">
        <f ca="1">TblMili[[#This Row],[Non Draft]]+TblMili[[#This Row],[Draftees]]</f>
        <v>11846</v>
      </c>
      <c r="U93" s="263">
        <f ca="1">race_defense + TblImps[[#This Row],[Walls]] + ROUND( MIN(gt_bonus*TblConstr[[#This Row],[Tot GT]]/TblConstr[[#This Row],[Land]],gt_bonus_cap), 4) + IF(TblMagic[[#This Row],[Active Howling]]&gt;0,howling_dp_bonus,IF(TblMagic[[#This Row],[Active Ares Call]]&gt;0,ares_call_bonus))</f>
        <v>0.23750000000000002</v>
      </c>
      <c r="V93" s="264">
        <f ca="1">TblMili[[#This Row],[Non Draft]] * (1 + TblMili[[#This Row],[Mods_Def]])</f>
        <v>13082.85</v>
      </c>
      <c r="W93" s="262">
        <f ca="1">TblMili[[#This Row],[Draft]] * (1 + TblMili[[#This Row],[Mods_Def]])</f>
        <v>14659.425000000001</v>
      </c>
      <c r="X93" s="262">
        <f ca="1">TblConstr[[#This Row],[Land]]</f>
        <v>700</v>
      </c>
      <c r="Y93" s="265"/>
      <c r="Z93" s="270">
        <f ca="1">IF(TblMili[[#This Row],[Set]]&lt;&gt;"",TblMili[[#This Row],[Set]],OFFSET(TblMili[[#This Row],[Draftrate]],-1,0))</f>
        <v>0.9</v>
      </c>
      <c r="AA93" s="97">
        <f ca="1">OFFSET(TblMili[[#This Row],[Draftees]],-1,0)+OFFSET(TblPop[[#This Row],[Draft Growth]],-1,0) - SUM(TblMili[[#This Row],[Train Unit 1]:[Train Spies]],TblMili[[#This Row],[Train Wiz]]) - TblMili[[#This Row],[Release Draft]] + SUM(TblMili[[#This Row],[Release Unit 1]:[Release AM]]) - TblExplore[[#This Row],[Draftees (2)]]</f>
        <v>1274</v>
      </c>
      <c r="AB93" s="157"/>
      <c r="AC93" s="183">
        <f ca="1">(TblConstr[[#This Row],[Tot Smi]]+TblConstr[[#This Row],[Dest Smi]])/(TblConstr[[#This Row],[Land]]-TblExplore[[#This Row],[Land Bonus]]*20)</f>
        <v>0.18</v>
      </c>
      <c r="AD93" s="140"/>
      <c r="AE93" s="261">
        <f>TblMili[[#This Row],[Hour]]</f>
        <v>90</v>
      </c>
      <c r="AF93" s="141">
        <f ca="1">TblExplore[[#This Row],[Time]]</f>
        <v>45433.458333333117</v>
      </c>
      <c r="AG93" s="182"/>
      <c r="AH93" s="182"/>
      <c r="AI93" s="182"/>
      <c r="AJ93" s="182"/>
      <c r="AK93" s="182"/>
      <c r="AL93" s="182"/>
      <c r="AM93" s="182"/>
      <c r="AN93" s="182"/>
      <c r="AO93" s="145"/>
      <c r="AP93" s="97">
        <f ca="1">TblProd[[#This Row],[Platinum]]</f>
        <v>731714</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45433.458333333117</v>
      </c>
      <c r="AV93" s="97">
        <f ca="1">TblMili[[#This Row],[Draftees]]</f>
        <v>1274</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192</v>
      </c>
      <c r="BJ93" s="97">
        <f ca="1">ROUNDUP(IF(race="Gnome",1,(1-MIN(TblMili[[#This Row],[Smithies]]*smithy_bonus,smithy_bonus_cap) + tech_3_5*TblTech[[#This Row],[3-5]] + tech_5_3*TblTech[[#This Row],[5-3]] + tech_5_5*TblTech[[#This Row],[5-5]]))*spec_op_ore,0)</f>
        <v>0</v>
      </c>
      <c r="BK93" s="97">
        <f ca="1">ROUNDUP((1-MIN(TblMili[[#This Row],[Smithies]]*smithy_bonus,smithy_bonus_cap) + tech_3_5*TblTech[[#This Row],[3-5]] + tech_5_3*TblTech[[#This Row],[5-3]] + tech_5_5*TblTech[[#This Row],[5-5]])*spec_dp_plat,0)</f>
        <v>192</v>
      </c>
      <c r="BL93" s="97">
        <f ca="1">ROUNDUP(IF(race="Gnome",1,(1-MIN(TblMili[[#This Row],[Smithies]]*smithy_bonus,smithy_bonus_cap) + tech_3_5*TblTech[[#This Row],[3-5]] + tech_5_3*TblTech[[#This Row],[5-3]] + tech_5_5*TblTech[[#This Row],[5-5]]))*spec_dp_ore,0)</f>
        <v>0</v>
      </c>
      <c r="BM93" s="97">
        <f ca="1">ROUNDUP((1-MIN(TblMili[[#This Row],[Smithies]]*smithy_bonus,smithy_bonus_cap) + tech_3_5*TblTech[[#This Row],[3-5]] + tech_5_3*TblTech[[#This Row],[5-3]] + tech_5_5*TblTech[[#This Row],[5-5]])*elite1_plat,0)</f>
        <v>592</v>
      </c>
      <c r="BN93" s="97">
        <f ca="1">ROUNDUP(IF(race="Gnome",1,(1-MIN(TblMili[[#This Row],[Smithies]]*smithy_bonus,smithy_bonus_cap) + tech_3_5*TblTech[[#This Row],[3-5]] + tech_5_3*TblTech[[#This Row],[5-3]] + tech_5_5*TblTech[[#This Row],[5-5]]))*elite1_ore,0)</f>
        <v>0</v>
      </c>
      <c r="BO93" s="97">
        <f ca="1">ROUNDUP((1-MIN(TblMili[[#This Row],[Smithies]]*smithy_bonus,smithy_bonus_cap) + tech_3_5*TblTech[[#This Row],[3-5]] + tech_5_3*TblTech[[#This Row],[5-3]] + tech_5_5*TblTech[[#This Row],[5-5]])*elite2_plat,0)</f>
        <v>608</v>
      </c>
      <c r="BP93" s="97">
        <f ca="1">ROUNDUP(IF(race="Gnome",1,(1-MIN(TblMili[[#This Row],[Smithies]]*smithy_bonus,smithy_bonus_cap) + tech_3_5*TblTech[[#This Row],[3-5]] + tech_5_3*TblTech[[#This Row],[5-3]] + tech_5_5*TblTech[[#This Row],[5-5]]))*elite2_ore,0)</f>
        <v>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5.7142857142857141E-2</v>
      </c>
      <c r="BW93" s="160">
        <f ca="1">TblMili[[#This Row],[WG''s]]</f>
        <v>0</v>
      </c>
      <c r="BX93" s="266">
        <f ca="1">IF(mystic_cap="none",TblMili[[#This Row],[Hill]]/mystic_bonus,MIN(mystic_cap,TblMili[[#This Row],[Hill]]/mystic_bonus))</f>
        <v>0.2857142857142857</v>
      </c>
      <c r="BY93" s="266">
        <f ca="1">IF(druid_op_cap="none",TblMili[[#This Row],[Hill]]/druid_op_bonus,MIN(druid_op_cap,TblMili[[#This Row],[Hill]]/druid_op_bonus))</f>
        <v>0.2857142857142857</v>
      </c>
      <c r="BZ93" s="266">
        <f ca="1">IF(druid_dp_cap="none",TblMili[[#This Row],[Hill]]/druid_dp_bonus,MIN(druid_dp_cap,TblMili[[#This Row],[Hill]]/druid_dp_bonus))</f>
        <v>0.2857142857142857</v>
      </c>
      <c r="CA93" s="266">
        <f ca="1">MIN(dryad_cap,TblMili[[#This Row],[Hill]]/dryad_bonus)</f>
        <v>0.2857142857142857</v>
      </c>
      <c r="CB93" s="266">
        <f ca="1">MIN(rocka_cap,TblMili[[#This Row],[Hill]]/rocka_bonus)</f>
        <v>0.2857142857142857</v>
      </c>
      <c r="CC93" s="266">
        <f ca="1">MIN(adept_op_cap,TblMili[[#This Row],[WG]]/adept_op_bonus)</f>
        <v>0</v>
      </c>
      <c r="CD93" s="266">
        <f ca="1">MIN(adept_dp_cap,TblMili[[#This Row],[WG]]/adept_dp_bonus)</f>
        <v>0</v>
      </c>
      <c r="CE93" s="97">
        <f ca="1">MIN(TblMili[[#This Row],[Unit 3]],TblMili[[#This Row],[Unit 2]])*2</f>
        <v>1400</v>
      </c>
      <c r="CF93" s="97">
        <f ca="1">MIN(TblMili[[#This Row],[Unit 1]],TblMili[[#This Row],[Unit 4]])*2</f>
        <v>0</v>
      </c>
      <c r="CG93" s="266">
        <f ca="1">MIN(frost_mage_cap,TblMili[[#This Row],[Hill]]/frost_mage_bonus)</f>
        <v>0.2857142857142857</v>
      </c>
      <c r="CH93" s="45">
        <f ca="1">MIN(ice_elem_cap,TblMili[[#This Row],[Raw (2)]]*ice_elem_bonus)</f>
        <v>3.5714285714285712E-2</v>
      </c>
      <c r="CI93" s="266">
        <f t="shared" si="3"/>
        <v>0.83333333333333337</v>
      </c>
      <c r="CJ93" s="266">
        <f ca="1">MIN(nox_nightshade_cap,TblConstr[[#This Row],[Homeland]]/TblConstr[[#This Row],[Land]]/nox_nightshade_swamp_bonus)</f>
        <v>0.5714285714285714</v>
      </c>
      <c r="CK93" s="267"/>
      <c r="CL93" s="267"/>
      <c r="CM93" s="267"/>
      <c r="CN93" s="266">
        <f ca="1">MIN(6,TblMili[[#This Row],[Mystic]]+Races!$F$19)*1.8 +  IF(TblMili[[#This Row],[Mystic]]+Races!$F$19&gt;6,(TblMili[[#This Row],[Mystic]]+Races!$F$19-6)*0.2,0) - Races!$I$19</f>
        <v>0.51428571428571423</v>
      </c>
      <c r="CO9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3" s="97">
        <f ca="1">TblMili[[#This Row],[Mystic bonus]]*TblMili[[#This Row],[Unit 3]]+TblMili[[#This Row],[Druid bonus]]*TblMili[[#This Row],[Unit 4]]</f>
        <v>1149.4285714285706</v>
      </c>
      <c r="CQ93" s="158">
        <f ca="1">MIN(6,TblMili[[#This Row],[Dryad]]+Races!$F$35)*1.8 +  IF(TblMili[[#This Row],[Dryad]]+Races!$F$35&gt;6,(TblMili[[#This Row],[Dryad]]+Races!$F$35-6)*0.2,0) - Races!$I$19</f>
        <v>-1.2857142857142856</v>
      </c>
      <c r="CR93" s="97">
        <f ca="1">sylvan*(TblMili[[#This Row],[Mystic bonus]]*TblMili[[#This Row],[Unit 3]])</f>
        <v>0</v>
      </c>
      <c r="CS93" s="158">
        <f ca="1">1.8 * MIN(MAX(Races!$E$27,TblMili[[#This Row],[Rockapult]]+Races!$F$27),6)  +  0.45 * MIN(MIN(Races!$E$27,TblMili[[#This Row],[Rockapult]]+Races!$F$27),6)  +  0.2 * ( MAX(Races!$E$27-6,0) + MAX(TblMili[[#This Row],[Rockapult]]+Races!$F$27-6,0) )  -  Races!$I$20</f>
        <v>2.7642857142857133</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0.51428571428571423</v>
      </c>
      <c r="CX93" s="158">
        <f ca="1">1.8 * MIN(MAX(TblMili[[#This Row],[Ice Elemental]]+Races!$E$71,Races!$F$71),6)  +  0.45 * MIN(MIN(TblMili[[#This Row],[Ice Elemental]]+Races!$E$71,Races!$F$71),6)  +  0.2 * ( MAX(TblMili[[#This Row],[Ice Elemental]]+Races!$E$71-6,0) + MAX(Races!$F$71-6,0) )  -  Races!$I$71</f>
        <v>6.4285714285714946E-2</v>
      </c>
      <c r="CY93" s="97">
        <f ca="1">TblMili[[#This Row],[Frost Mage bonus]]*TblMili[[#This Row],[Unit 3]]+TblMili[[#This Row],[Ice Elemental bonus]]*TblMili[[#This Row],[Unit 4]]</f>
        <v>438.94285714285786</v>
      </c>
      <c r="CZ93" s="268"/>
      <c r="DA93" s="146">
        <f ca="1">MIN(SUM(TblConstr[[#This Row],[Plain]:[Water]])/TblMili[[#This Row],[Land]]/favorable_terrain_bonus/100,favorable_terrain_max)</f>
        <v>0</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3" s="145"/>
      <c r="DE93" s="269">
        <f ca="1">(TblMili[[#This Row],[Wizards]]+2*TblMili[[#This Row],[Archmages]])/TblConstr[[#This Row],[Land]]</f>
        <v>3.5714285714285712E-2</v>
      </c>
      <c r="DF93" s="269">
        <f ca="1">TblMili[[#This Row],[Raw (2)]]*(1+race_wizard_strength+IF(TblMili[[#This Row],[Hour]]&gt;72,tech_magical_weaponry_wiz*TblTech[[#This Row],[3-5]],0))</f>
        <v>3.5714285714285712E-2</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4582</v>
      </c>
      <c r="C94" s="160">
        <f ca="1">TblPop[[#This Row],[Military%]]</f>
        <v>0.35412319344617049</v>
      </c>
      <c r="D94" s="145"/>
      <c r="E94" s="45">
        <f ca="1">OFFSET(TblMili[[#This Row],[Unit 1]],-1,0) + OFFSET(TblMili[[#This Row],[Train Unit 1]],-9,0) - TblMili[[#This Row],[Release Unit 1]]</f>
        <v>0</v>
      </c>
      <c r="F94" s="45">
        <f ca="1">OFFSET(TblMili[[#This Row],[Unit 2]],-1,0) + OFFSET(TblMili[[#This Row],[Train Unit 2]],-9,0)-TblMili[[#This Row],[Release Unit 2]]</f>
        <v>1246</v>
      </c>
      <c r="G94" s="45">
        <f ca="1">OFFSET(TblMili[[#This Row],[Unit 3]],-1,0) + OFFSET(TblMili[[#This Row],[Train Unit 3]],-12,0)-TblMili[[#This Row],[Release Unit 3]]</f>
        <v>700</v>
      </c>
      <c r="H94" s="45">
        <f ca="1">OFFSET(TblMili[[#This Row],[Unit 4]],-1,0) + OFFSET(TblMili[[#This Row],[Train Unit 4]],-12,0)-TblMili[[#This Row],[Release Unit 4]]</f>
        <v>1228</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42359.8</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6140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6293.4999999999991</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4" s="262">
        <f ca="1">TblMili[[#This Row],[Non Draft]]+TblMili[[#This Row],[Draftees]]</f>
        <v>11930</v>
      </c>
      <c r="U94" s="263">
        <f ca="1">race_defense + TblImps[[#This Row],[Walls]] + ROUND( MIN(gt_bonus*TblConstr[[#This Row],[Tot GT]]/TblConstr[[#This Row],[Land]],gt_bonus_cap), 4) + IF(TblMagic[[#This Row],[Active Howling]]&gt;0,howling_dp_bonus,IF(TblMagic[[#This Row],[Active Ares Call]]&gt;0,ares_call_bonus))</f>
        <v>0.23750000000000002</v>
      </c>
      <c r="V94" s="264">
        <f ca="1">TblMili[[#This Row],[Non Draft]] * (1 + TblMili[[#This Row],[Mods_Def]])</f>
        <v>13082.85</v>
      </c>
      <c r="W94" s="262">
        <f ca="1">TblMili[[#This Row],[Draft]] * (1 + TblMili[[#This Row],[Mods_Def]])</f>
        <v>14763.375</v>
      </c>
      <c r="X94" s="262">
        <f ca="1">TblConstr[[#This Row],[Land]]</f>
        <v>700</v>
      </c>
      <c r="Y94" s="265"/>
      <c r="Z94" s="270">
        <f ca="1">IF(TblMili[[#This Row],[Set]]&lt;&gt;"",TblMili[[#This Row],[Set]],OFFSET(TblMili[[#This Row],[Draftrate]],-1,0))</f>
        <v>0.9</v>
      </c>
      <c r="AA94" s="97">
        <f ca="1">OFFSET(TblMili[[#This Row],[Draftees]],-1,0)+OFFSET(TblPop[[#This Row],[Draft Growth]],-1,0) - SUM(TblMili[[#This Row],[Train Unit 1]:[Train Spies]],TblMili[[#This Row],[Train Wiz]]) - TblMili[[#This Row],[Release Draft]] + SUM(TblMili[[#This Row],[Release Unit 1]:[Release AM]]) - TblExplore[[#This Row],[Draftees (2)]]</f>
        <v>1358</v>
      </c>
      <c r="AB94" s="157"/>
      <c r="AC94" s="183">
        <f ca="1">(TblConstr[[#This Row],[Tot Smi]]+TblConstr[[#This Row],[Dest Smi]])/(TblConstr[[#This Row],[Land]]-TblExplore[[#This Row],[Land Bonus]]*20)</f>
        <v>0.18</v>
      </c>
      <c r="AD94" s="140"/>
      <c r="AE94" s="261">
        <f>TblMili[[#This Row],[Hour]]</f>
        <v>91</v>
      </c>
      <c r="AF94" s="141">
        <f ca="1">TblExplore[[#This Row],[Time]]</f>
        <v>45433.499999999782</v>
      </c>
      <c r="AG94" s="182"/>
      <c r="AH94" s="182"/>
      <c r="AI94" s="182"/>
      <c r="AJ94" s="182"/>
      <c r="AK94" s="182"/>
      <c r="AL94" s="182"/>
      <c r="AM94" s="182"/>
      <c r="AN94" s="182"/>
      <c r="AO94" s="145"/>
      <c r="AP94" s="97">
        <f ca="1">TblProd[[#This Row],[Platinum]]</f>
        <v>774328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45433.499999999782</v>
      </c>
      <c r="AV94" s="97">
        <f ca="1">TblMili[[#This Row],[Draftees]]</f>
        <v>1358</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192</v>
      </c>
      <c r="BJ94" s="97">
        <f ca="1">ROUNDUP(IF(race="Gnome",1,(1-MIN(TblMili[[#This Row],[Smithies]]*smithy_bonus,smithy_bonus_cap) + tech_3_5*TblTech[[#This Row],[3-5]] + tech_5_3*TblTech[[#This Row],[5-3]] + tech_5_5*TblTech[[#This Row],[5-5]]))*spec_op_ore,0)</f>
        <v>0</v>
      </c>
      <c r="BK94" s="97">
        <f ca="1">ROUNDUP((1-MIN(TblMili[[#This Row],[Smithies]]*smithy_bonus,smithy_bonus_cap) + tech_3_5*TblTech[[#This Row],[3-5]] + tech_5_3*TblTech[[#This Row],[5-3]] + tech_5_5*TblTech[[#This Row],[5-5]])*spec_dp_plat,0)</f>
        <v>192</v>
      </c>
      <c r="BL94" s="97">
        <f ca="1">ROUNDUP(IF(race="Gnome",1,(1-MIN(TblMili[[#This Row],[Smithies]]*smithy_bonus,smithy_bonus_cap) + tech_3_5*TblTech[[#This Row],[3-5]] + tech_5_3*TblTech[[#This Row],[5-3]] + tech_5_5*TblTech[[#This Row],[5-5]]))*spec_dp_ore,0)</f>
        <v>0</v>
      </c>
      <c r="BM94" s="97">
        <f ca="1">ROUNDUP((1-MIN(TblMili[[#This Row],[Smithies]]*smithy_bonus,smithy_bonus_cap) + tech_3_5*TblTech[[#This Row],[3-5]] + tech_5_3*TblTech[[#This Row],[5-3]] + tech_5_5*TblTech[[#This Row],[5-5]])*elite1_plat,0)</f>
        <v>592</v>
      </c>
      <c r="BN94" s="97">
        <f ca="1">ROUNDUP(IF(race="Gnome",1,(1-MIN(TblMili[[#This Row],[Smithies]]*smithy_bonus,smithy_bonus_cap) + tech_3_5*TblTech[[#This Row],[3-5]] + tech_5_3*TblTech[[#This Row],[5-3]] + tech_5_5*TblTech[[#This Row],[5-5]]))*elite1_ore,0)</f>
        <v>0</v>
      </c>
      <c r="BO94" s="97">
        <f ca="1">ROUNDUP((1-MIN(TblMili[[#This Row],[Smithies]]*smithy_bonus,smithy_bonus_cap) + tech_3_5*TblTech[[#This Row],[3-5]] + tech_5_3*TblTech[[#This Row],[5-3]] + tech_5_5*TblTech[[#This Row],[5-5]])*elite2_plat,0)</f>
        <v>608</v>
      </c>
      <c r="BP94" s="97">
        <f ca="1">ROUNDUP(IF(race="Gnome",1,(1-MIN(TblMili[[#This Row],[Smithies]]*smithy_bonus,smithy_bonus_cap) + tech_3_5*TblTech[[#This Row],[3-5]] + tech_5_3*TblTech[[#This Row],[5-3]] + tech_5_5*TblTech[[#This Row],[5-5]]))*elite2_ore,0)</f>
        <v>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5.7142857142857141E-2</v>
      </c>
      <c r="BW94" s="160">
        <f ca="1">TblMili[[#This Row],[WG''s]]</f>
        <v>0</v>
      </c>
      <c r="BX94" s="266">
        <f ca="1">IF(mystic_cap="none",TblMili[[#This Row],[Hill]]/mystic_bonus,MIN(mystic_cap,TblMili[[#This Row],[Hill]]/mystic_bonus))</f>
        <v>0.2857142857142857</v>
      </c>
      <c r="BY94" s="266">
        <f ca="1">IF(druid_op_cap="none",TblMili[[#This Row],[Hill]]/druid_op_bonus,MIN(druid_op_cap,TblMili[[#This Row],[Hill]]/druid_op_bonus))</f>
        <v>0.2857142857142857</v>
      </c>
      <c r="BZ94" s="266">
        <f ca="1">IF(druid_dp_cap="none",TblMili[[#This Row],[Hill]]/druid_dp_bonus,MIN(druid_dp_cap,TblMili[[#This Row],[Hill]]/druid_dp_bonus))</f>
        <v>0.2857142857142857</v>
      </c>
      <c r="CA94" s="266">
        <f ca="1">MIN(dryad_cap,TblMili[[#This Row],[Hill]]/dryad_bonus)</f>
        <v>0.2857142857142857</v>
      </c>
      <c r="CB94" s="266">
        <f ca="1">MIN(rocka_cap,TblMili[[#This Row],[Hill]]/rocka_bonus)</f>
        <v>0.2857142857142857</v>
      </c>
      <c r="CC94" s="266">
        <f ca="1">MIN(adept_op_cap,TblMili[[#This Row],[WG]]/adept_op_bonus)</f>
        <v>0</v>
      </c>
      <c r="CD94" s="266">
        <f ca="1">MIN(adept_dp_cap,TblMili[[#This Row],[WG]]/adept_dp_bonus)</f>
        <v>0</v>
      </c>
      <c r="CE94" s="97">
        <f ca="1">MIN(TblMili[[#This Row],[Unit 3]],TblMili[[#This Row],[Unit 2]])*2</f>
        <v>1400</v>
      </c>
      <c r="CF94" s="97">
        <f ca="1">MIN(TblMili[[#This Row],[Unit 1]],TblMili[[#This Row],[Unit 4]])*2</f>
        <v>0</v>
      </c>
      <c r="CG94" s="266">
        <f ca="1">MIN(frost_mage_cap,TblMili[[#This Row],[Hill]]/frost_mage_bonus)</f>
        <v>0.2857142857142857</v>
      </c>
      <c r="CH94" s="45">
        <f ca="1">MIN(ice_elem_cap,TblMili[[#This Row],[Raw (2)]]*ice_elem_bonus)</f>
        <v>3.5714285714285712E-2</v>
      </c>
      <c r="CI94" s="266">
        <f t="shared" si="3"/>
        <v>0.83333333333333337</v>
      </c>
      <c r="CJ94" s="266">
        <f ca="1">MIN(nox_nightshade_cap,TblConstr[[#This Row],[Homeland]]/TblConstr[[#This Row],[Land]]/nox_nightshade_swamp_bonus)</f>
        <v>0.5714285714285714</v>
      </c>
      <c r="CK94" s="267"/>
      <c r="CL94" s="267"/>
      <c r="CM94" s="267"/>
      <c r="CN94" s="266">
        <f ca="1">MIN(6,TblMili[[#This Row],[Mystic]]+Races!$F$19)*1.8 +  IF(TblMili[[#This Row],[Mystic]]+Races!$F$19&gt;6,(TblMili[[#This Row],[Mystic]]+Races!$F$19-6)*0.2,0) - Races!$I$19</f>
        <v>0.51428571428571423</v>
      </c>
      <c r="CO9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4" s="97">
        <f ca="1">TblMili[[#This Row],[Mystic bonus]]*TblMili[[#This Row],[Unit 3]]+TblMili[[#This Row],[Druid bonus]]*TblMili[[#This Row],[Unit 4]]</f>
        <v>1149.4285714285706</v>
      </c>
      <c r="CQ94" s="158">
        <f ca="1">MIN(6,TblMili[[#This Row],[Dryad]]+Races!$F$35)*1.8 +  IF(TblMili[[#This Row],[Dryad]]+Races!$F$35&gt;6,(TblMili[[#This Row],[Dryad]]+Races!$F$35-6)*0.2,0) - Races!$I$19</f>
        <v>-1.2857142857142856</v>
      </c>
      <c r="CR94" s="97">
        <f ca="1">sylvan*(TblMili[[#This Row],[Mystic bonus]]*TblMili[[#This Row],[Unit 3]])</f>
        <v>0</v>
      </c>
      <c r="CS94" s="158">
        <f ca="1">1.8 * MIN(MAX(Races!$E$27,TblMili[[#This Row],[Rockapult]]+Races!$F$27),6)  +  0.45 * MIN(MIN(Races!$E$27,TblMili[[#This Row],[Rockapult]]+Races!$F$27),6)  +  0.2 * ( MAX(Races!$E$27-6,0) + MAX(TblMili[[#This Row],[Rockapult]]+Races!$F$27-6,0) )  -  Races!$I$20</f>
        <v>2.7642857142857133</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0.51428571428571423</v>
      </c>
      <c r="CX94" s="158">
        <f ca="1">1.8 * MIN(MAX(TblMili[[#This Row],[Ice Elemental]]+Races!$E$71,Races!$F$71),6)  +  0.45 * MIN(MIN(TblMili[[#This Row],[Ice Elemental]]+Races!$E$71,Races!$F$71),6)  +  0.2 * ( MAX(TblMili[[#This Row],[Ice Elemental]]+Races!$E$71-6,0) + MAX(Races!$F$71-6,0) )  -  Races!$I$71</f>
        <v>6.4285714285714946E-2</v>
      </c>
      <c r="CY94" s="97">
        <f ca="1">TblMili[[#This Row],[Frost Mage bonus]]*TblMili[[#This Row],[Unit 3]]+TblMili[[#This Row],[Ice Elemental bonus]]*TblMili[[#This Row],[Unit 4]]</f>
        <v>438.94285714285786</v>
      </c>
      <c r="CZ94" s="268"/>
      <c r="DA94" s="146">
        <f ca="1">MIN(SUM(TblConstr[[#This Row],[Plain]:[Water]])/TblMili[[#This Row],[Land]]/favorable_terrain_bonus/100,favorable_terrain_max)</f>
        <v>0</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4" s="145"/>
      <c r="DE94" s="269">
        <f ca="1">(TblMili[[#This Row],[Wizards]]+2*TblMili[[#This Row],[Archmages]])/TblConstr[[#This Row],[Land]]</f>
        <v>3.5714285714285712E-2</v>
      </c>
      <c r="DF94" s="269">
        <f ca="1">TblMili[[#This Row],[Raw (2)]]*(1+race_wizard_strength+IF(TblMili[[#This Row],[Hour]]&gt;72,tech_magical_weaponry_wiz*TblTech[[#This Row],[3-5]],0))</f>
        <v>3.5714285714285712E-2</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4666</v>
      </c>
      <c r="C95" s="160">
        <f ca="1">TblPop[[#This Row],[Military%]]</f>
        <v>0.36061519437359918</v>
      </c>
      <c r="D95" s="145"/>
      <c r="E95" s="45">
        <f ca="1">OFFSET(TblMili[[#This Row],[Unit 1]],-1,0) + OFFSET(TblMili[[#This Row],[Train Unit 1]],-9,0) - TblMili[[#This Row],[Release Unit 1]]</f>
        <v>0</v>
      </c>
      <c r="F95" s="45">
        <f ca="1">OFFSET(TblMili[[#This Row],[Unit 2]],-1,0) + OFFSET(TblMili[[#This Row],[Train Unit 2]],-9,0)-TblMili[[#This Row],[Release Unit 2]]</f>
        <v>1246</v>
      </c>
      <c r="G95" s="45">
        <f ca="1">OFFSET(TblMili[[#This Row],[Unit 3]],-1,0) + OFFSET(TblMili[[#This Row],[Train Unit 3]],-12,0)-TblMili[[#This Row],[Release Unit 3]]</f>
        <v>700</v>
      </c>
      <c r="H95" s="45">
        <f ca="1">OFFSET(TblMili[[#This Row],[Unit 4]],-1,0) + OFFSET(TblMili[[#This Row],[Train Unit 4]],-12,0)-TblMili[[#This Row],[Release Unit 4]]</f>
        <v>1228</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42359.8</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6140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6293.4999999999991</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5" s="262">
        <f ca="1">TblMili[[#This Row],[Non Draft]]+TblMili[[#This Row],[Draftees]]</f>
        <v>12014</v>
      </c>
      <c r="U95" s="263">
        <f ca="1">race_defense + TblImps[[#This Row],[Walls]] + ROUND( MIN(gt_bonus*TblConstr[[#This Row],[Tot GT]]/TblConstr[[#This Row],[Land]],gt_bonus_cap), 4) + IF(TblMagic[[#This Row],[Active Howling]]&gt;0,howling_dp_bonus,IF(TblMagic[[#This Row],[Active Ares Call]]&gt;0,ares_call_bonus))</f>
        <v>0.23750000000000002</v>
      </c>
      <c r="V95" s="264">
        <f ca="1">TblMili[[#This Row],[Non Draft]] * (1 + TblMili[[#This Row],[Mods_Def]])</f>
        <v>13082.85</v>
      </c>
      <c r="W95" s="262">
        <f ca="1">TblMili[[#This Row],[Draft]] * (1 + TblMili[[#This Row],[Mods_Def]])</f>
        <v>14867.325000000001</v>
      </c>
      <c r="X95" s="262">
        <f ca="1">TblConstr[[#This Row],[Land]]</f>
        <v>700</v>
      </c>
      <c r="Y95" s="265"/>
      <c r="Z95" s="270">
        <f ca="1">IF(TblMili[[#This Row],[Set]]&lt;&gt;"",TblMili[[#This Row],[Set]],OFFSET(TblMili[[#This Row],[Draftrate]],-1,0))</f>
        <v>0.9</v>
      </c>
      <c r="AA95" s="97">
        <f ca="1">OFFSET(TblMili[[#This Row],[Draftees]],-1,0)+OFFSET(TblPop[[#This Row],[Draft Growth]],-1,0) - SUM(TblMili[[#This Row],[Train Unit 1]:[Train Spies]],TblMili[[#This Row],[Train Wiz]]) - TblMili[[#This Row],[Release Draft]] + SUM(TblMili[[#This Row],[Release Unit 1]:[Release AM]]) - TblExplore[[#This Row],[Draftees (2)]]</f>
        <v>1442</v>
      </c>
      <c r="AB95" s="157"/>
      <c r="AC95" s="183">
        <f ca="1">(TblConstr[[#This Row],[Tot Smi]]+TblConstr[[#This Row],[Dest Smi]])/(TblConstr[[#This Row],[Land]]-TblExplore[[#This Row],[Land Bonus]]*20)</f>
        <v>0.18</v>
      </c>
      <c r="AD95" s="140"/>
      <c r="AE95" s="261">
        <f>TblMili[[#This Row],[Hour]]</f>
        <v>92</v>
      </c>
      <c r="AF95" s="141">
        <f ca="1">TblExplore[[#This Row],[Time]]</f>
        <v>45433.541666666446</v>
      </c>
      <c r="AG95" s="182"/>
      <c r="AH95" s="182"/>
      <c r="AI95" s="182"/>
      <c r="AJ95" s="182"/>
      <c r="AK95" s="182"/>
      <c r="AL95" s="182"/>
      <c r="AM95" s="182"/>
      <c r="AN95" s="182"/>
      <c r="AO95" s="145"/>
      <c r="AP95" s="97">
        <f ca="1">TblProd[[#This Row],[Platinum]]</f>
        <v>816693</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45433.541666666446</v>
      </c>
      <c r="AV95" s="97">
        <f ca="1">TblMili[[#This Row],[Draftees]]</f>
        <v>1442</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192</v>
      </c>
      <c r="BJ95" s="97">
        <f ca="1">ROUNDUP(IF(race="Gnome",1,(1-MIN(TblMili[[#This Row],[Smithies]]*smithy_bonus,smithy_bonus_cap) + tech_3_5*TblTech[[#This Row],[3-5]] + tech_5_3*TblTech[[#This Row],[5-3]] + tech_5_5*TblTech[[#This Row],[5-5]]))*spec_op_ore,0)</f>
        <v>0</v>
      </c>
      <c r="BK95" s="97">
        <f ca="1">ROUNDUP((1-MIN(TblMili[[#This Row],[Smithies]]*smithy_bonus,smithy_bonus_cap) + tech_3_5*TblTech[[#This Row],[3-5]] + tech_5_3*TblTech[[#This Row],[5-3]] + tech_5_5*TblTech[[#This Row],[5-5]])*spec_dp_plat,0)</f>
        <v>192</v>
      </c>
      <c r="BL95" s="97">
        <f ca="1">ROUNDUP(IF(race="Gnome",1,(1-MIN(TblMili[[#This Row],[Smithies]]*smithy_bonus,smithy_bonus_cap) + tech_3_5*TblTech[[#This Row],[3-5]] + tech_5_3*TblTech[[#This Row],[5-3]] + tech_5_5*TblTech[[#This Row],[5-5]]))*spec_dp_ore,0)</f>
        <v>0</v>
      </c>
      <c r="BM95" s="97">
        <f ca="1">ROUNDUP((1-MIN(TblMili[[#This Row],[Smithies]]*smithy_bonus,smithy_bonus_cap) + tech_3_5*TblTech[[#This Row],[3-5]] + tech_5_3*TblTech[[#This Row],[5-3]] + tech_5_5*TblTech[[#This Row],[5-5]])*elite1_plat,0)</f>
        <v>592</v>
      </c>
      <c r="BN95" s="97">
        <f ca="1">ROUNDUP(IF(race="Gnome",1,(1-MIN(TblMili[[#This Row],[Smithies]]*smithy_bonus,smithy_bonus_cap) + tech_3_5*TblTech[[#This Row],[3-5]] + tech_5_3*TblTech[[#This Row],[5-3]] + tech_5_5*TblTech[[#This Row],[5-5]]))*elite1_ore,0)</f>
        <v>0</v>
      </c>
      <c r="BO95" s="97">
        <f ca="1">ROUNDUP((1-MIN(TblMili[[#This Row],[Smithies]]*smithy_bonus,smithy_bonus_cap) + tech_3_5*TblTech[[#This Row],[3-5]] + tech_5_3*TblTech[[#This Row],[5-3]] + tech_5_5*TblTech[[#This Row],[5-5]])*elite2_plat,0)</f>
        <v>608</v>
      </c>
      <c r="BP95" s="97">
        <f ca="1">ROUNDUP(IF(race="Gnome",1,(1-MIN(TblMili[[#This Row],[Smithies]]*smithy_bonus,smithy_bonus_cap) + tech_3_5*TblTech[[#This Row],[3-5]] + tech_5_3*TblTech[[#This Row],[5-3]] + tech_5_5*TblTech[[#This Row],[5-5]]))*elite2_ore,0)</f>
        <v>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5.7142857142857141E-2</v>
      </c>
      <c r="BW95" s="160">
        <f ca="1">TblMili[[#This Row],[WG''s]]</f>
        <v>0</v>
      </c>
      <c r="BX95" s="266">
        <f ca="1">IF(mystic_cap="none",TblMili[[#This Row],[Hill]]/mystic_bonus,MIN(mystic_cap,TblMili[[#This Row],[Hill]]/mystic_bonus))</f>
        <v>0.2857142857142857</v>
      </c>
      <c r="BY95" s="266">
        <f ca="1">IF(druid_op_cap="none",TblMili[[#This Row],[Hill]]/druid_op_bonus,MIN(druid_op_cap,TblMili[[#This Row],[Hill]]/druid_op_bonus))</f>
        <v>0.2857142857142857</v>
      </c>
      <c r="BZ95" s="266">
        <f ca="1">IF(druid_dp_cap="none",TblMili[[#This Row],[Hill]]/druid_dp_bonus,MIN(druid_dp_cap,TblMili[[#This Row],[Hill]]/druid_dp_bonus))</f>
        <v>0.2857142857142857</v>
      </c>
      <c r="CA95" s="266">
        <f ca="1">MIN(dryad_cap,TblMili[[#This Row],[Hill]]/dryad_bonus)</f>
        <v>0.2857142857142857</v>
      </c>
      <c r="CB95" s="266">
        <f ca="1">MIN(rocka_cap,TblMili[[#This Row],[Hill]]/rocka_bonus)</f>
        <v>0.2857142857142857</v>
      </c>
      <c r="CC95" s="266">
        <f ca="1">MIN(adept_op_cap,TblMili[[#This Row],[WG]]/adept_op_bonus)</f>
        <v>0</v>
      </c>
      <c r="CD95" s="266">
        <f ca="1">MIN(adept_dp_cap,TblMili[[#This Row],[WG]]/adept_dp_bonus)</f>
        <v>0</v>
      </c>
      <c r="CE95" s="97">
        <f ca="1">MIN(TblMili[[#This Row],[Unit 3]],TblMili[[#This Row],[Unit 2]])*2</f>
        <v>1400</v>
      </c>
      <c r="CF95" s="97">
        <f ca="1">MIN(TblMili[[#This Row],[Unit 1]],TblMili[[#This Row],[Unit 4]])*2</f>
        <v>0</v>
      </c>
      <c r="CG95" s="266">
        <f ca="1">MIN(frost_mage_cap,TblMili[[#This Row],[Hill]]/frost_mage_bonus)</f>
        <v>0.2857142857142857</v>
      </c>
      <c r="CH95" s="45">
        <f ca="1">MIN(ice_elem_cap,TblMili[[#This Row],[Raw (2)]]*ice_elem_bonus)</f>
        <v>3.5714285714285712E-2</v>
      </c>
      <c r="CI95" s="266">
        <f t="shared" si="3"/>
        <v>0.83333333333333337</v>
      </c>
      <c r="CJ95" s="266">
        <f ca="1">MIN(nox_nightshade_cap,TblConstr[[#This Row],[Homeland]]/TblConstr[[#This Row],[Land]]/nox_nightshade_swamp_bonus)</f>
        <v>0.5714285714285714</v>
      </c>
      <c r="CK95" s="267"/>
      <c r="CL95" s="267"/>
      <c r="CM95" s="267"/>
      <c r="CN95" s="266">
        <f ca="1">MIN(6,TblMili[[#This Row],[Mystic]]+Races!$F$19)*1.8 +  IF(TblMili[[#This Row],[Mystic]]+Races!$F$19&gt;6,(TblMili[[#This Row],[Mystic]]+Races!$F$19-6)*0.2,0) - Races!$I$19</f>
        <v>0.51428571428571423</v>
      </c>
      <c r="CO9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5" s="97">
        <f ca="1">TblMili[[#This Row],[Mystic bonus]]*TblMili[[#This Row],[Unit 3]]+TblMili[[#This Row],[Druid bonus]]*TblMili[[#This Row],[Unit 4]]</f>
        <v>1149.4285714285706</v>
      </c>
      <c r="CQ95" s="158">
        <f ca="1">MIN(6,TblMili[[#This Row],[Dryad]]+Races!$F$35)*1.8 +  IF(TblMili[[#This Row],[Dryad]]+Races!$F$35&gt;6,(TblMili[[#This Row],[Dryad]]+Races!$F$35-6)*0.2,0) - Races!$I$19</f>
        <v>-1.2857142857142856</v>
      </c>
      <c r="CR95" s="97">
        <f ca="1">sylvan*(TblMili[[#This Row],[Mystic bonus]]*TblMili[[#This Row],[Unit 3]])</f>
        <v>0</v>
      </c>
      <c r="CS95" s="158">
        <f ca="1">1.8 * MIN(MAX(Races!$E$27,TblMili[[#This Row],[Rockapult]]+Races!$F$27),6)  +  0.45 * MIN(MIN(Races!$E$27,TblMili[[#This Row],[Rockapult]]+Races!$F$27),6)  +  0.2 * ( MAX(Races!$E$27-6,0) + MAX(TblMili[[#This Row],[Rockapult]]+Races!$F$27-6,0) )  -  Races!$I$20</f>
        <v>2.7642857142857133</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0.51428571428571423</v>
      </c>
      <c r="CX95" s="158">
        <f ca="1">1.8 * MIN(MAX(TblMili[[#This Row],[Ice Elemental]]+Races!$E$71,Races!$F$71),6)  +  0.45 * MIN(MIN(TblMili[[#This Row],[Ice Elemental]]+Races!$E$71,Races!$F$71),6)  +  0.2 * ( MAX(TblMili[[#This Row],[Ice Elemental]]+Races!$E$71-6,0) + MAX(Races!$F$71-6,0) )  -  Races!$I$71</f>
        <v>6.4285714285714946E-2</v>
      </c>
      <c r="CY95" s="97">
        <f ca="1">TblMili[[#This Row],[Frost Mage bonus]]*TblMili[[#This Row],[Unit 3]]+TblMili[[#This Row],[Ice Elemental bonus]]*TblMili[[#This Row],[Unit 4]]</f>
        <v>438.94285714285786</v>
      </c>
      <c r="CZ95" s="268"/>
      <c r="DA95" s="146">
        <f ca="1">MIN(SUM(TblConstr[[#This Row],[Plain]:[Water]])/TblMili[[#This Row],[Land]]/favorable_terrain_bonus/100,favorable_terrain_max)</f>
        <v>0</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5" s="145"/>
      <c r="DE95" s="269">
        <f ca="1">(TblMili[[#This Row],[Wizards]]+2*TblMili[[#This Row],[Archmages]])/TblConstr[[#This Row],[Land]]</f>
        <v>3.5714285714285712E-2</v>
      </c>
      <c r="DF95" s="269">
        <f ca="1">TblMili[[#This Row],[Raw (2)]]*(1+race_wizard_strength+IF(TblMili[[#This Row],[Hour]]&gt;72,tech_magical_weaponry_wiz*TblTech[[#This Row],[3-5]],0))</f>
        <v>3.5714285714285712E-2</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4749</v>
      </c>
      <c r="C96" s="160">
        <f ca="1">TblPop[[#This Row],[Military%]]</f>
        <v>0.36702990957570136</v>
      </c>
      <c r="D96" s="145"/>
      <c r="E96" s="45">
        <f ca="1">OFFSET(TblMili[[#This Row],[Unit 1]],-1,0) + OFFSET(TblMili[[#This Row],[Train Unit 1]],-9,0) - TblMili[[#This Row],[Release Unit 1]]</f>
        <v>0</v>
      </c>
      <c r="F96" s="45">
        <f ca="1">OFFSET(TblMili[[#This Row],[Unit 2]],-1,0) + OFFSET(TblMili[[#This Row],[Train Unit 2]],-9,0)-TblMili[[#This Row],[Release Unit 2]]</f>
        <v>1246</v>
      </c>
      <c r="G96" s="45">
        <f ca="1">OFFSET(TblMili[[#This Row],[Unit 3]],-1,0) + OFFSET(TblMili[[#This Row],[Train Unit 3]],-12,0)-TblMili[[#This Row],[Release Unit 3]]</f>
        <v>700</v>
      </c>
      <c r="H96" s="45">
        <f ca="1">OFFSET(TblMili[[#This Row],[Unit 4]],-1,0) + OFFSET(TblMili[[#This Row],[Train Unit 4]],-12,0)-TblMili[[#This Row],[Release Unit 4]]</f>
        <v>1228</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42359.8</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6140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6293.4999999999991</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6" s="262">
        <f ca="1">TblMili[[#This Row],[Non Draft]]+TblMili[[#This Row],[Draftees]]</f>
        <v>12097</v>
      </c>
      <c r="U96" s="263">
        <f ca="1">race_defense + TblImps[[#This Row],[Walls]] + ROUND( MIN(gt_bonus*TblConstr[[#This Row],[Tot GT]]/TblConstr[[#This Row],[Land]],gt_bonus_cap), 4) + IF(TblMagic[[#This Row],[Active Howling]]&gt;0,howling_dp_bonus,IF(TblMagic[[#This Row],[Active Ares Call]]&gt;0,ares_call_bonus))</f>
        <v>0.23750000000000002</v>
      </c>
      <c r="V96" s="264">
        <f ca="1">TblMili[[#This Row],[Non Draft]] * (1 + TblMili[[#This Row],[Mods_Def]])</f>
        <v>13082.85</v>
      </c>
      <c r="W96" s="262">
        <f ca="1">TblMili[[#This Row],[Draft]] * (1 + TblMili[[#This Row],[Mods_Def]])</f>
        <v>14970.0375</v>
      </c>
      <c r="X96" s="262">
        <f ca="1">TblConstr[[#This Row],[Land]]</f>
        <v>700</v>
      </c>
      <c r="Y96" s="265"/>
      <c r="Z96" s="270">
        <f ca="1">IF(TblMili[[#This Row],[Set]]&lt;&gt;"",TblMili[[#This Row],[Set]],OFFSET(TblMili[[#This Row],[Draftrate]],-1,0))</f>
        <v>0.9</v>
      </c>
      <c r="AA96" s="97">
        <f ca="1">OFFSET(TblMili[[#This Row],[Draftees]],-1,0)+OFFSET(TblPop[[#This Row],[Draft Growth]],-1,0) - SUM(TblMili[[#This Row],[Train Unit 1]:[Train Spies]],TblMili[[#This Row],[Train Wiz]]) - TblMili[[#This Row],[Release Draft]] + SUM(TblMili[[#This Row],[Release Unit 1]:[Release AM]]) - TblExplore[[#This Row],[Draftees (2)]]</f>
        <v>1525</v>
      </c>
      <c r="AB96" s="157"/>
      <c r="AC96" s="183">
        <f ca="1">(TblConstr[[#This Row],[Tot Smi]]+TblConstr[[#This Row],[Dest Smi]])/(TblConstr[[#This Row],[Land]]-TblExplore[[#This Row],[Land Bonus]]*20)</f>
        <v>0.18</v>
      </c>
      <c r="AD96" s="140"/>
      <c r="AE96" s="261">
        <f>TblMili[[#This Row],[Hour]]</f>
        <v>93</v>
      </c>
      <c r="AF96" s="141">
        <f ca="1">TblExplore[[#This Row],[Time]]</f>
        <v>45433.58333333311</v>
      </c>
      <c r="AG96" s="182"/>
      <c r="AH96" s="182"/>
      <c r="AI96" s="182"/>
      <c r="AJ96" s="182"/>
      <c r="AK96" s="182"/>
      <c r="AL96" s="182"/>
      <c r="AM96" s="182"/>
      <c r="AN96" s="182"/>
      <c r="AO96" s="145"/>
      <c r="AP96" s="97">
        <f ca="1">TblProd[[#This Row],[Platinum]]</f>
        <v>858808</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45433.58333333311</v>
      </c>
      <c r="AV96" s="97">
        <f ca="1">TblMili[[#This Row],[Draftees]]</f>
        <v>1525</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192</v>
      </c>
      <c r="BJ96" s="97">
        <f ca="1">ROUNDUP(IF(race="Gnome",1,(1-MIN(TblMili[[#This Row],[Smithies]]*smithy_bonus,smithy_bonus_cap) + tech_3_5*TblTech[[#This Row],[3-5]] + tech_5_3*TblTech[[#This Row],[5-3]] + tech_5_5*TblTech[[#This Row],[5-5]]))*spec_op_ore,0)</f>
        <v>0</v>
      </c>
      <c r="BK96" s="97">
        <f ca="1">ROUNDUP((1-MIN(TblMili[[#This Row],[Smithies]]*smithy_bonus,smithy_bonus_cap) + tech_3_5*TblTech[[#This Row],[3-5]] + tech_5_3*TblTech[[#This Row],[5-3]] + tech_5_5*TblTech[[#This Row],[5-5]])*spec_dp_plat,0)</f>
        <v>192</v>
      </c>
      <c r="BL96" s="97">
        <f ca="1">ROUNDUP(IF(race="Gnome",1,(1-MIN(TblMili[[#This Row],[Smithies]]*smithy_bonus,smithy_bonus_cap) + tech_3_5*TblTech[[#This Row],[3-5]] + tech_5_3*TblTech[[#This Row],[5-3]] + tech_5_5*TblTech[[#This Row],[5-5]]))*spec_dp_ore,0)</f>
        <v>0</v>
      </c>
      <c r="BM96" s="97">
        <f ca="1">ROUNDUP((1-MIN(TblMili[[#This Row],[Smithies]]*smithy_bonus,smithy_bonus_cap) + tech_3_5*TblTech[[#This Row],[3-5]] + tech_5_3*TblTech[[#This Row],[5-3]] + tech_5_5*TblTech[[#This Row],[5-5]])*elite1_plat,0)</f>
        <v>592</v>
      </c>
      <c r="BN96" s="97">
        <f ca="1">ROUNDUP(IF(race="Gnome",1,(1-MIN(TblMili[[#This Row],[Smithies]]*smithy_bonus,smithy_bonus_cap) + tech_3_5*TblTech[[#This Row],[3-5]] + tech_5_3*TblTech[[#This Row],[5-3]] + tech_5_5*TblTech[[#This Row],[5-5]]))*elite1_ore,0)</f>
        <v>0</v>
      </c>
      <c r="BO96" s="97">
        <f ca="1">ROUNDUP((1-MIN(TblMili[[#This Row],[Smithies]]*smithy_bonus,smithy_bonus_cap) + tech_3_5*TblTech[[#This Row],[3-5]] + tech_5_3*TblTech[[#This Row],[5-3]] + tech_5_5*TblTech[[#This Row],[5-5]])*elite2_plat,0)</f>
        <v>608</v>
      </c>
      <c r="BP96" s="97">
        <f ca="1">ROUNDUP(IF(race="Gnome",1,(1-MIN(TblMili[[#This Row],[Smithies]]*smithy_bonus,smithy_bonus_cap) + tech_3_5*TblTech[[#This Row],[3-5]] + tech_5_3*TblTech[[#This Row],[5-3]] + tech_5_5*TblTech[[#This Row],[5-5]]))*elite2_ore,0)</f>
        <v>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5.7142857142857141E-2</v>
      </c>
      <c r="BW96" s="160">
        <f ca="1">TblMili[[#This Row],[WG''s]]</f>
        <v>0</v>
      </c>
      <c r="BX96" s="266">
        <f ca="1">IF(mystic_cap="none",TblMili[[#This Row],[Hill]]/mystic_bonus,MIN(mystic_cap,TblMili[[#This Row],[Hill]]/mystic_bonus))</f>
        <v>0.2857142857142857</v>
      </c>
      <c r="BY96" s="266">
        <f ca="1">IF(druid_op_cap="none",TblMili[[#This Row],[Hill]]/druid_op_bonus,MIN(druid_op_cap,TblMili[[#This Row],[Hill]]/druid_op_bonus))</f>
        <v>0.2857142857142857</v>
      </c>
      <c r="BZ96" s="266">
        <f ca="1">IF(druid_dp_cap="none",TblMili[[#This Row],[Hill]]/druid_dp_bonus,MIN(druid_dp_cap,TblMili[[#This Row],[Hill]]/druid_dp_bonus))</f>
        <v>0.2857142857142857</v>
      </c>
      <c r="CA96" s="266">
        <f ca="1">MIN(dryad_cap,TblMili[[#This Row],[Hill]]/dryad_bonus)</f>
        <v>0.2857142857142857</v>
      </c>
      <c r="CB96" s="266">
        <f ca="1">MIN(rocka_cap,TblMili[[#This Row],[Hill]]/rocka_bonus)</f>
        <v>0.2857142857142857</v>
      </c>
      <c r="CC96" s="266">
        <f ca="1">MIN(adept_op_cap,TblMili[[#This Row],[WG]]/adept_op_bonus)</f>
        <v>0</v>
      </c>
      <c r="CD96" s="266">
        <f ca="1">MIN(adept_dp_cap,TblMili[[#This Row],[WG]]/adept_dp_bonus)</f>
        <v>0</v>
      </c>
      <c r="CE96" s="97">
        <f ca="1">MIN(TblMili[[#This Row],[Unit 3]],TblMili[[#This Row],[Unit 2]])*2</f>
        <v>1400</v>
      </c>
      <c r="CF96" s="97">
        <f ca="1">MIN(TblMili[[#This Row],[Unit 1]],TblMili[[#This Row],[Unit 4]])*2</f>
        <v>0</v>
      </c>
      <c r="CG96" s="266">
        <f ca="1">MIN(frost_mage_cap,TblMili[[#This Row],[Hill]]/frost_mage_bonus)</f>
        <v>0.2857142857142857</v>
      </c>
      <c r="CH96" s="45">
        <f ca="1">MIN(ice_elem_cap,TblMili[[#This Row],[Raw (2)]]*ice_elem_bonus)</f>
        <v>3.5714285714285712E-2</v>
      </c>
      <c r="CI96" s="266">
        <f t="shared" si="3"/>
        <v>0.83333333333333337</v>
      </c>
      <c r="CJ96" s="266">
        <f ca="1">MIN(nox_nightshade_cap,TblConstr[[#This Row],[Homeland]]/TblConstr[[#This Row],[Land]]/nox_nightshade_swamp_bonus)</f>
        <v>0.5714285714285714</v>
      </c>
      <c r="CK96" s="267"/>
      <c r="CL96" s="267"/>
      <c r="CM96" s="267"/>
      <c r="CN96" s="266">
        <f ca="1">MIN(6,TblMili[[#This Row],[Mystic]]+Races!$F$19)*1.8 +  IF(TblMili[[#This Row],[Mystic]]+Races!$F$19&gt;6,(TblMili[[#This Row],[Mystic]]+Races!$F$19-6)*0.2,0) - Races!$I$19</f>
        <v>0.51428571428571423</v>
      </c>
      <c r="CO9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6" s="97">
        <f ca="1">TblMili[[#This Row],[Mystic bonus]]*TblMili[[#This Row],[Unit 3]]+TblMili[[#This Row],[Druid bonus]]*TblMili[[#This Row],[Unit 4]]</f>
        <v>1149.4285714285706</v>
      </c>
      <c r="CQ96" s="158">
        <f ca="1">MIN(6,TblMili[[#This Row],[Dryad]]+Races!$F$35)*1.8 +  IF(TblMili[[#This Row],[Dryad]]+Races!$F$35&gt;6,(TblMili[[#This Row],[Dryad]]+Races!$F$35-6)*0.2,0) - Races!$I$19</f>
        <v>-1.2857142857142856</v>
      </c>
      <c r="CR96" s="97">
        <f ca="1">sylvan*(TblMili[[#This Row],[Mystic bonus]]*TblMili[[#This Row],[Unit 3]])</f>
        <v>0</v>
      </c>
      <c r="CS96" s="158">
        <f ca="1">1.8 * MIN(MAX(Races!$E$27,TblMili[[#This Row],[Rockapult]]+Races!$F$27),6)  +  0.45 * MIN(MIN(Races!$E$27,TblMili[[#This Row],[Rockapult]]+Races!$F$27),6)  +  0.2 * ( MAX(Races!$E$27-6,0) + MAX(TblMili[[#This Row],[Rockapult]]+Races!$F$27-6,0) )  -  Races!$I$20</f>
        <v>2.7642857142857133</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0.51428571428571423</v>
      </c>
      <c r="CX96" s="158">
        <f ca="1">1.8 * MIN(MAX(TblMili[[#This Row],[Ice Elemental]]+Races!$E$71,Races!$F$71),6)  +  0.45 * MIN(MIN(TblMili[[#This Row],[Ice Elemental]]+Races!$E$71,Races!$F$71),6)  +  0.2 * ( MAX(TblMili[[#This Row],[Ice Elemental]]+Races!$E$71-6,0) + MAX(Races!$F$71-6,0) )  -  Races!$I$71</f>
        <v>6.4285714285714946E-2</v>
      </c>
      <c r="CY96" s="97">
        <f ca="1">TblMili[[#This Row],[Frost Mage bonus]]*TblMili[[#This Row],[Unit 3]]+TblMili[[#This Row],[Ice Elemental bonus]]*TblMili[[#This Row],[Unit 4]]</f>
        <v>438.94285714285786</v>
      </c>
      <c r="CZ96" s="268"/>
      <c r="DA96" s="146">
        <f ca="1">MIN(SUM(TblConstr[[#This Row],[Plain]:[Water]])/TblMili[[#This Row],[Land]]/favorable_terrain_bonus/100,favorable_terrain_max)</f>
        <v>0</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6" s="145"/>
      <c r="DE96" s="269">
        <f ca="1">(TblMili[[#This Row],[Wizards]]+2*TblMili[[#This Row],[Archmages]])/TblConstr[[#This Row],[Land]]</f>
        <v>3.5714285714285712E-2</v>
      </c>
      <c r="DF96" s="269">
        <f ca="1">TblMili[[#This Row],[Raw (2)]]*(1+race_wizard_strength+IF(TblMili[[#This Row],[Hour]]&gt;72,tech_magical_weaponry_wiz*TblTech[[#This Row],[3-5]],0))</f>
        <v>3.5714285714285712E-2</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4831</v>
      </c>
      <c r="C97" s="160">
        <f ca="1">TblPop[[#This Row],[Military%]]</f>
        <v>0.37336733905247699</v>
      </c>
      <c r="D97" s="145"/>
      <c r="E97" s="45">
        <f ca="1">OFFSET(TblMili[[#This Row],[Unit 1]],-1,0) + OFFSET(TblMili[[#This Row],[Train Unit 1]],-9,0) - TblMili[[#This Row],[Release Unit 1]]</f>
        <v>0</v>
      </c>
      <c r="F97" s="45">
        <f ca="1">OFFSET(TblMili[[#This Row],[Unit 2]],-1,0) + OFFSET(TblMili[[#This Row],[Train Unit 2]],-9,0)-TblMili[[#This Row],[Release Unit 2]]</f>
        <v>1246</v>
      </c>
      <c r="G97" s="45">
        <f ca="1">OFFSET(TblMili[[#This Row],[Unit 3]],-1,0) + OFFSET(TblMili[[#This Row],[Train Unit 3]],-12,0)-TblMili[[#This Row],[Release Unit 3]]</f>
        <v>700</v>
      </c>
      <c r="H97" s="45">
        <f ca="1">OFFSET(TblMili[[#This Row],[Unit 4]],-1,0) + OFFSET(TblMili[[#This Row],[Train Unit 4]],-12,0)-TblMili[[#This Row],[Release Unit 4]]</f>
        <v>1228</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42359.8</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6140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6293.4999999999991</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7" s="262">
        <f ca="1">TblMili[[#This Row],[Non Draft]]+TblMili[[#This Row],[Draftees]]</f>
        <v>12179</v>
      </c>
      <c r="U97" s="263">
        <f ca="1">race_defense + TblImps[[#This Row],[Walls]] + ROUND( MIN(gt_bonus*TblConstr[[#This Row],[Tot GT]]/TblConstr[[#This Row],[Land]],gt_bonus_cap), 4) + IF(TblMagic[[#This Row],[Active Howling]]&gt;0,howling_dp_bonus,IF(TblMagic[[#This Row],[Active Ares Call]]&gt;0,ares_call_bonus))</f>
        <v>0.23750000000000002</v>
      </c>
      <c r="V97" s="264">
        <f ca="1">TblMili[[#This Row],[Non Draft]] * (1 + TblMili[[#This Row],[Mods_Def]])</f>
        <v>13082.85</v>
      </c>
      <c r="W97" s="262">
        <f ca="1">TblMili[[#This Row],[Draft]] * (1 + TblMili[[#This Row],[Mods_Def]])</f>
        <v>15071.512500000001</v>
      </c>
      <c r="X97" s="262">
        <f ca="1">TblConstr[[#This Row],[Land]]</f>
        <v>700</v>
      </c>
      <c r="Y97" s="265"/>
      <c r="Z97" s="270">
        <f ca="1">IF(TblMili[[#This Row],[Set]]&lt;&gt;"",TblMili[[#This Row],[Set]],OFFSET(TblMili[[#This Row],[Draftrate]],-1,0))</f>
        <v>0.9</v>
      </c>
      <c r="AA97" s="97">
        <f ca="1">OFFSET(TblMili[[#This Row],[Draftees]],-1,0)+OFFSET(TblPop[[#This Row],[Draft Growth]],-1,0) - SUM(TblMili[[#This Row],[Train Unit 1]:[Train Spies]],TblMili[[#This Row],[Train Wiz]]) - TblMili[[#This Row],[Release Draft]] + SUM(TblMili[[#This Row],[Release Unit 1]:[Release AM]]) - TblExplore[[#This Row],[Draftees (2)]]</f>
        <v>1607</v>
      </c>
      <c r="AB97" s="157"/>
      <c r="AC97" s="183">
        <f ca="1">(TblConstr[[#This Row],[Tot Smi]]+TblConstr[[#This Row],[Dest Smi]])/(TblConstr[[#This Row],[Land]]-TblExplore[[#This Row],[Land Bonus]]*20)</f>
        <v>0.18</v>
      </c>
      <c r="AD97" s="140"/>
      <c r="AE97" s="261">
        <f>TblMili[[#This Row],[Hour]]</f>
        <v>94</v>
      </c>
      <c r="AF97" s="141">
        <f ca="1">TblExplore[[#This Row],[Time]]</f>
        <v>45433.624999999774</v>
      </c>
      <c r="AG97" s="182"/>
      <c r="AH97" s="182"/>
      <c r="AI97" s="182"/>
      <c r="AJ97" s="182"/>
      <c r="AK97" s="182"/>
      <c r="AL97" s="182"/>
      <c r="AM97" s="182"/>
      <c r="AN97" s="182"/>
      <c r="AO97" s="145"/>
      <c r="AP97" s="97">
        <f ca="1">TblProd[[#This Row],[Platinum]]</f>
        <v>900677</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45433.624999999774</v>
      </c>
      <c r="AV97" s="97">
        <f ca="1">TblMili[[#This Row],[Draftees]]</f>
        <v>1607</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192</v>
      </c>
      <c r="BJ97" s="97">
        <f ca="1">ROUNDUP(IF(race="Gnome",1,(1-MIN(TblMili[[#This Row],[Smithies]]*smithy_bonus,smithy_bonus_cap) + tech_3_5*TblTech[[#This Row],[3-5]] + tech_5_3*TblTech[[#This Row],[5-3]] + tech_5_5*TblTech[[#This Row],[5-5]]))*spec_op_ore,0)</f>
        <v>0</v>
      </c>
      <c r="BK97" s="97">
        <f ca="1">ROUNDUP((1-MIN(TblMili[[#This Row],[Smithies]]*smithy_bonus,smithy_bonus_cap) + tech_3_5*TblTech[[#This Row],[3-5]] + tech_5_3*TblTech[[#This Row],[5-3]] + tech_5_5*TblTech[[#This Row],[5-5]])*spec_dp_plat,0)</f>
        <v>192</v>
      </c>
      <c r="BL97" s="97">
        <f ca="1">ROUNDUP(IF(race="Gnome",1,(1-MIN(TblMili[[#This Row],[Smithies]]*smithy_bonus,smithy_bonus_cap) + tech_3_5*TblTech[[#This Row],[3-5]] + tech_5_3*TblTech[[#This Row],[5-3]] + tech_5_5*TblTech[[#This Row],[5-5]]))*spec_dp_ore,0)</f>
        <v>0</v>
      </c>
      <c r="BM97" s="97">
        <f ca="1">ROUNDUP((1-MIN(TblMili[[#This Row],[Smithies]]*smithy_bonus,smithy_bonus_cap) + tech_3_5*TblTech[[#This Row],[3-5]] + tech_5_3*TblTech[[#This Row],[5-3]] + tech_5_5*TblTech[[#This Row],[5-5]])*elite1_plat,0)</f>
        <v>592</v>
      </c>
      <c r="BN97" s="97">
        <f ca="1">ROUNDUP(IF(race="Gnome",1,(1-MIN(TblMili[[#This Row],[Smithies]]*smithy_bonus,smithy_bonus_cap) + tech_3_5*TblTech[[#This Row],[3-5]] + tech_5_3*TblTech[[#This Row],[5-3]] + tech_5_5*TblTech[[#This Row],[5-5]]))*elite1_ore,0)</f>
        <v>0</v>
      </c>
      <c r="BO97" s="97">
        <f ca="1">ROUNDUP((1-MIN(TblMili[[#This Row],[Smithies]]*smithy_bonus,smithy_bonus_cap) + tech_3_5*TblTech[[#This Row],[3-5]] + tech_5_3*TblTech[[#This Row],[5-3]] + tech_5_5*TblTech[[#This Row],[5-5]])*elite2_plat,0)</f>
        <v>608</v>
      </c>
      <c r="BP97" s="97">
        <f ca="1">ROUNDUP(IF(race="Gnome",1,(1-MIN(TblMili[[#This Row],[Smithies]]*smithy_bonus,smithy_bonus_cap) + tech_3_5*TblTech[[#This Row],[3-5]] + tech_5_3*TblTech[[#This Row],[5-3]] + tech_5_5*TblTech[[#This Row],[5-5]]))*elite2_ore,0)</f>
        <v>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5.7142857142857141E-2</v>
      </c>
      <c r="BW97" s="160">
        <f ca="1">TblMili[[#This Row],[WG''s]]</f>
        <v>0</v>
      </c>
      <c r="BX97" s="266">
        <f ca="1">IF(mystic_cap="none",TblMili[[#This Row],[Hill]]/mystic_bonus,MIN(mystic_cap,TblMili[[#This Row],[Hill]]/mystic_bonus))</f>
        <v>0.2857142857142857</v>
      </c>
      <c r="BY97" s="266">
        <f ca="1">IF(druid_op_cap="none",TblMili[[#This Row],[Hill]]/druid_op_bonus,MIN(druid_op_cap,TblMili[[#This Row],[Hill]]/druid_op_bonus))</f>
        <v>0.2857142857142857</v>
      </c>
      <c r="BZ97" s="266">
        <f ca="1">IF(druid_dp_cap="none",TblMili[[#This Row],[Hill]]/druid_dp_bonus,MIN(druid_dp_cap,TblMili[[#This Row],[Hill]]/druid_dp_bonus))</f>
        <v>0.2857142857142857</v>
      </c>
      <c r="CA97" s="266">
        <f ca="1">MIN(dryad_cap,TblMili[[#This Row],[Hill]]/dryad_bonus)</f>
        <v>0.2857142857142857</v>
      </c>
      <c r="CB97" s="266">
        <f ca="1">MIN(rocka_cap,TblMili[[#This Row],[Hill]]/rocka_bonus)</f>
        <v>0.2857142857142857</v>
      </c>
      <c r="CC97" s="266">
        <f ca="1">MIN(adept_op_cap,TblMili[[#This Row],[WG]]/adept_op_bonus)</f>
        <v>0</v>
      </c>
      <c r="CD97" s="266">
        <f ca="1">MIN(adept_dp_cap,TblMili[[#This Row],[WG]]/adept_dp_bonus)</f>
        <v>0</v>
      </c>
      <c r="CE97" s="97">
        <f ca="1">MIN(TblMili[[#This Row],[Unit 3]],TblMili[[#This Row],[Unit 2]])*2</f>
        <v>1400</v>
      </c>
      <c r="CF97" s="97">
        <f ca="1">MIN(TblMili[[#This Row],[Unit 1]],TblMili[[#This Row],[Unit 4]])*2</f>
        <v>0</v>
      </c>
      <c r="CG97" s="266">
        <f ca="1">MIN(frost_mage_cap,TblMili[[#This Row],[Hill]]/frost_mage_bonus)</f>
        <v>0.2857142857142857</v>
      </c>
      <c r="CH97" s="45">
        <f ca="1">MIN(ice_elem_cap,TblMili[[#This Row],[Raw (2)]]*ice_elem_bonus)</f>
        <v>3.5714285714285712E-2</v>
      </c>
      <c r="CI97" s="266">
        <f t="shared" si="3"/>
        <v>0.83333333333333337</v>
      </c>
      <c r="CJ97" s="266">
        <f ca="1">MIN(nox_nightshade_cap,TblConstr[[#This Row],[Homeland]]/TblConstr[[#This Row],[Land]]/nox_nightshade_swamp_bonus)</f>
        <v>0.5714285714285714</v>
      </c>
      <c r="CK97" s="267"/>
      <c r="CL97" s="267"/>
      <c r="CM97" s="267"/>
      <c r="CN97" s="266">
        <f ca="1">MIN(6,TblMili[[#This Row],[Mystic]]+Races!$F$19)*1.8 +  IF(TblMili[[#This Row],[Mystic]]+Races!$F$19&gt;6,(TblMili[[#This Row],[Mystic]]+Races!$F$19-6)*0.2,0) - Races!$I$19</f>
        <v>0.51428571428571423</v>
      </c>
      <c r="CO9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7" s="97">
        <f ca="1">TblMili[[#This Row],[Mystic bonus]]*TblMili[[#This Row],[Unit 3]]+TblMili[[#This Row],[Druid bonus]]*TblMili[[#This Row],[Unit 4]]</f>
        <v>1149.4285714285706</v>
      </c>
      <c r="CQ97" s="158">
        <f ca="1">MIN(6,TblMili[[#This Row],[Dryad]]+Races!$F$35)*1.8 +  IF(TblMili[[#This Row],[Dryad]]+Races!$F$35&gt;6,(TblMili[[#This Row],[Dryad]]+Races!$F$35-6)*0.2,0) - Races!$I$19</f>
        <v>-1.2857142857142856</v>
      </c>
      <c r="CR97" s="97">
        <f ca="1">sylvan*(TblMili[[#This Row],[Mystic bonus]]*TblMili[[#This Row],[Unit 3]])</f>
        <v>0</v>
      </c>
      <c r="CS97" s="158">
        <f ca="1">1.8 * MIN(MAX(Races!$E$27,TblMili[[#This Row],[Rockapult]]+Races!$F$27),6)  +  0.45 * MIN(MIN(Races!$E$27,TblMili[[#This Row],[Rockapult]]+Races!$F$27),6)  +  0.2 * ( MAX(Races!$E$27-6,0) + MAX(TblMili[[#This Row],[Rockapult]]+Races!$F$27-6,0) )  -  Races!$I$20</f>
        <v>2.7642857142857133</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0.51428571428571423</v>
      </c>
      <c r="CX97" s="158">
        <f ca="1">1.8 * MIN(MAX(TblMili[[#This Row],[Ice Elemental]]+Races!$E$71,Races!$F$71),6)  +  0.45 * MIN(MIN(TblMili[[#This Row],[Ice Elemental]]+Races!$E$71,Races!$F$71),6)  +  0.2 * ( MAX(TblMili[[#This Row],[Ice Elemental]]+Races!$E$71-6,0) + MAX(Races!$F$71-6,0) )  -  Races!$I$71</f>
        <v>6.4285714285714946E-2</v>
      </c>
      <c r="CY97" s="97">
        <f ca="1">TblMili[[#This Row],[Frost Mage bonus]]*TblMili[[#This Row],[Unit 3]]+TblMili[[#This Row],[Ice Elemental bonus]]*TblMili[[#This Row],[Unit 4]]</f>
        <v>438.94285714285786</v>
      </c>
      <c r="CZ97" s="268"/>
      <c r="DA97" s="146">
        <f ca="1">MIN(SUM(TblConstr[[#This Row],[Plain]:[Water]])/TblMili[[#This Row],[Land]]/favorable_terrain_bonus/100,favorable_terrain_max)</f>
        <v>0</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7" s="145"/>
      <c r="DE97" s="269">
        <f ca="1">(TblMili[[#This Row],[Wizards]]+2*TblMili[[#This Row],[Archmages]])/TblConstr[[#This Row],[Land]]</f>
        <v>3.5714285714285712E-2</v>
      </c>
      <c r="DF97" s="269">
        <f ca="1">TblMili[[#This Row],[Raw (2)]]*(1+race_wizard_strength+IF(TblMili[[#This Row],[Hour]]&gt;72,tech_magical_weaponry_wiz*TblTech[[#This Row],[3-5]],0))</f>
        <v>3.5714285714285712E-2</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4912</v>
      </c>
      <c r="C98" s="160">
        <f ca="1">TblPop[[#This Row],[Military%]]</f>
        <v>0.37962748280392611</v>
      </c>
      <c r="D98" s="145"/>
      <c r="E98" s="45">
        <f ca="1">OFFSET(TblMili[[#This Row],[Unit 1]],-1,0) + OFFSET(TblMili[[#This Row],[Train Unit 1]],-9,0) - TblMili[[#This Row],[Release Unit 1]]</f>
        <v>0</v>
      </c>
      <c r="F98" s="45">
        <f ca="1">OFFSET(TblMili[[#This Row],[Unit 2]],-1,0) + OFFSET(TblMili[[#This Row],[Train Unit 2]],-9,0)-TblMili[[#This Row],[Release Unit 2]]</f>
        <v>1246</v>
      </c>
      <c r="G98" s="45">
        <f ca="1">OFFSET(TblMili[[#This Row],[Unit 3]],-1,0) + OFFSET(TblMili[[#This Row],[Train Unit 3]],-12,0)-TblMili[[#This Row],[Release Unit 3]]</f>
        <v>700</v>
      </c>
      <c r="H98" s="45">
        <f ca="1">OFFSET(TblMili[[#This Row],[Unit 4]],-1,0) + OFFSET(TblMili[[#This Row],[Train Unit 4]],-12,0)-TblMili[[#This Row],[Release Unit 4]]</f>
        <v>1228</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42359.8</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6140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6293.4999999999991</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8" s="262">
        <f ca="1">TblMili[[#This Row],[Non Draft]]+TblMili[[#This Row],[Draftees]]</f>
        <v>12260</v>
      </c>
      <c r="U98" s="263">
        <f ca="1">race_defense + TblImps[[#This Row],[Walls]] + ROUND( MIN(gt_bonus*TblConstr[[#This Row],[Tot GT]]/TblConstr[[#This Row],[Land]],gt_bonus_cap), 4) + IF(TblMagic[[#This Row],[Active Howling]]&gt;0,howling_dp_bonus,IF(TblMagic[[#This Row],[Active Ares Call]]&gt;0,ares_call_bonus))</f>
        <v>0.23750000000000002</v>
      </c>
      <c r="V98" s="264">
        <f ca="1">TblMili[[#This Row],[Non Draft]] * (1 + TblMili[[#This Row],[Mods_Def]])</f>
        <v>13082.85</v>
      </c>
      <c r="W98" s="262">
        <f ca="1">TblMili[[#This Row],[Draft]] * (1 + TblMili[[#This Row],[Mods_Def]])</f>
        <v>15171.75</v>
      </c>
      <c r="X98" s="262">
        <f ca="1">TblConstr[[#This Row],[Land]]</f>
        <v>700</v>
      </c>
      <c r="Y98" s="265"/>
      <c r="Z98" s="270">
        <f ca="1">IF(TblMili[[#This Row],[Set]]&lt;&gt;"",TblMili[[#This Row],[Set]],OFFSET(TblMili[[#This Row],[Draftrate]],-1,0))</f>
        <v>0.9</v>
      </c>
      <c r="AA98" s="97">
        <f ca="1">OFFSET(TblMili[[#This Row],[Draftees]],-1,0)+OFFSET(TblPop[[#This Row],[Draft Growth]],-1,0) - SUM(TblMili[[#This Row],[Train Unit 1]:[Train Spies]],TblMili[[#This Row],[Train Wiz]]) - TblMili[[#This Row],[Release Draft]] + SUM(TblMili[[#This Row],[Release Unit 1]:[Release AM]]) - TblExplore[[#This Row],[Draftees (2)]]</f>
        <v>1688</v>
      </c>
      <c r="AB98" s="157"/>
      <c r="AC98" s="183">
        <f ca="1">(TblConstr[[#This Row],[Tot Smi]]+TblConstr[[#This Row],[Dest Smi]])/(TblConstr[[#This Row],[Land]]-TblExplore[[#This Row],[Land Bonus]]*20)</f>
        <v>0.18</v>
      </c>
      <c r="AD98" s="140"/>
      <c r="AE98" s="261">
        <f>TblMili[[#This Row],[Hour]]</f>
        <v>95</v>
      </c>
      <c r="AF98" s="141">
        <f ca="1">TblExplore[[#This Row],[Time]]</f>
        <v>45433.666666666439</v>
      </c>
      <c r="AG98" s="182"/>
      <c r="AH98" s="182"/>
      <c r="AI98" s="182"/>
      <c r="AJ98" s="182"/>
      <c r="AK98" s="182"/>
      <c r="AL98" s="182"/>
      <c r="AM98" s="182"/>
      <c r="AN98" s="182"/>
      <c r="AO98" s="145"/>
      <c r="AP98" s="97">
        <f ca="1">TblProd[[#This Row],[Platinum]]</f>
        <v>942302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45433.666666666439</v>
      </c>
      <c r="AV98" s="97">
        <f ca="1">TblMili[[#This Row],[Draftees]]</f>
        <v>1688</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192</v>
      </c>
      <c r="BJ98" s="97">
        <f ca="1">ROUNDUP(IF(race="Gnome",1,(1-MIN(TblMili[[#This Row],[Smithies]]*smithy_bonus,smithy_bonus_cap) + tech_3_5*TblTech[[#This Row],[3-5]] + tech_5_3*TblTech[[#This Row],[5-3]] + tech_5_5*TblTech[[#This Row],[5-5]]))*spec_op_ore,0)</f>
        <v>0</v>
      </c>
      <c r="BK98" s="97">
        <f ca="1">ROUNDUP((1-MIN(TblMili[[#This Row],[Smithies]]*smithy_bonus,smithy_bonus_cap) + tech_3_5*TblTech[[#This Row],[3-5]] + tech_5_3*TblTech[[#This Row],[5-3]] + tech_5_5*TblTech[[#This Row],[5-5]])*spec_dp_plat,0)</f>
        <v>192</v>
      </c>
      <c r="BL98" s="97">
        <f ca="1">ROUNDUP(IF(race="Gnome",1,(1-MIN(TblMili[[#This Row],[Smithies]]*smithy_bonus,smithy_bonus_cap) + tech_3_5*TblTech[[#This Row],[3-5]] + tech_5_3*TblTech[[#This Row],[5-3]] + tech_5_5*TblTech[[#This Row],[5-5]]))*spec_dp_ore,0)</f>
        <v>0</v>
      </c>
      <c r="BM98" s="97">
        <f ca="1">ROUNDUP((1-MIN(TblMili[[#This Row],[Smithies]]*smithy_bonus,smithy_bonus_cap) + tech_3_5*TblTech[[#This Row],[3-5]] + tech_5_3*TblTech[[#This Row],[5-3]] + tech_5_5*TblTech[[#This Row],[5-5]])*elite1_plat,0)</f>
        <v>592</v>
      </c>
      <c r="BN98" s="97">
        <f ca="1">ROUNDUP(IF(race="Gnome",1,(1-MIN(TblMili[[#This Row],[Smithies]]*smithy_bonus,smithy_bonus_cap) + tech_3_5*TblTech[[#This Row],[3-5]] + tech_5_3*TblTech[[#This Row],[5-3]] + tech_5_5*TblTech[[#This Row],[5-5]]))*elite1_ore,0)</f>
        <v>0</v>
      </c>
      <c r="BO98" s="97">
        <f ca="1">ROUNDUP((1-MIN(TblMili[[#This Row],[Smithies]]*smithy_bonus,smithy_bonus_cap) + tech_3_5*TblTech[[#This Row],[3-5]] + tech_5_3*TblTech[[#This Row],[5-3]] + tech_5_5*TblTech[[#This Row],[5-5]])*elite2_plat,0)</f>
        <v>608</v>
      </c>
      <c r="BP98" s="97">
        <f ca="1">ROUNDUP(IF(race="Gnome",1,(1-MIN(TblMili[[#This Row],[Smithies]]*smithy_bonus,smithy_bonus_cap) + tech_3_5*TblTech[[#This Row],[3-5]] + tech_5_3*TblTech[[#This Row],[5-3]] + tech_5_5*TblTech[[#This Row],[5-5]]))*elite2_ore,0)</f>
        <v>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5.7142857142857141E-2</v>
      </c>
      <c r="BW98" s="160">
        <f ca="1">TblMili[[#This Row],[WG''s]]</f>
        <v>0</v>
      </c>
      <c r="BX98" s="266">
        <f ca="1">IF(mystic_cap="none",TblMili[[#This Row],[Hill]]/mystic_bonus,MIN(mystic_cap,TblMili[[#This Row],[Hill]]/mystic_bonus))</f>
        <v>0.2857142857142857</v>
      </c>
      <c r="BY98" s="266">
        <f ca="1">IF(druid_op_cap="none",TblMili[[#This Row],[Hill]]/druid_op_bonus,MIN(druid_op_cap,TblMili[[#This Row],[Hill]]/druid_op_bonus))</f>
        <v>0.2857142857142857</v>
      </c>
      <c r="BZ98" s="266">
        <f ca="1">IF(druid_dp_cap="none",TblMili[[#This Row],[Hill]]/druid_dp_bonus,MIN(druid_dp_cap,TblMili[[#This Row],[Hill]]/druid_dp_bonus))</f>
        <v>0.2857142857142857</v>
      </c>
      <c r="CA98" s="266">
        <f ca="1">MIN(dryad_cap,TblMili[[#This Row],[Hill]]/dryad_bonus)</f>
        <v>0.2857142857142857</v>
      </c>
      <c r="CB98" s="266">
        <f ca="1">MIN(rocka_cap,TblMili[[#This Row],[Hill]]/rocka_bonus)</f>
        <v>0.2857142857142857</v>
      </c>
      <c r="CC98" s="266">
        <f ca="1">MIN(adept_op_cap,TblMili[[#This Row],[WG]]/adept_op_bonus)</f>
        <v>0</v>
      </c>
      <c r="CD98" s="266">
        <f ca="1">MIN(adept_dp_cap,TblMili[[#This Row],[WG]]/adept_dp_bonus)</f>
        <v>0</v>
      </c>
      <c r="CE98" s="97">
        <f ca="1">MIN(TblMili[[#This Row],[Unit 3]],TblMili[[#This Row],[Unit 2]])*2</f>
        <v>1400</v>
      </c>
      <c r="CF98" s="97">
        <f ca="1">MIN(TblMili[[#This Row],[Unit 1]],TblMili[[#This Row],[Unit 4]])*2</f>
        <v>0</v>
      </c>
      <c r="CG98" s="266">
        <f ca="1">MIN(frost_mage_cap,TblMili[[#This Row],[Hill]]/frost_mage_bonus)</f>
        <v>0.2857142857142857</v>
      </c>
      <c r="CH98" s="45">
        <f ca="1">MIN(ice_elem_cap,TblMili[[#This Row],[Raw (2)]]*ice_elem_bonus)</f>
        <v>3.5714285714285712E-2</v>
      </c>
      <c r="CI98" s="266">
        <f t="shared" si="3"/>
        <v>0.83333333333333337</v>
      </c>
      <c r="CJ98" s="266">
        <f ca="1">MIN(nox_nightshade_cap,TblConstr[[#This Row],[Homeland]]/TblConstr[[#This Row],[Land]]/nox_nightshade_swamp_bonus)</f>
        <v>0.5714285714285714</v>
      </c>
      <c r="CK98" s="267"/>
      <c r="CL98" s="267"/>
      <c r="CM98" s="267"/>
      <c r="CN98" s="266">
        <f ca="1">MIN(6,TblMili[[#This Row],[Mystic]]+Races!$F$19)*1.8 +  IF(TblMili[[#This Row],[Mystic]]+Races!$F$19&gt;6,(TblMili[[#This Row],[Mystic]]+Races!$F$19-6)*0.2,0) - Races!$I$19</f>
        <v>0.51428571428571423</v>
      </c>
      <c r="CO9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8" s="97">
        <f ca="1">TblMili[[#This Row],[Mystic bonus]]*TblMili[[#This Row],[Unit 3]]+TblMili[[#This Row],[Druid bonus]]*TblMili[[#This Row],[Unit 4]]</f>
        <v>1149.4285714285706</v>
      </c>
      <c r="CQ98" s="158">
        <f ca="1">MIN(6,TblMili[[#This Row],[Dryad]]+Races!$F$35)*1.8 +  IF(TblMili[[#This Row],[Dryad]]+Races!$F$35&gt;6,(TblMili[[#This Row],[Dryad]]+Races!$F$35-6)*0.2,0) - Races!$I$19</f>
        <v>-1.2857142857142856</v>
      </c>
      <c r="CR98" s="97">
        <f ca="1">sylvan*(TblMili[[#This Row],[Mystic bonus]]*TblMili[[#This Row],[Unit 3]])</f>
        <v>0</v>
      </c>
      <c r="CS98" s="158">
        <f ca="1">1.8 * MIN(MAX(Races!$E$27,TblMili[[#This Row],[Rockapult]]+Races!$F$27),6)  +  0.45 * MIN(MIN(Races!$E$27,TblMili[[#This Row],[Rockapult]]+Races!$F$27),6)  +  0.2 * ( MAX(Races!$E$27-6,0) + MAX(TblMili[[#This Row],[Rockapult]]+Races!$F$27-6,0) )  -  Races!$I$20</f>
        <v>2.7642857142857133</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0.51428571428571423</v>
      </c>
      <c r="CX98" s="158">
        <f ca="1">1.8 * MIN(MAX(TblMili[[#This Row],[Ice Elemental]]+Races!$E$71,Races!$F$71),6)  +  0.45 * MIN(MIN(TblMili[[#This Row],[Ice Elemental]]+Races!$E$71,Races!$F$71),6)  +  0.2 * ( MAX(TblMili[[#This Row],[Ice Elemental]]+Races!$E$71-6,0) + MAX(Races!$F$71-6,0) )  -  Races!$I$71</f>
        <v>6.4285714285714946E-2</v>
      </c>
      <c r="CY98" s="97">
        <f ca="1">TblMili[[#This Row],[Frost Mage bonus]]*TblMili[[#This Row],[Unit 3]]+TblMili[[#This Row],[Ice Elemental bonus]]*TblMili[[#This Row],[Unit 4]]</f>
        <v>438.94285714285786</v>
      </c>
      <c r="CZ98" s="268"/>
      <c r="DA98" s="146">
        <f ca="1">MIN(SUM(TblConstr[[#This Row],[Plain]:[Water]])/TblMili[[#This Row],[Land]]/favorable_terrain_bonus/100,favorable_terrain_max)</f>
        <v>0</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8" s="145"/>
      <c r="DE98" s="269">
        <f ca="1">(TblMili[[#This Row],[Wizards]]+2*TblMili[[#This Row],[Archmages]])/TblConstr[[#This Row],[Land]]</f>
        <v>3.5714285714285712E-2</v>
      </c>
      <c r="DF98" s="269">
        <f ca="1">TblMili[[#This Row],[Raw (2)]]*(1+race_wizard_strength+IF(TblMili[[#This Row],[Hour]]&gt;72,tech_magical_weaponry_wiz*TblTech[[#This Row],[3-5]],0))</f>
        <v>3.5714285714285712E-2</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4992</v>
      </c>
      <c r="C99" s="160">
        <f ca="1">TblPop[[#This Row],[Military%]]</f>
        <v>0.38581034083004867</v>
      </c>
      <c r="D99" s="145"/>
      <c r="E99" s="45">
        <f ca="1">OFFSET(TblMili[[#This Row],[Unit 1]],-1,0) + OFFSET(TblMili[[#This Row],[Train Unit 1]],-9,0) - TblMili[[#This Row],[Release Unit 1]]</f>
        <v>0</v>
      </c>
      <c r="F99" s="45">
        <f ca="1">OFFSET(TblMili[[#This Row],[Unit 2]],-1,0) + OFFSET(TblMili[[#This Row],[Train Unit 2]],-9,0)-TblMili[[#This Row],[Release Unit 2]]</f>
        <v>1246</v>
      </c>
      <c r="G99" s="45">
        <f ca="1">OFFSET(TblMili[[#This Row],[Unit 3]],-1,0) + OFFSET(TblMili[[#This Row],[Train Unit 3]],-12,0)-TblMili[[#This Row],[Release Unit 3]]</f>
        <v>700</v>
      </c>
      <c r="H99" s="45">
        <f ca="1">OFFSET(TblMili[[#This Row],[Unit 4]],-1,0) + OFFSET(TblMili[[#This Row],[Train Unit 4]],-12,0)-TblMili[[#This Row],[Release Unit 4]]</f>
        <v>1228</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42359.8</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6140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6293.4999999999991</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99" s="262">
        <f ca="1">TblMili[[#This Row],[Non Draft]]+TblMili[[#This Row],[Draftees]]</f>
        <v>12340</v>
      </c>
      <c r="U99" s="263">
        <f ca="1">race_defense + TblImps[[#This Row],[Walls]] + ROUND( MIN(gt_bonus*TblConstr[[#This Row],[Tot GT]]/TblConstr[[#This Row],[Land]],gt_bonus_cap), 4) + IF(TblMagic[[#This Row],[Active Howling]]&gt;0,howling_dp_bonus,IF(TblMagic[[#This Row],[Active Ares Call]]&gt;0,ares_call_bonus))</f>
        <v>0.23750000000000002</v>
      </c>
      <c r="V99" s="264">
        <f ca="1">TblMili[[#This Row],[Non Draft]] * (1 + TblMili[[#This Row],[Mods_Def]])</f>
        <v>13082.85</v>
      </c>
      <c r="W99" s="262">
        <f ca="1">TblMili[[#This Row],[Draft]] * (1 + TblMili[[#This Row],[Mods_Def]])</f>
        <v>15270.75</v>
      </c>
      <c r="X99" s="262">
        <f ca="1">TblConstr[[#This Row],[Land]]</f>
        <v>700</v>
      </c>
      <c r="Y99" s="265"/>
      <c r="Z99" s="270">
        <f ca="1">IF(TblMili[[#This Row],[Set]]&lt;&gt;"",TblMili[[#This Row],[Set]],OFFSET(TblMili[[#This Row],[Draftrate]],-1,0))</f>
        <v>0.9</v>
      </c>
      <c r="AA99" s="97">
        <f ca="1">OFFSET(TblMili[[#This Row],[Draftees]],-1,0)+OFFSET(TblPop[[#This Row],[Draft Growth]],-1,0) - SUM(TblMili[[#This Row],[Train Unit 1]:[Train Spies]],TblMili[[#This Row],[Train Wiz]]) - TblMili[[#This Row],[Release Draft]] + SUM(TblMili[[#This Row],[Release Unit 1]:[Release AM]]) - TblExplore[[#This Row],[Draftees (2)]]</f>
        <v>1768</v>
      </c>
      <c r="AB99" s="157"/>
      <c r="AC99" s="183">
        <f ca="1">(TblConstr[[#This Row],[Tot Smi]]+TblConstr[[#This Row],[Dest Smi]])/(TblConstr[[#This Row],[Land]]-TblExplore[[#This Row],[Land Bonus]]*20)</f>
        <v>0.18</v>
      </c>
      <c r="AD99" s="140"/>
      <c r="AE99" s="261">
        <f>TblMili[[#This Row],[Hour]]</f>
        <v>96</v>
      </c>
      <c r="AF99" s="141">
        <f ca="1">TblExplore[[#This Row],[Time]]</f>
        <v>45433.708333333103</v>
      </c>
      <c r="AG99" s="182"/>
      <c r="AH99" s="182"/>
      <c r="AI99" s="182"/>
      <c r="AJ99" s="182"/>
      <c r="AK99" s="182"/>
      <c r="AL99" s="182"/>
      <c r="AM99" s="182"/>
      <c r="AN99" s="182"/>
      <c r="AO99" s="145"/>
      <c r="AP99" s="97">
        <f ca="1">TblProd[[#This Row],[Platinum]]</f>
        <v>983687</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45433.708333333103</v>
      </c>
      <c r="AV99" s="97">
        <f ca="1">TblMili[[#This Row],[Draftees]]</f>
        <v>1768</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192</v>
      </c>
      <c r="BJ99" s="97">
        <f ca="1">ROUNDUP(IF(race="Gnome",1,(1-MIN(TblMili[[#This Row],[Smithies]]*smithy_bonus,smithy_bonus_cap) + tech_3_5*TblTech[[#This Row],[3-5]] + tech_5_3*TblTech[[#This Row],[5-3]] + tech_5_5*TblTech[[#This Row],[5-5]]))*spec_op_ore,0)</f>
        <v>0</v>
      </c>
      <c r="BK99" s="97">
        <f ca="1">ROUNDUP((1-MIN(TblMili[[#This Row],[Smithies]]*smithy_bonus,smithy_bonus_cap) + tech_3_5*TblTech[[#This Row],[3-5]] + tech_5_3*TblTech[[#This Row],[5-3]] + tech_5_5*TblTech[[#This Row],[5-5]])*spec_dp_plat,0)</f>
        <v>192</v>
      </c>
      <c r="BL99" s="97">
        <f ca="1">ROUNDUP(IF(race="Gnome",1,(1-MIN(TblMili[[#This Row],[Smithies]]*smithy_bonus,smithy_bonus_cap) + tech_3_5*TblTech[[#This Row],[3-5]] + tech_5_3*TblTech[[#This Row],[5-3]] + tech_5_5*TblTech[[#This Row],[5-5]]))*spec_dp_ore,0)</f>
        <v>0</v>
      </c>
      <c r="BM99" s="97">
        <f ca="1">ROUNDUP((1-MIN(TblMili[[#This Row],[Smithies]]*smithy_bonus,smithy_bonus_cap) + tech_3_5*TblTech[[#This Row],[3-5]] + tech_5_3*TblTech[[#This Row],[5-3]] + tech_5_5*TblTech[[#This Row],[5-5]])*elite1_plat,0)</f>
        <v>592</v>
      </c>
      <c r="BN99" s="97">
        <f ca="1">ROUNDUP(IF(race="Gnome",1,(1-MIN(TblMili[[#This Row],[Smithies]]*smithy_bonus,smithy_bonus_cap) + tech_3_5*TblTech[[#This Row],[3-5]] + tech_5_3*TblTech[[#This Row],[5-3]] + tech_5_5*TblTech[[#This Row],[5-5]]))*elite1_ore,0)</f>
        <v>0</v>
      </c>
      <c r="BO99" s="97">
        <f ca="1">ROUNDUP((1-MIN(TblMili[[#This Row],[Smithies]]*smithy_bonus,smithy_bonus_cap) + tech_3_5*TblTech[[#This Row],[3-5]] + tech_5_3*TblTech[[#This Row],[5-3]] + tech_5_5*TblTech[[#This Row],[5-5]])*elite2_plat,0)</f>
        <v>608</v>
      </c>
      <c r="BP99" s="97">
        <f ca="1">ROUNDUP(IF(race="Gnome",1,(1-MIN(TblMili[[#This Row],[Smithies]]*smithy_bonus,smithy_bonus_cap) + tech_3_5*TblTech[[#This Row],[3-5]] + tech_5_3*TblTech[[#This Row],[5-3]] + tech_5_5*TblTech[[#This Row],[5-5]]))*elite2_ore,0)</f>
        <v>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5.7142857142857141E-2</v>
      </c>
      <c r="BW99" s="160">
        <f ca="1">TblMili[[#This Row],[WG''s]]</f>
        <v>0</v>
      </c>
      <c r="BX99" s="266">
        <f ca="1">IF(mystic_cap="none",TblMili[[#This Row],[Hill]]/mystic_bonus,MIN(mystic_cap,TblMili[[#This Row],[Hill]]/mystic_bonus))</f>
        <v>0.2857142857142857</v>
      </c>
      <c r="BY99" s="266">
        <f ca="1">IF(druid_op_cap="none",TblMili[[#This Row],[Hill]]/druid_op_bonus,MIN(druid_op_cap,TblMili[[#This Row],[Hill]]/druid_op_bonus))</f>
        <v>0.2857142857142857</v>
      </c>
      <c r="BZ99" s="266">
        <f ca="1">IF(druid_dp_cap="none",TblMili[[#This Row],[Hill]]/druid_dp_bonus,MIN(druid_dp_cap,TblMili[[#This Row],[Hill]]/druid_dp_bonus))</f>
        <v>0.2857142857142857</v>
      </c>
      <c r="CA99" s="266">
        <f ca="1">MIN(dryad_cap,TblMili[[#This Row],[Hill]]/dryad_bonus)</f>
        <v>0.2857142857142857</v>
      </c>
      <c r="CB99" s="266">
        <f ca="1">MIN(rocka_cap,TblMili[[#This Row],[Hill]]/rocka_bonus)</f>
        <v>0.2857142857142857</v>
      </c>
      <c r="CC99" s="266">
        <f ca="1">MIN(adept_op_cap,TblMili[[#This Row],[WG]]/adept_op_bonus)</f>
        <v>0</v>
      </c>
      <c r="CD99" s="266">
        <f ca="1">MIN(adept_dp_cap,TblMili[[#This Row],[WG]]/adept_dp_bonus)</f>
        <v>0</v>
      </c>
      <c r="CE99" s="97">
        <f ca="1">MIN(TblMili[[#This Row],[Unit 3]],TblMili[[#This Row],[Unit 2]])*2</f>
        <v>1400</v>
      </c>
      <c r="CF99" s="97">
        <f ca="1">MIN(TblMili[[#This Row],[Unit 1]],TblMili[[#This Row],[Unit 4]])*2</f>
        <v>0</v>
      </c>
      <c r="CG99" s="266">
        <f ca="1">MIN(frost_mage_cap,TblMili[[#This Row],[Hill]]/frost_mage_bonus)</f>
        <v>0.2857142857142857</v>
      </c>
      <c r="CH99" s="45">
        <f ca="1">MIN(ice_elem_cap,TblMili[[#This Row],[Raw (2)]]*ice_elem_bonus)</f>
        <v>3.5714285714285712E-2</v>
      </c>
      <c r="CI99" s="266">
        <f t="shared" si="3"/>
        <v>0.83333333333333337</v>
      </c>
      <c r="CJ99" s="266">
        <f ca="1">MIN(nox_nightshade_cap,TblConstr[[#This Row],[Homeland]]/TblConstr[[#This Row],[Land]]/nox_nightshade_swamp_bonus)</f>
        <v>0.5714285714285714</v>
      </c>
      <c r="CK99" s="267"/>
      <c r="CL99" s="267"/>
      <c r="CM99" s="267"/>
      <c r="CN99" s="266">
        <f ca="1">MIN(6,TblMili[[#This Row],[Mystic]]+Races!$F$19)*1.8 +  IF(TblMili[[#This Row],[Mystic]]+Races!$F$19&gt;6,(TblMili[[#This Row],[Mystic]]+Races!$F$19-6)*0.2,0) - Races!$I$19</f>
        <v>0.51428571428571423</v>
      </c>
      <c r="CO9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99" s="97">
        <f ca="1">TblMili[[#This Row],[Mystic bonus]]*TblMili[[#This Row],[Unit 3]]+TblMili[[#This Row],[Druid bonus]]*TblMili[[#This Row],[Unit 4]]</f>
        <v>1149.4285714285706</v>
      </c>
      <c r="CQ99" s="158">
        <f ca="1">MIN(6,TblMili[[#This Row],[Dryad]]+Races!$F$35)*1.8 +  IF(TblMili[[#This Row],[Dryad]]+Races!$F$35&gt;6,(TblMili[[#This Row],[Dryad]]+Races!$F$35-6)*0.2,0) - Races!$I$19</f>
        <v>-1.2857142857142856</v>
      </c>
      <c r="CR99" s="97">
        <f ca="1">sylvan*(TblMili[[#This Row],[Mystic bonus]]*TblMili[[#This Row],[Unit 3]])</f>
        <v>0</v>
      </c>
      <c r="CS99" s="158">
        <f ca="1">1.8 * MIN(MAX(Races!$E$27,TblMili[[#This Row],[Rockapult]]+Races!$F$27),6)  +  0.45 * MIN(MIN(Races!$E$27,TblMili[[#This Row],[Rockapult]]+Races!$F$27),6)  +  0.2 * ( MAX(Races!$E$27-6,0) + MAX(TblMili[[#This Row],[Rockapult]]+Races!$F$27-6,0) )  -  Races!$I$20</f>
        <v>2.7642857142857133</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0.51428571428571423</v>
      </c>
      <c r="CX99" s="158">
        <f ca="1">1.8 * MIN(MAX(TblMili[[#This Row],[Ice Elemental]]+Races!$E$71,Races!$F$71),6)  +  0.45 * MIN(MIN(TblMili[[#This Row],[Ice Elemental]]+Races!$E$71,Races!$F$71),6)  +  0.2 * ( MAX(TblMili[[#This Row],[Ice Elemental]]+Races!$E$71-6,0) + MAX(Races!$F$71-6,0) )  -  Races!$I$71</f>
        <v>6.4285714285714946E-2</v>
      </c>
      <c r="CY99" s="97">
        <f ca="1">TblMili[[#This Row],[Frost Mage bonus]]*TblMili[[#This Row],[Unit 3]]+TblMili[[#This Row],[Ice Elemental bonus]]*TblMili[[#This Row],[Unit 4]]</f>
        <v>438.94285714285786</v>
      </c>
      <c r="CZ99" s="268"/>
      <c r="DA99" s="146">
        <f ca="1">MIN(SUM(TblConstr[[#This Row],[Plain]:[Water]])/TblMili[[#This Row],[Land]]/favorable_terrain_bonus/100,favorable_terrain_max)</f>
        <v>0</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99" s="145"/>
      <c r="DE99" s="269">
        <f ca="1">(TblMili[[#This Row],[Wizards]]+2*TblMili[[#This Row],[Archmages]])/TblConstr[[#This Row],[Land]]</f>
        <v>3.5714285714285712E-2</v>
      </c>
      <c r="DF99" s="269">
        <f ca="1">TblMili[[#This Row],[Raw (2)]]*(1+race_wizard_strength+IF(TblMili[[#This Row],[Hour]]&gt;72,tech_magical_weaponry_wiz*TblTech[[#This Row],[3-5]],0))</f>
        <v>3.5714285714285712E-2</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5071</v>
      </c>
      <c r="C100" s="160">
        <f ca="1">TblPop[[#This Row],[Military%]]</f>
        <v>0.39191591313084473</v>
      </c>
      <c r="D100" s="145"/>
      <c r="E100" s="45">
        <f ca="1">OFFSET(TblMili[[#This Row],[Unit 1]],-1,0) + OFFSET(TblMili[[#This Row],[Train Unit 1]],-9,0) - TblMili[[#This Row],[Release Unit 1]]</f>
        <v>0</v>
      </c>
      <c r="F100" s="45">
        <f ca="1">OFFSET(TblMili[[#This Row],[Unit 2]],-1,0) + OFFSET(TblMili[[#This Row],[Train Unit 2]],-9,0)-TblMili[[#This Row],[Release Unit 2]]</f>
        <v>1246</v>
      </c>
      <c r="G100" s="45">
        <f ca="1">OFFSET(TblMili[[#This Row],[Unit 3]],-1,0) + OFFSET(TblMili[[#This Row],[Train Unit 3]],-12,0)-TblMili[[#This Row],[Release Unit 3]]</f>
        <v>700</v>
      </c>
      <c r="H100" s="45">
        <f ca="1">OFFSET(TblMili[[#This Row],[Unit 4]],-1,0) + OFFSET(TblMili[[#This Row],[Train Unit 4]],-12,0)-TblMili[[#This Row],[Release Unit 4]]</f>
        <v>1228</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42359.8</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6140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6293.4999999999991</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0" s="262">
        <f ca="1">TblMili[[#This Row],[Non Draft]]+TblMili[[#This Row],[Draftees]]</f>
        <v>12419</v>
      </c>
      <c r="U100" s="263">
        <f ca="1">race_defense + TblImps[[#This Row],[Walls]] + ROUND( MIN(gt_bonus*TblConstr[[#This Row],[Tot GT]]/TblConstr[[#This Row],[Land]],gt_bonus_cap), 4) + IF(TblMagic[[#This Row],[Active Howling]]&gt;0,howling_dp_bonus,IF(TblMagic[[#This Row],[Active Ares Call]]&gt;0,ares_call_bonus))</f>
        <v>0.23750000000000002</v>
      </c>
      <c r="V100" s="264">
        <f ca="1">TblMili[[#This Row],[Non Draft]] * (1 + TblMili[[#This Row],[Mods_Def]])</f>
        <v>13082.85</v>
      </c>
      <c r="W100" s="262">
        <f ca="1">TblMili[[#This Row],[Draft]] * (1 + TblMili[[#This Row],[Mods_Def]])</f>
        <v>15368.512500000001</v>
      </c>
      <c r="X100" s="262">
        <f ca="1">TblConstr[[#This Row],[Land]]</f>
        <v>700</v>
      </c>
      <c r="Y100" s="265"/>
      <c r="Z100" s="270">
        <f ca="1">IF(TblMili[[#This Row],[Set]]&lt;&gt;"",TblMili[[#This Row],[Set]],OFFSET(TblMili[[#This Row],[Draftrate]],-1,0))</f>
        <v>0.9</v>
      </c>
      <c r="AA100" s="97">
        <f ca="1">OFFSET(TblMili[[#This Row],[Draftees]],-1,0)+OFFSET(TblPop[[#This Row],[Draft Growth]],-1,0) - SUM(TblMili[[#This Row],[Train Unit 1]:[Train Spies]],TblMili[[#This Row],[Train Wiz]]) - TblMili[[#This Row],[Release Draft]] + SUM(TblMili[[#This Row],[Release Unit 1]:[Release AM]]) - TblExplore[[#This Row],[Draftees (2)]]</f>
        <v>1847</v>
      </c>
      <c r="AB100" s="157"/>
      <c r="AC100" s="183">
        <f ca="1">(TblConstr[[#This Row],[Tot Smi]]+TblConstr[[#This Row],[Dest Smi]])/(TblConstr[[#This Row],[Land]]-TblExplore[[#This Row],[Land Bonus]]*20)</f>
        <v>0.18</v>
      </c>
      <c r="AD100" s="140"/>
      <c r="AE100" s="261">
        <f>TblMili[[#This Row],[Hour]]</f>
        <v>97</v>
      </c>
      <c r="AF100" s="141">
        <f ca="1">TblExplore[[#This Row],[Time]]</f>
        <v>45433.749999999767</v>
      </c>
      <c r="AG100" s="182"/>
      <c r="AH100" s="182"/>
      <c r="AI100" s="182"/>
      <c r="AJ100" s="182"/>
      <c r="AK100" s="182"/>
      <c r="AL100" s="182"/>
      <c r="AM100" s="182"/>
      <c r="AN100" s="182"/>
      <c r="AO100" s="145"/>
      <c r="AP100" s="97">
        <f ca="1">TblProd[[#This Row],[Platinum]]</f>
        <v>1024834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45433.749999999767</v>
      </c>
      <c r="AV100" s="97">
        <f ca="1">TblMili[[#This Row],[Draftees]]</f>
        <v>1847</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192</v>
      </c>
      <c r="BJ100" s="97">
        <f ca="1">ROUNDUP(IF(race="Gnome",1,(1-MIN(TblMili[[#This Row],[Smithies]]*smithy_bonus,smithy_bonus_cap) + tech_3_5*TblTech[[#This Row],[3-5]] + tech_5_3*TblTech[[#This Row],[5-3]] + tech_5_5*TblTech[[#This Row],[5-5]]))*spec_op_ore,0)</f>
        <v>0</v>
      </c>
      <c r="BK100" s="97">
        <f ca="1">ROUNDUP((1-MIN(TblMili[[#This Row],[Smithies]]*smithy_bonus,smithy_bonus_cap) + tech_3_5*TblTech[[#This Row],[3-5]] + tech_5_3*TblTech[[#This Row],[5-3]] + tech_5_5*TblTech[[#This Row],[5-5]])*spec_dp_plat,0)</f>
        <v>192</v>
      </c>
      <c r="BL100" s="97">
        <f ca="1">ROUNDUP(IF(race="Gnome",1,(1-MIN(TblMili[[#This Row],[Smithies]]*smithy_bonus,smithy_bonus_cap) + tech_3_5*TblTech[[#This Row],[3-5]] + tech_5_3*TblTech[[#This Row],[5-3]] + tech_5_5*TblTech[[#This Row],[5-5]]))*spec_dp_ore,0)</f>
        <v>0</v>
      </c>
      <c r="BM100" s="97">
        <f ca="1">ROUNDUP((1-MIN(TblMili[[#This Row],[Smithies]]*smithy_bonus,smithy_bonus_cap) + tech_3_5*TblTech[[#This Row],[3-5]] + tech_5_3*TblTech[[#This Row],[5-3]] + tech_5_5*TblTech[[#This Row],[5-5]])*elite1_plat,0)</f>
        <v>592</v>
      </c>
      <c r="BN100" s="97">
        <f ca="1">ROUNDUP(IF(race="Gnome",1,(1-MIN(TblMili[[#This Row],[Smithies]]*smithy_bonus,smithy_bonus_cap) + tech_3_5*TblTech[[#This Row],[3-5]] + tech_5_3*TblTech[[#This Row],[5-3]] + tech_5_5*TblTech[[#This Row],[5-5]]))*elite1_ore,0)</f>
        <v>0</v>
      </c>
      <c r="BO100" s="97">
        <f ca="1">ROUNDUP((1-MIN(TblMili[[#This Row],[Smithies]]*smithy_bonus,smithy_bonus_cap) + tech_3_5*TblTech[[#This Row],[3-5]] + tech_5_3*TblTech[[#This Row],[5-3]] + tech_5_5*TblTech[[#This Row],[5-5]])*elite2_plat,0)</f>
        <v>608</v>
      </c>
      <c r="BP100" s="97">
        <f ca="1">ROUNDUP(IF(race="Gnome",1,(1-MIN(TblMili[[#This Row],[Smithies]]*smithy_bonus,smithy_bonus_cap) + tech_3_5*TblTech[[#This Row],[3-5]] + tech_5_3*TblTech[[#This Row],[5-3]] + tech_5_5*TblTech[[#This Row],[5-5]]))*elite2_ore,0)</f>
        <v>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5.7142857142857141E-2</v>
      </c>
      <c r="BW100" s="160">
        <f ca="1">TblMili[[#This Row],[WG''s]]</f>
        <v>0</v>
      </c>
      <c r="BX100" s="266">
        <f ca="1">IF(mystic_cap="none",TblMili[[#This Row],[Hill]]/mystic_bonus,MIN(mystic_cap,TblMili[[#This Row],[Hill]]/mystic_bonus))</f>
        <v>0.2857142857142857</v>
      </c>
      <c r="BY100" s="266">
        <f ca="1">IF(druid_op_cap="none",TblMili[[#This Row],[Hill]]/druid_op_bonus,MIN(druid_op_cap,TblMili[[#This Row],[Hill]]/druid_op_bonus))</f>
        <v>0.2857142857142857</v>
      </c>
      <c r="BZ100" s="266">
        <f ca="1">IF(druid_dp_cap="none",TblMili[[#This Row],[Hill]]/druid_dp_bonus,MIN(druid_dp_cap,TblMili[[#This Row],[Hill]]/druid_dp_bonus))</f>
        <v>0.2857142857142857</v>
      </c>
      <c r="CA100" s="266">
        <f ca="1">MIN(dryad_cap,TblMili[[#This Row],[Hill]]/dryad_bonus)</f>
        <v>0.2857142857142857</v>
      </c>
      <c r="CB100" s="266">
        <f ca="1">MIN(rocka_cap,TblMili[[#This Row],[Hill]]/rocka_bonus)</f>
        <v>0.2857142857142857</v>
      </c>
      <c r="CC100" s="266">
        <f ca="1">MIN(adept_op_cap,TblMili[[#This Row],[WG]]/adept_op_bonus)</f>
        <v>0</v>
      </c>
      <c r="CD100" s="266">
        <f ca="1">MIN(adept_dp_cap,TblMili[[#This Row],[WG]]/adept_dp_bonus)</f>
        <v>0</v>
      </c>
      <c r="CE100" s="97">
        <f ca="1">MIN(TblMili[[#This Row],[Unit 3]],TblMili[[#This Row],[Unit 2]])*2</f>
        <v>1400</v>
      </c>
      <c r="CF100" s="97">
        <f ca="1">MIN(TblMili[[#This Row],[Unit 1]],TblMili[[#This Row],[Unit 4]])*2</f>
        <v>0</v>
      </c>
      <c r="CG100" s="266">
        <f ca="1">MIN(frost_mage_cap,TblMili[[#This Row],[Hill]]/frost_mage_bonus)</f>
        <v>0.2857142857142857</v>
      </c>
      <c r="CH100" s="45">
        <f ca="1">MIN(ice_elem_cap,TblMili[[#This Row],[Raw (2)]]*ice_elem_bonus)</f>
        <v>3.5714285714285712E-2</v>
      </c>
      <c r="CI100" s="266">
        <f t="shared" ref="CI100:CI136" si="4">MIN(bone_breaker_cap,250/bone_breaker_bonus)</f>
        <v>0.83333333333333337</v>
      </c>
      <c r="CJ100" s="266">
        <f ca="1">MIN(nox_nightshade_cap,TblConstr[[#This Row],[Homeland]]/TblConstr[[#This Row],[Land]]/nox_nightshade_swamp_bonus)</f>
        <v>0.5714285714285714</v>
      </c>
      <c r="CK100" s="267"/>
      <c r="CL100" s="267"/>
      <c r="CM100" s="267"/>
      <c r="CN100" s="266">
        <f ca="1">MIN(6,TblMili[[#This Row],[Mystic]]+Races!$F$19)*1.8 +  IF(TblMili[[#This Row],[Mystic]]+Races!$F$19&gt;6,(TblMili[[#This Row],[Mystic]]+Races!$F$19-6)*0.2,0) - Races!$I$19</f>
        <v>0.51428571428571423</v>
      </c>
      <c r="CO10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0" s="97">
        <f ca="1">TblMili[[#This Row],[Mystic bonus]]*TblMili[[#This Row],[Unit 3]]+TblMili[[#This Row],[Druid bonus]]*TblMili[[#This Row],[Unit 4]]</f>
        <v>1149.4285714285706</v>
      </c>
      <c r="CQ100" s="158">
        <f ca="1">MIN(6,TblMili[[#This Row],[Dryad]]+Races!$F$35)*1.8 +  IF(TblMili[[#This Row],[Dryad]]+Races!$F$35&gt;6,(TblMili[[#This Row],[Dryad]]+Races!$F$35-6)*0.2,0) - Races!$I$19</f>
        <v>-1.2857142857142856</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2.7642857142857133</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0.51428571428571423</v>
      </c>
      <c r="CX100" s="158">
        <f ca="1">1.8 * MIN(MAX(TblMili[[#This Row],[Ice Elemental]]+Races!$E$71,Races!$F$71),6)  +  0.45 * MIN(MIN(TblMili[[#This Row],[Ice Elemental]]+Races!$E$71,Races!$F$71),6)  +  0.2 * ( MAX(TblMili[[#This Row],[Ice Elemental]]+Races!$E$71-6,0) + MAX(Races!$F$71-6,0) )  -  Races!$I$71</f>
        <v>6.4285714285714946E-2</v>
      </c>
      <c r="CY100" s="97">
        <f ca="1">TblMili[[#This Row],[Frost Mage bonus]]*TblMili[[#This Row],[Unit 3]]+TblMili[[#This Row],[Ice Elemental bonus]]*TblMili[[#This Row],[Unit 4]]</f>
        <v>438.94285714285786</v>
      </c>
      <c r="CZ100" s="268"/>
      <c r="DA100" s="146">
        <f ca="1">MIN(SUM(TblConstr[[#This Row],[Plain]:[Water]])/TblMili[[#This Row],[Land]]/favorable_terrain_bonus/100,favorable_terrain_max)</f>
        <v>0</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0" s="145"/>
      <c r="DE100" s="269">
        <f ca="1">(TblMili[[#This Row],[Wizards]]+2*TblMili[[#This Row],[Archmages]])/TblConstr[[#This Row],[Land]]</f>
        <v>3.5714285714285712E-2</v>
      </c>
      <c r="DF100" s="269">
        <f ca="1">TblMili[[#This Row],[Raw (2)]]*(1+race_wizard_strength+IF(TblMili[[#This Row],[Hour]]&gt;72,tech_magical_weaponry_wiz*TblTech[[#This Row],[3-5]],0))</f>
        <v>3.5714285714285712E-2</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5150</v>
      </c>
      <c r="C101" s="160">
        <f ca="1">TblPop[[#This Row],[Military%]]</f>
        <v>0.39802148543164079</v>
      </c>
      <c r="D101" s="145"/>
      <c r="E101" s="45">
        <f ca="1">OFFSET(TblMili[[#This Row],[Unit 1]],-1,0) + OFFSET(TblMili[[#This Row],[Train Unit 1]],-9,0) - TblMili[[#This Row],[Release Unit 1]]</f>
        <v>0</v>
      </c>
      <c r="F101" s="45">
        <f ca="1">OFFSET(TblMili[[#This Row],[Unit 2]],-1,0) + OFFSET(TblMili[[#This Row],[Train Unit 2]],-9,0)-TblMili[[#This Row],[Release Unit 2]]</f>
        <v>1246</v>
      </c>
      <c r="G101" s="45">
        <f ca="1">OFFSET(TblMili[[#This Row],[Unit 3]],-1,0) + OFFSET(TblMili[[#This Row],[Train Unit 3]],-12,0)-TblMili[[#This Row],[Release Unit 3]]</f>
        <v>700</v>
      </c>
      <c r="H101" s="45">
        <f ca="1">OFFSET(TblMili[[#This Row],[Unit 4]],-1,0) + OFFSET(TblMili[[#This Row],[Train Unit 4]],-12,0)-TblMili[[#This Row],[Release Unit 4]]</f>
        <v>1228</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42359.8</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6140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6293.4999999999991</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1" s="262">
        <f ca="1">TblMili[[#This Row],[Non Draft]]+TblMili[[#This Row],[Draftees]]</f>
        <v>12498</v>
      </c>
      <c r="U101" s="263">
        <f ca="1">race_defense + TblImps[[#This Row],[Walls]] + ROUND( MIN(gt_bonus*TblConstr[[#This Row],[Tot GT]]/TblConstr[[#This Row],[Land]],gt_bonus_cap), 4) + IF(TblMagic[[#This Row],[Active Howling]]&gt;0,howling_dp_bonus,IF(TblMagic[[#This Row],[Active Ares Call]]&gt;0,ares_call_bonus))</f>
        <v>0.23750000000000002</v>
      </c>
      <c r="V101" s="264">
        <f ca="1">TblMili[[#This Row],[Non Draft]] * (1 + TblMili[[#This Row],[Mods_Def]])</f>
        <v>13082.85</v>
      </c>
      <c r="W101" s="262">
        <f ca="1">TblMili[[#This Row],[Draft]] * (1 + TblMili[[#This Row],[Mods_Def]])</f>
        <v>15466.275000000001</v>
      </c>
      <c r="X101" s="262">
        <f ca="1">TblConstr[[#This Row],[Land]]</f>
        <v>700</v>
      </c>
      <c r="Y101" s="265"/>
      <c r="Z101" s="270">
        <f ca="1">IF(TblMili[[#This Row],[Set]]&lt;&gt;"",TblMili[[#This Row],[Set]],OFFSET(TblMili[[#This Row],[Draftrate]],-1,0))</f>
        <v>0.9</v>
      </c>
      <c r="AA101" s="97">
        <f ca="1">OFFSET(TblMili[[#This Row],[Draftees]],-1,0)+OFFSET(TblPop[[#This Row],[Draft Growth]],-1,0) - SUM(TblMili[[#This Row],[Train Unit 1]:[Train Spies]],TblMili[[#This Row],[Train Wiz]]) - TblMili[[#This Row],[Release Draft]] + SUM(TblMili[[#This Row],[Release Unit 1]:[Release AM]]) - TblExplore[[#This Row],[Draftees (2)]]</f>
        <v>1926</v>
      </c>
      <c r="AB101" s="157"/>
      <c r="AC101" s="183">
        <f ca="1">(TblConstr[[#This Row],[Tot Smi]]+TblConstr[[#This Row],[Dest Smi]])/(TblConstr[[#This Row],[Land]]-TblExplore[[#This Row],[Land Bonus]]*20)</f>
        <v>0.18</v>
      </c>
      <c r="AD101" s="140"/>
      <c r="AE101" s="261">
        <f>TblMili[[#This Row],[Hour]]</f>
        <v>98</v>
      </c>
      <c r="AF101" s="141">
        <f ca="1">TblExplore[[#This Row],[Time]]</f>
        <v>45433.791666666431</v>
      </c>
      <c r="AG101" s="182"/>
      <c r="AH101" s="182"/>
      <c r="AI101" s="182"/>
      <c r="AJ101" s="182"/>
      <c r="AK101" s="182"/>
      <c r="AL101" s="182"/>
      <c r="AM101" s="182"/>
      <c r="AN101" s="182"/>
      <c r="AO101" s="145"/>
      <c r="AP101" s="97">
        <f ca="1">TblProd[[#This Row],[Platinum]]</f>
        <v>1065746</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45433.791666666431</v>
      </c>
      <c r="AV101" s="97">
        <f ca="1">TblMili[[#This Row],[Draftees]]</f>
        <v>1926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192</v>
      </c>
      <c r="BJ101" s="97">
        <f ca="1">ROUNDUP(IF(race="Gnome",1,(1-MIN(TblMili[[#This Row],[Smithies]]*smithy_bonus,smithy_bonus_cap) + tech_3_5*TblTech[[#This Row],[3-5]] + tech_5_3*TblTech[[#This Row],[5-3]] + tech_5_5*TblTech[[#This Row],[5-5]]))*spec_op_ore,0)</f>
        <v>0</v>
      </c>
      <c r="BK101" s="97">
        <f ca="1">ROUNDUP((1-MIN(TblMili[[#This Row],[Smithies]]*smithy_bonus,smithy_bonus_cap) + tech_3_5*TblTech[[#This Row],[3-5]] + tech_5_3*TblTech[[#This Row],[5-3]] + tech_5_5*TblTech[[#This Row],[5-5]])*spec_dp_plat,0)</f>
        <v>192</v>
      </c>
      <c r="BL101" s="97">
        <f ca="1">ROUNDUP(IF(race="Gnome",1,(1-MIN(TblMili[[#This Row],[Smithies]]*smithy_bonus,smithy_bonus_cap) + tech_3_5*TblTech[[#This Row],[3-5]] + tech_5_3*TblTech[[#This Row],[5-3]] + tech_5_5*TblTech[[#This Row],[5-5]]))*spec_dp_ore,0)</f>
        <v>0</v>
      </c>
      <c r="BM101" s="97">
        <f ca="1">ROUNDUP((1-MIN(TblMili[[#This Row],[Smithies]]*smithy_bonus,smithy_bonus_cap) + tech_3_5*TblTech[[#This Row],[3-5]] + tech_5_3*TblTech[[#This Row],[5-3]] + tech_5_5*TblTech[[#This Row],[5-5]])*elite1_plat,0)</f>
        <v>592</v>
      </c>
      <c r="BN101" s="97">
        <f ca="1">ROUNDUP(IF(race="Gnome",1,(1-MIN(TblMili[[#This Row],[Smithies]]*smithy_bonus,smithy_bonus_cap) + tech_3_5*TblTech[[#This Row],[3-5]] + tech_5_3*TblTech[[#This Row],[5-3]] + tech_5_5*TblTech[[#This Row],[5-5]]))*elite1_ore,0)</f>
        <v>0</v>
      </c>
      <c r="BO101" s="97">
        <f ca="1">ROUNDUP((1-MIN(TblMili[[#This Row],[Smithies]]*smithy_bonus,smithy_bonus_cap) + tech_3_5*TblTech[[#This Row],[3-5]] + tech_5_3*TblTech[[#This Row],[5-3]] + tech_5_5*TblTech[[#This Row],[5-5]])*elite2_plat,0)</f>
        <v>608</v>
      </c>
      <c r="BP101" s="97">
        <f ca="1">ROUNDUP(IF(race="Gnome",1,(1-MIN(TblMili[[#This Row],[Smithies]]*smithy_bonus,smithy_bonus_cap) + tech_3_5*TblTech[[#This Row],[3-5]] + tech_5_3*TblTech[[#This Row],[5-3]] + tech_5_5*TblTech[[#This Row],[5-5]]))*elite2_ore,0)</f>
        <v>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5.7142857142857141E-2</v>
      </c>
      <c r="BW101" s="160">
        <f ca="1">TblMili[[#This Row],[WG''s]]</f>
        <v>0</v>
      </c>
      <c r="BX101" s="266">
        <f ca="1">IF(mystic_cap="none",TblMili[[#This Row],[Hill]]/mystic_bonus,MIN(mystic_cap,TblMili[[#This Row],[Hill]]/mystic_bonus))</f>
        <v>0.2857142857142857</v>
      </c>
      <c r="BY101" s="266">
        <f ca="1">IF(druid_op_cap="none",TblMili[[#This Row],[Hill]]/druid_op_bonus,MIN(druid_op_cap,TblMili[[#This Row],[Hill]]/druid_op_bonus))</f>
        <v>0.2857142857142857</v>
      </c>
      <c r="BZ101" s="266">
        <f ca="1">IF(druid_dp_cap="none",TblMili[[#This Row],[Hill]]/druid_dp_bonus,MIN(druid_dp_cap,TblMili[[#This Row],[Hill]]/druid_dp_bonus))</f>
        <v>0.2857142857142857</v>
      </c>
      <c r="CA101" s="266">
        <f ca="1">MIN(dryad_cap,TblMili[[#This Row],[Hill]]/dryad_bonus)</f>
        <v>0.2857142857142857</v>
      </c>
      <c r="CB101" s="266">
        <f ca="1">MIN(rocka_cap,TblMili[[#This Row],[Hill]]/rocka_bonus)</f>
        <v>0.2857142857142857</v>
      </c>
      <c r="CC101" s="266">
        <f ca="1">MIN(adept_op_cap,TblMili[[#This Row],[WG]]/adept_op_bonus)</f>
        <v>0</v>
      </c>
      <c r="CD101" s="266">
        <f ca="1">MIN(adept_dp_cap,TblMili[[#This Row],[WG]]/adept_dp_bonus)</f>
        <v>0</v>
      </c>
      <c r="CE101" s="97">
        <f ca="1">MIN(TblMili[[#This Row],[Unit 3]],TblMili[[#This Row],[Unit 2]])*2</f>
        <v>1400</v>
      </c>
      <c r="CF101" s="97">
        <f ca="1">MIN(TblMili[[#This Row],[Unit 1]],TblMili[[#This Row],[Unit 4]])*2</f>
        <v>0</v>
      </c>
      <c r="CG101" s="266">
        <f ca="1">MIN(frost_mage_cap,TblMili[[#This Row],[Hill]]/frost_mage_bonus)</f>
        <v>0.2857142857142857</v>
      </c>
      <c r="CH101" s="45">
        <f ca="1">MIN(ice_elem_cap,TblMili[[#This Row],[Raw (2)]]*ice_elem_bonus)</f>
        <v>3.5714285714285712E-2</v>
      </c>
      <c r="CI101" s="266">
        <f t="shared" si="4"/>
        <v>0.83333333333333337</v>
      </c>
      <c r="CJ101" s="266">
        <f ca="1">MIN(nox_nightshade_cap,TblConstr[[#This Row],[Homeland]]/TblConstr[[#This Row],[Land]]/nox_nightshade_swamp_bonus)</f>
        <v>0.5714285714285714</v>
      </c>
      <c r="CK101" s="267"/>
      <c r="CL101" s="267"/>
      <c r="CM101" s="267"/>
      <c r="CN101" s="266">
        <f ca="1">MIN(6,TblMili[[#This Row],[Mystic]]+Races!$F$19)*1.8 +  IF(TblMili[[#This Row],[Mystic]]+Races!$F$19&gt;6,(TblMili[[#This Row],[Mystic]]+Races!$F$19-6)*0.2,0) - Races!$I$19</f>
        <v>0.51428571428571423</v>
      </c>
      <c r="CO10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1" s="97">
        <f ca="1">TblMili[[#This Row],[Mystic bonus]]*TblMili[[#This Row],[Unit 3]]+TblMili[[#This Row],[Druid bonus]]*TblMili[[#This Row],[Unit 4]]</f>
        <v>1149.4285714285706</v>
      </c>
      <c r="CQ101" s="158">
        <f ca="1">MIN(6,TblMili[[#This Row],[Dryad]]+Races!$F$35)*1.8 +  IF(TblMili[[#This Row],[Dryad]]+Races!$F$35&gt;6,(TblMili[[#This Row],[Dryad]]+Races!$F$35-6)*0.2,0) - Races!$I$19</f>
        <v>-1.2857142857142856</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2.7642857142857133</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0.51428571428571423</v>
      </c>
      <c r="CX101" s="158">
        <f ca="1">1.8 * MIN(MAX(TblMili[[#This Row],[Ice Elemental]]+Races!$E$71,Races!$F$71),6)  +  0.45 * MIN(MIN(TblMili[[#This Row],[Ice Elemental]]+Races!$E$71,Races!$F$71),6)  +  0.2 * ( MAX(TblMili[[#This Row],[Ice Elemental]]+Races!$E$71-6,0) + MAX(Races!$F$71-6,0) )  -  Races!$I$71</f>
        <v>6.4285714285714946E-2</v>
      </c>
      <c r="CY101" s="97">
        <f ca="1">TblMili[[#This Row],[Frost Mage bonus]]*TblMili[[#This Row],[Unit 3]]+TblMili[[#This Row],[Ice Elemental bonus]]*TblMili[[#This Row],[Unit 4]]</f>
        <v>438.94285714285786</v>
      </c>
      <c r="CZ101" s="268"/>
      <c r="DA101" s="146">
        <f ca="1">MIN(SUM(TblConstr[[#This Row],[Plain]:[Water]])/TblMili[[#This Row],[Land]]/favorable_terrain_bonus/100,favorable_terrain_max)</f>
        <v>0</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1" s="145"/>
      <c r="DE101" s="269">
        <f ca="1">(TblMili[[#This Row],[Wizards]]+2*TblMili[[#This Row],[Archmages]])/TblConstr[[#This Row],[Land]]</f>
        <v>3.5714285714285712E-2</v>
      </c>
      <c r="DF101" s="269">
        <f ca="1">TblMili[[#This Row],[Raw (2)]]*(1+race_wizard_strength+IF(TblMili[[#This Row],[Hour]]&gt;72,tech_magical_weaponry_wiz*TblTech[[#This Row],[3-5]],0))</f>
        <v>3.5714285714285712E-2</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5228</v>
      </c>
      <c r="C102" s="160">
        <f ca="1">TblPop[[#This Row],[Military%]]</f>
        <v>0.40404977200711029</v>
      </c>
      <c r="D102" s="145"/>
      <c r="E102" s="45">
        <f ca="1">OFFSET(TblMili[[#This Row],[Unit 1]],-1,0) + OFFSET(TblMili[[#This Row],[Train Unit 1]],-9,0) - TblMili[[#This Row],[Release Unit 1]]</f>
        <v>0</v>
      </c>
      <c r="F102" s="45">
        <f ca="1">OFFSET(TblMili[[#This Row],[Unit 2]],-1,0) + OFFSET(TblMili[[#This Row],[Train Unit 2]],-9,0)-TblMili[[#This Row],[Release Unit 2]]</f>
        <v>1246</v>
      </c>
      <c r="G102" s="45">
        <f ca="1">OFFSET(TblMili[[#This Row],[Unit 3]],-1,0) + OFFSET(TblMili[[#This Row],[Train Unit 3]],-12,0)-TblMili[[#This Row],[Release Unit 3]]</f>
        <v>700</v>
      </c>
      <c r="H102" s="45">
        <f ca="1">OFFSET(TblMili[[#This Row],[Unit 4]],-1,0) + OFFSET(TblMili[[#This Row],[Train Unit 4]],-12,0)-TblMili[[#This Row],[Release Unit 4]]</f>
        <v>1228</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42359.8</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6140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6293.4999999999991</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2" s="262">
        <f ca="1">TblMili[[#This Row],[Non Draft]]+TblMili[[#This Row],[Draftees]]</f>
        <v>12576</v>
      </c>
      <c r="U102" s="263">
        <f ca="1">race_defense + TblImps[[#This Row],[Walls]] + ROUND( MIN(gt_bonus*TblConstr[[#This Row],[Tot GT]]/TblConstr[[#This Row],[Land]],gt_bonus_cap), 4) + IF(TblMagic[[#This Row],[Active Howling]]&gt;0,howling_dp_bonus,IF(TblMagic[[#This Row],[Active Ares Call]]&gt;0,ares_call_bonus))</f>
        <v>0.23750000000000002</v>
      </c>
      <c r="V102" s="264">
        <f ca="1">TblMili[[#This Row],[Non Draft]] * (1 + TblMili[[#This Row],[Mods_Def]])</f>
        <v>13082.85</v>
      </c>
      <c r="W102" s="262">
        <f ca="1">TblMili[[#This Row],[Draft]] * (1 + TblMili[[#This Row],[Mods_Def]])</f>
        <v>15562.800000000001</v>
      </c>
      <c r="X102" s="262">
        <f ca="1">TblConstr[[#This Row],[Land]]</f>
        <v>700</v>
      </c>
      <c r="Y102" s="265"/>
      <c r="Z102" s="270">
        <f ca="1">IF(TblMili[[#This Row],[Set]]&lt;&gt;"",TblMili[[#This Row],[Set]],OFFSET(TblMili[[#This Row],[Draftrate]],-1,0))</f>
        <v>0.9</v>
      </c>
      <c r="AA102" s="97">
        <f ca="1">OFFSET(TblMili[[#This Row],[Draftees]],-1,0)+OFFSET(TblPop[[#This Row],[Draft Growth]],-1,0) - SUM(TblMili[[#This Row],[Train Unit 1]:[Train Spies]],TblMili[[#This Row],[Train Wiz]]) - TblMili[[#This Row],[Release Draft]] + SUM(TblMili[[#This Row],[Release Unit 1]:[Release AM]]) - TblExplore[[#This Row],[Draftees (2)]]</f>
        <v>2004</v>
      </c>
      <c r="AB102" s="157"/>
      <c r="AC102" s="183">
        <f ca="1">(TblConstr[[#This Row],[Tot Smi]]+TblConstr[[#This Row],[Dest Smi]])/(TblConstr[[#This Row],[Land]]-TblExplore[[#This Row],[Land Bonus]]*20)</f>
        <v>0.18</v>
      </c>
      <c r="AD102" s="140"/>
      <c r="AE102" s="261">
        <f>TblMili[[#This Row],[Hour]]</f>
        <v>99</v>
      </c>
      <c r="AF102" s="141">
        <f ca="1">TblExplore[[#This Row],[Time]]</f>
        <v>45433.833333333096</v>
      </c>
      <c r="AG102" s="182"/>
      <c r="AH102" s="182"/>
      <c r="AI102" s="182"/>
      <c r="AJ102" s="182"/>
      <c r="AK102" s="182"/>
      <c r="AL102" s="182"/>
      <c r="AM102" s="182"/>
      <c r="AN102" s="182"/>
      <c r="AO102" s="145"/>
      <c r="AP102" s="97">
        <f ca="1">TblProd[[#This Row],[Platinum]]</f>
        <v>1106424</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45433.833333333096</v>
      </c>
      <c r="AV102" s="97">
        <f ca="1">TblMili[[#This Row],[Draftees]]</f>
        <v>2004</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192</v>
      </c>
      <c r="BJ102" s="97">
        <f ca="1">ROUNDUP(IF(race="Gnome",1,(1-MIN(TblMili[[#This Row],[Smithies]]*smithy_bonus,smithy_bonus_cap) + tech_3_5*TblTech[[#This Row],[3-5]] + tech_5_3*TblTech[[#This Row],[5-3]] + tech_5_5*TblTech[[#This Row],[5-5]]))*spec_op_ore,0)</f>
        <v>0</v>
      </c>
      <c r="BK102" s="97">
        <f ca="1">ROUNDUP((1-MIN(TblMili[[#This Row],[Smithies]]*smithy_bonus,smithy_bonus_cap) + tech_3_5*TblTech[[#This Row],[3-5]] + tech_5_3*TblTech[[#This Row],[5-3]] + tech_5_5*TblTech[[#This Row],[5-5]])*spec_dp_plat,0)</f>
        <v>192</v>
      </c>
      <c r="BL102" s="97">
        <f ca="1">ROUNDUP(IF(race="Gnome",1,(1-MIN(TblMili[[#This Row],[Smithies]]*smithy_bonus,smithy_bonus_cap) + tech_3_5*TblTech[[#This Row],[3-5]] + tech_5_3*TblTech[[#This Row],[5-3]] + tech_5_5*TblTech[[#This Row],[5-5]]))*spec_dp_ore,0)</f>
        <v>0</v>
      </c>
      <c r="BM102" s="97">
        <f ca="1">ROUNDUP((1-MIN(TblMili[[#This Row],[Smithies]]*smithy_bonus,smithy_bonus_cap) + tech_3_5*TblTech[[#This Row],[3-5]] + tech_5_3*TblTech[[#This Row],[5-3]] + tech_5_5*TblTech[[#This Row],[5-5]])*elite1_plat,0)</f>
        <v>592</v>
      </c>
      <c r="BN102" s="97">
        <f ca="1">ROUNDUP(IF(race="Gnome",1,(1-MIN(TblMili[[#This Row],[Smithies]]*smithy_bonus,smithy_bonus_cap) + tech_3_5*TblTech[[#This Row],[3-5]] + tech_5_3*TblTech[[#This Row],[5-3]] + tech_5_5*TblTech[[#This Row],[5-5]]))*elite1_ore,0)</f>
        <v>0</v>
      </c>
      <c r="BO102" s="97">
        <f ca="1">ROUNDUP((1-MIN(TblMili[[#This Row],[Smithies]]*smithy_bonus,smithy_bonus_cap) + tech_3_5*TblTech[[#This Row],[3-5]] + tech_5_3*TblTech[[#This Row],[5-3]] + tech_5_5*TblTech[[#This Row],[5-5]])*elite2_plat,0)</f>
        <v>608</v>
      </c>
      <c r="BP102" s="97">
        <f ca="1">ROUNDUP(IF(race="Gnome",1,(1-MIN(TblMili[[#This Row],[Smithies]]*smithy_bonus,smithy_bonus_cap) + tech_3_5*TblTech[[#This Row],[3-5]] + tech_5_3*TblTech[[#This Row],[5-3]] + tech_5_5*TblTech[[#This Row],[5-5]]))*elite2_ore,0)</f>
        <v>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5.7142857142857141E-2</v>
      </c>
      <c r="BW102" s="160">
        <f ca="1">TblMili[[#This Row],[WG''s]]</f>
        <v>0</v>
      </c>
      <c r="BX102" s="266">
        <f ca="1">IF(mystic_cap="none",TblMili[[#This Row],[Hill]]/mystic_bonus,MIN(mystic_cap,TblMili[[#This Row],[Hill]]/mystic_bonus))</f>
        <v>0.2857142857142857</v>
      </c>
      <c r="BY102" s="266">
        <f ca="1">IF(druid_op_cap="none",TblMili[[#This Row],[Hill]]/druid_op_bonus,MIN(druid_op_cap,TblMili[[#This Row],[Hill]]/druid_op_bonus))</f>
        <v>0.2857142857142857</v>
      </c>
      <c r="BZ102" s="266">
        <f ca="1">IF(druid_dp_cap="none",TblMili[[#This Row],[Hill]]/druid_dp_bonus,MIN(druid_dp_cap,TblMili[[#This Row],[Hill]]/druid_dp_bonus))</f>
        <v>0.2857142857142857</v>
      </c>
      <c r="CA102" s="266">
        <f ca="1">MIN(dryad_cap,TblMili[[#This Row],[Hill]]/dryad_bonus)</f>
        <v>0.2857142857142857</v>
      </c>
      <c r="CB102" s="266">
        <f ca="1">MIN(rocka_cap,TblMili[[#This Row],[Hill]]/rocka_bonus)</f>
        <v>0.2857142857142857</v>
      </c>
      <c r="CC102" s="266">
        <f ca="1">MIN(adept_op_cap,TblMili[[#This Row],[WG]]/adept_op_bonus)</f>
        <v>0</v>
      </c>
      <c r="CD102" s="266">
        <f ca="1">MIN(adept_dp_cap,TblMili[[#This Row],[WG]]/adept_dp_bonus)</f>
        <v>0</v>
      </c>
      <c r="CE102" s="97">
        <f ca="1">MIN(TblMili[[#This Row],[Unit 3]],TblMili[[#This Row],[Unit 2]])*2</f>
        <v>1400</v>
      </c>
      <c r="CF102" s="97">
        <f ca="1">MIN(TblMili[[#This Row],[Unit 1]],TblMili[[#This Row],[Unit 4]])*2</f>
        <v>0</v>
      </c>
      <c r="CG102" s="266">
        <f ca="1">MIN(frost_mage_cap,TblMili[[#This Row],[Hill]]/frost_mage_bonus)</f>
        <v>0.2857142857142857</v>
      </c>
      <c r="CH102" s="45">
        <f ca="1">MIN(ice_elem_cap,TblMili[[#This Row],[Raw (2)]]*ice_elem_bonus)</f>
        <v>3.5714285714285712E-2</v>
      </c>
      <c r="CI102" s="266">
        <f t="shared" si="4"/>
        <v>0.83333333333333337</v>
      </c>
      <c r="CJ102" s="266">
        <f ca="1">MIN(nox_nightshade_cap,TblConstr[[#This Row],[Homeland]]/TblConstr[[#This Row],[Land]]/nox_nightshade_swamp_bonus)</f>
        <v>0.5714285714285714</v>
      </c>
      <c r="CK102" s="267"/>
      <c r="CL102" s="267"/>
      <c r="CM102" s="267"/>
      <c r="CN102" s="266">
        <f ca="1">MIN(6,TblMili[[#This Row],[Mystic]]+Races!$F$19)*1.8 +  IF(TblMili[[#This Row],[Mystic]]+Races!$F$19&gt;6,(TblMili[[#This Row],[Mystic]]+Races!$F$19-6)*0.2,0) - Races!$I$19</f>
        <v>0.51428571428571423</v>
      </c>
      <c r="CO10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2" s="97">
        <f ca="1">TblMili[[#This Row],[Mystic bonus]]*TblMili[[#This Row],[Unit 3]]+TblMili[[#This Row],[Druid bonus]]*TblMili[[#This Row],[Unit 4]]</f>
        <v>1149.4285714285706</v>
      </c>
      <c r="CQ102" s="158">
        <f ca="1">MIN(6,TblMili[[#This Row],[Dryad]]+Races!$F$35)*1.8 +  IF(TblMili[[#This Row],[Dryad]]+Races!$F$35&gt;6,(TblMili[[#This Row],[Dryad]]+Races!$F$35-6)*0.2,0) - Races!$I$19</f>
        <v>-1.2857142857142856</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2.7642857142857133</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0.51428571428571423</v>
      </c>
      <c r="CX102" s="158">
        <f ca="1">1.8 * MIN(MAX(TblMili[[#This Row],[Ice Elemental]]+Races!$E$71,Races!$F$71),6)  +  0.45 * MIN(MIN(TblMili[[#This Row],[Ice Elemental]]+Races!$E$71,Races!$F$71),6)  +  0.2 * ( MAX(TblMili[[#This Row],[Ice Elemental]]+Races!$E$71-6,0) + MAX(Races!$F$71-6,0) )  -  Races!$I$71</f>
        <v>6.4285714285714946E-2</v>
      </c>
      <c r="CY102" s="97">
        <f ca="1">TblMili[[#This Row],[Frost Mage bonus]]*TblMili[[#This Row],[Unit 3]]+TblMili[[#This Row],[Ice Elemental bonus]]*TblMili[[#This Row],[Unit 4]]</f>
        <v>438.94285714285786</v>
      </c>
      <c r="CZ102" s="268"/>
      <c r="DA102" s="146">
        <f ca="1">MIN(SUM(TblConstr[[#This Row],[Plain]:[Water]])/TblMili[[#This Row],[Land]]/favorable_terrain_bonus/100,favorable_terrain_max)</f>
        <v>0</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2" s="145"/>
      <c r="DE102" s="269">
        <f ca="1">(TblMili[[#This Row],[Wizards]]+2*TblMili[[#This Row],[Archmages]])/TblConstr[[#This Row],[Land]]</f>
        <v>3.5714285714285712E-2</v>
      </c>
      <c r="DF102" s="269">
        <f ca="1">TblMili[[#This Row],[Raw (2)]]*(1+race_wizard_strength+IF(TblMili[[#This Row],[Hour]]&gt;72,tech_magical_weaponry_wiz*TblTech[[#This Row],[3-5]],0))</f>
        <v>3.5714285714285712E-2</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5305</v>
      </c>
      <c r="C103" s="160">
        <f ca="1">TblPop[[#This Row],[Military%]]</f>
        <v>0.41000077285725328</v>
      </c>
      <c r="D103" s="145"/>
      <c r="E103" s="45">
        <f ca="1">OFFSET(TblMili[[#This Row],[Unit 1]],-1,0) + OFFSET(TblMili[[#This Row],[Train Unit 1]],-9,0) - TblMili[[#This Row],[Release Unit 1]]</f>
        <v>0</v>
      </c>
      <c r="F103" s="45">
        <f ca="1">OFFSET(TblMili[[#This Row],[Unit 2]],-1,0) + OFFSET(TblMili[[#This Row],[Train Unit 2]],-9,0)-TblMili[[#This Row],[Release Unit 2]]</f>
        <v>1246</v>
      </c>
      <c r="G103" s="45">
        <f ca="1">OFFSET(TblMili[[#This Row],[Unit 3]],-1,0) + OFFSET(TblMili[[#This Row],[Train Unit 3]],-12,0)-TblMili[[#This Row],[Release Unit 3]]</f>
        <v>700</v>
      </c>
      <c r="H103" s="45">
        <f ca="1">OFFSET(TblMili[[#This Row],[Unit 4]],-1,0) + OFFSET(TblMili[[#This Row],[Train Unit 4]],-12,0)-TblMili[[#This Row],[Release Unit 4]]</f>
        <v>1228</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42359.8</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6140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6293.4999999999991</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3" s="262">
        <f ca="1">TblMili[[#This Row],[Non Draft]]+TblMili[[#This Row],[Draftees]]</f>
        <v>12653</v>
      </c>
      <c r="U103" s="263">
        <f ca="1">race_defense + TblImps[[#This Row],[Walls]] + ROUND( MIN(gt_bonus*TblConstr[[#This Row],[Tot GT]]/TblConstr[[#This Row],[Land]],gt_bonus_cap), 4) + IF(TblMagic[[#This Row],[Active Howling]]&gt;0,howling_dp_bonus,IF(TblMagic[[#This Row],[Active Ares Call]]&gt;0,ares_call_bonus))</f>
        <v>0.23750000000000002</v>
      </c>
      <c r="V103" s="264">
        <f ca="1">TblMili[[#This Row],[Non Draft]] * (1 + TblMili[[#This Row],[Mods_Def]])</f>
        <v>13082.85</v>
      </c>
      <c r="W103" s="262">
        <f ca="1">TblMili[[#This Row],[Draft]] * (1 + TblMili[[#This Row],[Mods_Def]])</f>
        <v>15658.087500000001</v>
      </c>
      <c r="X103" s="262">
        <f ca="1">TblConstr[[#This Row],[Land]]</f>
        <v>700</v>
      </c>
      <c r="Y103" s="265"/>
      <c r="Z103" s="270">
        <f ca="1">IF(TblMili[[#This Row],[Set]]&lt;&gt;"",TblMili[[#This Row],[Set]],OFFSET(TblMili[[#This Row],[Draftrate]],-1,0))</f>
        <v>0.9</v>
      </c>
      <c r="AA103" s="97">
        <f ca="1">OFFSET(TblMili[[#This Row],[Draftees]],-1,0)+OFFSET(TblPop[[#This Row],[Draft Growth]],-1,0) - SUM(TblMili[[#This Row],[Train Unit 1]:[Train Spies]],TblMili[[#This Row],[Train Wiz]]) - TblMili[[#This Row],[Release Draft]] + SUM(TblMili[[#This Row],[Release Unit 1]:[Release AM]]) - TblExplore[[#This Row],[Draftees (2)]]</f>
        <v>2081</v>
      </c>
      <c r="AB103" s="157"/>
      <c r="AC103" s="183">
        <f ca="1">(TblConstr[[#This Row],[Tot Smi]]+TblConstr[[#This Row],[Dest Smi]])/(TblConstr[[#This Row],[Land]]-TblExplore[[#This Row],[Land Bonus]]*20)</f>
        <v>0.18</v>
      </c>
      <c r="AD103" s="140"/>
      <c r="AE103" s="261">
        <f>TblMili[[#This Row],[Hour]]</f>
        <v>100</v>
      </c>
      <c r="AF103" s="141">
        <f ca="1">TblExplore[[#This Row],[Time]]</f>
        <v>45433.87499999976</v>
      </c>
      <c r="AG103" s="182"/>
      <c r="AH103" s="182"/>
      <c r="AI103" s="182"/>
      <c r="AJ103" s="182"/>
      <c r="AK103" s="182"/>
      <c r="AL103" s="182"/>
      <c r="AM103" s="182"/>
      <c r="AN103" s="182"/>
      <c r="AO103" s="145"/>
      <c r="AP103" s="97">
        <f ca="1">TblProd[[#This Row],[Platinum]]</f>
        <v>1146870</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45433.87499999976</v>
      </c>
      <c r="AV103" s="97">
        <f ca="1">TblMili[[#This Row],[Draftees]]</f>
        <v>2081</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192</v>
      </c>
      <c r="BJ103" s="97">
        <f ca="1">ROUNDUP(IF(race="Gnome",1,(1-MIN(TblMili[[#This Row],[Smithies]]*smithy_bonus,smithy_bonus_cap) + tech_3_5*TblTech[[#This Row],[3-5]] + tech_5_3*TblTech[[#This Row],[5-3]] + tech_5_5*TblTech[[#This Row],[5-5]]))*spec_op_ore,0)</f>
        <v>0</v>
      </c>
      <c r="BK103" s="97">
        <f ca="1">ROUNDUP((1-MIN(TblMili[[#This Row],[Smithies]]*smithy_bonus,smithy_bonus_cap) + tech_3_5*TblTech[[#This Row],[3-5]] + tech_5_3*TblTech[[#This Row],[5-3]] + tech_5_5*TblTech[[#This Row],[5-5]])*spec_dp_plat,0)</f>
        <v>192</v>
      </c>
      <c r="BL103" s="97">
        <f ca="1">ROUNDUP(IF(race="Gnome",1,(1-MIN(TblMili[[#This Row],[Smithies]]*smithy_bonus,smithy_bonus_cap) + tech_3_5*TblTech[[#This Row],[3-5]] + tech_5_3*TblTech[[#This Row],[5-3]] + tech_5_5*TblTech[[#This Row],[5-5]]))*spec_dp_ore,0)</f>
        <v>0</v>
      </c>
      <c r="BM103" s="97">
        <f ca="1">ROUNDUP((1-MIN(TblMili[[#This Row],[Smithies]]*smithy_bonus,smithy_bonus_cap) + tech_3_5*TblTech[[#This Row],[3-5]] + tech_5_3*TblTech[[#This Row],[5-3]] + tech_5_5*TblTech[[#This Row],[5-5]])*elite1_plat,0)</f>
        <v>592</v>
      </c>
      <c r="BN103" s="97">
        <f ca="1">ROUNDUP(IF(race="Gnome",1,(1-MIN(TblMili[[#This Row],[Smithies]]*smithy_bonus,smithy_bonus_cap) + tech_3_5*TblTech[[#This Row],[3-5]] + tech_5_3*TblTech[[#This Row],[5-3]] + tech_5_5*TblTech[[#This Row],[5-5]]))*elite1_ore,0)</f>
        <v>0</v>
      </c>
      <c r="BO103" s="97">
        <f ca="1">ROUNDUP((1-MIN(TblMili[[#This Row],[Smithies]]*smithy_bonus,smithy_bonus_cap) + tech_3_5*TblTech[[#This Row],[3-5]] + tech_5_3*TblTech[[#This Row],[5-3]] + tech_5_5*TblTech[[#This Row],[5-5]])*elite2_plat,0)</f>
        <v>608</v>
      </c>
      <c r="BP103" s="97">
        <f ca="1">ROUNDUP(IF(race="Gnome",1,(1-MIN(TblMili[[#This Row],[Smithies]]*smithy_bonus,smithy_bonus_cap) + tech_3_5*TblTech[[#This Row],[3-5]] + tech_5_3*TblTech[[#This Row],[5-3]] + tech_5_5*TblTech[[#This Row],[5-5]]))*elite2_ore,0)</f>
        <v>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5.7142857142857141E-2</v>
      </c>
      <c r="BW103" s="160">
        <f ca="1">TblMili[[#This Row],[WG''s]]</f>
        <v>0</v>
      </c>
      <c r="BX103" s="266">
        <f ca="1">IF(mystic_cap="none",TblMili[[#This Row],[Hill]]/mystic_bonus,MIN(mystic_cap,TblMili[[#This Row],[Hill]]/mystic_bonus))</f>
        <v>0.2857142857142857</v>
      </c>
      <c r="BY103" s="266">
        <f ca="1">IF(druid_op_cap="none",TblMili[[#This Row],[Hill]]/druid_op_bonus,MIN(druid_op_cap,TblMili[[#This Row],[Hill]]/druid_op_bonus))</f>
        <v>0.2857142857142857</v>
      </c>
      <c r="BZ103" s="266">
        <f ca="1">IF(druid_dp_cap="none",TblMili[[#This Row],[Hill]]/druid_dp_bonus,MIN(druid_dp_cap,TblMili[[#This Row],[Hill]]/druid_dp_bonus))</f>
        <v>0.2857142857142857</v>
      </c>
      <c r="CA103" s="266">
        <f ca="1">MIN(dryad_cap,TblMili[[#This Row],[Hill]]/dryad_bonus)</f>
        <v>0.2857142857142857</v>
      </c>
      <c r="CB103" s="266">
        <f ca="1">MIN(rocka_cap,TblMili[[#This Row],[Hill]]/rocka_bonus)</f>
        <v>0.2857142857142857</v>
      </c>
      <c r="CC103" s="266">
        <f ca="1">MIN(adept_op_cap,TblMili[[#This Row],[WG]]/adept_op_bonus)</f>
        <v>0</v>
      </c>
      <c r="CD103" s="266">
        <f ca="1">MIN(adept_dp_cap,TblMili[[#This Row],[WG]]/adept_dp_bonus)</f>
        <v>0</v>
      </c>
      <c r="CE103" s="97">
        <f ca="1">MIN(TblMili[[#This Row],[Unit 3]],TblMili[[#This Row],[Unit 2]])*2</f>
        <v>1400</v>
      </c>
      <c r="CF103" s="97">
        <f ca="1">MIN(TblMili[[#This Row],[Unit 1]],TblMili[[#This Row],[Unit 4]])*2</f>
        <v>0</v>
      </c>
      <c r="CG103" s="266">
        <f ca="1">MIN(frost_mage_cap,TblMili[[#This Row],[Hill]]/frost_mage_bonus)</f>
        <v>0.2857142857142857</v>
      </c>
      <c r="CH103" s="45">
        <f ca="1">MIN(ice_elem_cap,TblMili[[#This Row],[Raw (2)]]*ice_elem_bonus)</f>
        <v>3.5714285714285712E-2</v>
      </c>
      <c r="CI103" s="266">
        <f t="shared" si="4"/>
        <v>0.83333333333333337</v>
      </c>
      <c r="CJ103" s="266">
        <f ca="1">MIN(nox_nightshade_cap,TblConstr[[#This Row],[Homeland]]/TblConstr[[#This Row],[Land]]/nox_nightshade_swamp_bonus)</f>
        <v>0.5714285714285714</v>
      </c>
      <c r="CK103" s="267"/>
      <c r="CL103" s="267"/>
      <c r="CM103" s="267"/>
      <c r="CN103" s="266">
        <f ca="1">MIN(6,TblMili[[#This Row],[Mystic]]+Races!$F$19)*1.8 +  IF(TblMili[[#This Row],[Mystic]]+Races!$F$19&gt;6,(TblMili[[#This Row],[Mystic]]+Races!$F$19-6)*0.2,0) - Races!$I$19</f>
        <v>0.51428571428571423</v>
      </c>
      <c r="CO10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3" s="97">
        <f ca="1">TblMili[[#This Row],[Mystic bonus]]*TblMili[[#This Row],[Unit 3]]+TblMili[[#This Row],[Druid bonus]]*TblMili[[#This Row],[Unit 4]]</f>
        <v>1149.4285714285706</v>
      </c>
      <c r="CQ103" s="158">
        <f ca="1">MIN(6,TblMili[[#This Row],[Dryad]]+Races!$F$35)*1.8 +  IF(TblMili[[#This Row],[Dryad]]+Races!$F$35&gt;6,(TblMili[[#This Row],[Dryad]]+Races!$F$35-6)*0.2,0) - Races!$I$19</f>
        <v>-1.2857142857142856</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2.7642857142857133</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0.51428571428571423</v>
      </c>
      <c r="CX103" s="158">
        <f ca="1">1.8 * MIN(MAX(TblMili[[#This Row],[Ice Elemental]]+Races!$E$71,Races!$F$71),6)  +  0.45 * MIN(MIN(TblMili[[#This Row],[Ice Elemental]]+Races!$E$71,Races!$F$71),6)  +  0.2 * ( MAX(TblMili[[#This Row],[Ice Elemental]]+Races!$E$71-6,0) + MAX(Races!$F$71-6,0) )  -  Races!$I$71</f>
        <v>6.4285714285714946E-2</v>
      </c>
      <c r="CY103" s="97">
        <f ca="1">TblMili[[#This Row],[Frost Mage bonus]]*TblMili[[#This Row],[Unit 3]]+TblMili[[#This Row],[Ice Elemental bonus]]*TblMili[[#This Row],[Unit 4]]</f>
        <v>438.94285714285786</v>
      </c>
      <c r="CZ103" s="268"/>
      <c r="DA103" s="146">
        <f ca="1">MIN(SUM(TblConstr[[#This Row],[Plain]:[Water]])/TblMili[[#This Row],[Land]]/favorable_terrain_bonus/100,favorable_terrain_max)</f>
        <v>0</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3" s="145"/>
      <c r="DE103" s="269">
        <f ca="1">(TblMili[[#This Row],[Wizards]]+2*TblMili[[#This Row],[Archmages]])/TblConstr[[#This Row],[Land]]</f>
        <v>3.5714285714285712E-2</v>
      </c>
      <c r="DF103" s="269">
        <f ca="1">TblMili[[#This Row],[Raw (2)]]*(1+race_wizard_strength+IF(TblMili[[#This Row],[Hour]]&gt;72,tech_magical_weaponry_wiz*TblTech[[#This Row],[3-5]],0))</f>
        <v>3.5714285714285712E-2</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5381</v>
      </c>
      <c r="C104" s="160">
        <f ca="1">TblPop[[#This Row],[Military%]]</f>
        <v>0.41587448798206972</v>
      </c>
      <c r="D104" s="145"/>
      <c r="E104" s="45">
        <f ca="1">OFFSET(TblMili[[#This Row],[Unit 1]],-1,0) + OFFSET(TblMili[[#This Row],[Train Unit 1]],-9,0) - TblMili[[#This Row],[Release Unit 1]]</f>
        <v>0</v>
      </c>
      <c r="F104" s="45">
        <f ca="1">OFFSET(TblMili[[#This Row],[Unit 2]],-1,0) + OFFSET(TblMili[[#This Row],[Train Unit 2]],-9,0)-TblMili[[#This Row],[Release Unit 2]]</f>
        <v>1246</v>
      </c>
      <c r="G104" s="45">
        <f ca="1">OFFSET(TblMili[[#This Row],[Unit 3]],-1,0) + OFFSET(TblMili[[#This Row],[Train Unit 3]],-12,0)-TblMili[[#This Row],[Release Unit 3]]</f>
        <v>700</v>
      </c>
      <c r="H104" s="45">
        <f ca="1">OFFSET(TblMili[[#This Row],[Unit 4]],-1,0) + OFFSET(TblMili[[#This Row],[Train Unit 4]],-12,0)-TblMili[[#This Row],[Release Unit 4]]</f>
        <v>1228</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42359.8</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6140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6293.4999999999991</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4" s="262">
        <f ca="1">TblMili[[#This Row],[Non Draft]]+TblMili[[#This Row],[Draftees]]</f>
        <v>12729</v>
      </c>
      <c r="U104" s="263">
        <f ca="1">race_defense + TblImps[[#This Row],[Walls]] + ROUND( MIN(gt_bonus*TblConstr[[#This Row],[Tot GT]]/TblConstr[[#This Row],[Land]],gt_bonus_cap), 4) + IF(TblMagic[[#This Row],[Active Howling]]&gt;0,howling_dp_bonus,IF(TblMagic[[#This Row],[Active Ares Call]]&gt;0,ares_call_bonus))</f>
        <v>0.23750000000000002</v>
      </c>
      <c r="V104" s="264">
        <f ca="1">TblMili[[#This Row],[Non Draft]] * (1 + TblMili[[#This Row],[Mods_Def]])</f>
        <v>13082.85</v>
      </c>
      <c r="W104" s="262">
        <f ca="1">TblMili[[#This Row],[Draft]] * (1 + TblMili[[#This Row],[Mods_Def]])</f>
        <v>15752.137500000001</v>
      </c>
      <c r="X104" s="262">
        <f ca="1">TblConstr[[#This Row],[Land]]</f>
        <v>700</v>
      </c>
      <c r="Y104" s="265"/>
      <c r="Z104" s="270">
        <f ca="1">IF(TblMili[[#This Row],[Set]]&lt;&gt;"",TblMili[[#This Row],[Set]],OFFSET(TblMili[[#This Row],[Draftrate]],-1,0))</f>
        <v>0.9</v>
      </c>
      <c r="AA104" s="97">
        <f ca="1">OFFSET(TblMili[[#This Row],[Draftees]],-1,0)+OFFSET(TblPop[[#This Row],[Draft Growth]],-1,0) - SUM(TblMili[[#This Row],[Train Unit 1]:[Train Spies]],TblMili[[#This Row],[Train Wiz]]) - TblMili[[#This Row],[Release Draft]] + SUM(TblMili[[#This Row],[Release Unit 1]:[Release AM]]) - TblExplore[[#This Row],[Draftees (2)]]</f>
        <v>2157</v>
      </c>
      <c r="AB104" s="157"/>
      <c r="AC104" s="183">
        <f ca="1">(TblConstr[[#This Row],[Tot Smi]]+TblConstr[[#This Row],[Dest Smi]])/(TblConstr[[#This Row],[Land]]-TblExplore[[#This Row],[Land Bonus]]*20)</f>
        <v>0.18</v>
      </c>
      <c r="AD104" s="140"/>
      <c r="AE104" s="261">
        <f>TblMili[[#This Row],[Hour]]</f>
        <v>101</v>
      </c>
      <c r="AF104" s="141">
        <f ca="1">TblExplore[[#This Row],[Time]]</f>
        <v>45433.916666666424</v>
      </c>
      <c r="AG104" s="182"/>
      <c r="AH104" s="182"/>
      <c r="AI104" s="182"/>
      <c r="AJ104" s="182"/>
      <c r="AK104" s="182"/>
      <c r="AL104" s="182"/>
      <c r="AM104" s="182"/>
      <c r="AN104" s="182"/>
      <c r="AO104" s="145"/>
      <c r="AP104" s="97">
        <f ca="1">TblProd[[#This Row],[Platinum]]</f>
        <v>1187087</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45433.916666666424</v>
      </c>
      <c r="AV104" s="97">
        <f ca="1">TblMili[[#This Row],[Draftees]]</f>
        <v>2157</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192</v>
      </c>
      <c r="BJ104" s="97">
        <f ca="1">ROUNDUP(IF(race="Gnome",1,(1-MIN(TblMili[[#This Row],[Smithies]]*smithy_bonus,smithy_bonus_cap) + tech_3_5*TblTech[[#This Row],[3-5]] + tech_5_3*TblTech[[#This Row],[5-3]] + tech_5_5*TblTech[[#This Row],[5-5]]))*spec_op_ore,0)</f>
        <v>0</v>
      </c>
      <c r="BK104" s="97">
        <f ca="1">ROUNDUP((1-MIN(TblMili[[#This Row],[Smithies]]*smithy_bonus,smithy_bonus_cap) + tech_3_5*TblTech[[#This Row],[3-5]] + tech_5_3*TblTech[[#This Row],[5-3]] + tech_5_5*TblTech[[#This Row],[5-5]])*spec_dp_plat,0)</f>
        <v>192</v>
      </c>
      <c r="BL104" s="97">
        <f ca="1">ROUNDUP(IF(race="Gnome",1,(1-MIN(TblMili[[#This Row],[Smithies]]*smithy_bonus,smithy_bonus_cap) + tech_3_5*TblTech[[#This Row],[3-5]] + tech_5_3*TblTech[[#This Row],[5-3]] + tech_5_5*TblTech[[#This Row],[5-5]]))*spec_dp_ore,0)</f>
        <v>0</v>
      </c>
      <c r="BM104" s="97">
        <f ca="1">ROUNDUP((1-MIN(TblMili[[#This Row],[Smithies]]*smithy_bonus,smithy_bonus_cap) + tech_3_5*TblTech[[#This Row],[3-5]] + tech_5_3*TblTech[[#This Row],[5-3]] + tech_5_5*TblTech[[#This Row],[5-5]])*elite1_plat,0)</f>
        <v>592</v>
      </c>
      <c r="BN104" s="97">
        <f ca="1">ROUNDUP(IF(race="Gnome",1,(1-MIN(TblMili[[#This Row],[Smithies]]*smithy_bonus,smithy_bonus_cap) + tech_3_5*TblTech[[#This Row],[3-5]] + tech_5_3*TblTech[[#This Row],[5-3]] + tech_5_5*TblTech[[#This Row],[5-5]]))*elite1_ore,0)</f>
        <v>0</v>
      </c>
      <c r="BO104" s="97">
        <f ca="1">ROUNDUP((1-MIN(TblMili[[#This Row],[Smithies]]*smithy_bonus,smithy_bonus_cap) + tech_3_5*TblTech[[#This Row],[3-5]] + tech_5_3*TblTech[[#This Row],[5-3]] + tech_5_5*TblTech[[#This Row],[5-5]])*elite2_plat,0)</f>
        <v>608</v>
      </c>
      <c r="BP104" s="97">
        <f ca="1">ROUNDUP(IF(race="Gnome",1,(1-MIN(TblMili[[#This Row],[Smithies]]*smithy_bonus,smithy_bonus_cap) + tech_3_5*TblTech[[#This Row],[3-5]] + tech_5_3*TblTech[[#This Row],[5-3]] + tech_5_5*TblTech[[#This Row],[5-5]]))*elite2_ore,0)</f>
        <v>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5.7142857142857141E-2</v>
      </c>
      <c r="BW104" s="160">
        <f ca="1">TblMili[[#This Row],[WG''s]]</f>
        <v>0</v>
      </c>
      <c r="BX104" s="266">
        <f ca="1">IF(mystic_cap="none",TblMili[[#This Row],[Hill]]/mystic_bonus,MIN(mystic_cap,TblMili[[#This Row],[Hill]]/mystic_bonus))</f>
        <v>0.2857142857142857</v>
      </c>
      <c r="BY104" s="266">
        <f ca="1">IF(druid_op_cap="none",TblMili[[#This Row],[Hill]]/druid_op_bonus,MIN(druid_op_cap,TblMili[[#This Row],[Hill]]/druid_op_bonus))</f>
        <v>0.2857142857142857</v>
      </c>
      <c r="BZ104" s="266">
        <f ca="1">IF(druid_dp_cap="none",TblMili[[#This Row],[Hill]]/druid_dp_bonus,MIN(druid_dp_cap,TblMili[[#This Row],[Hill]]/druid_dp_bonus))</f>
        <v>0.2857142857142857</v>
      </c>
      <c r="CA104" s="266">
        <f ca="1">MIN(dryad_cap,TblMili[[#This Row],[Hill]]/dryad_bonus)</f>
        <v>0.2857142857142857</v>
      </c>
      <c r="CB104" s="266">
        <f ca="1">MIN(rocka_cap,TblMili[[#This Row],[Hill]]/rocka_bonus)</f>
        <v>0.2857142857142857</v>
      </c>
      <c r="CC104" s="266">
        <f ca="1">MIN(adept_op_cap,TblMili[[#This Row],[WG]]/adept_op_bonus)</f>
        <v>0</v>
      </c>
      <c r="CD104" s="266">
        <f ca="1">MIN(adept_dp_cap,TblMili[[#This Row],[WG]]/adept_dp_bonus)</f>
        <v>0</v>
      </c>
      <c r="CE104" s="97">
        <f ca="1">MIN(TblMili[[#This Row],[Unit 3]],TblMili[[#This Row],[Unit 2]])*2</f>
        <v>1400</v>
      </c>
      <c r="CF104" s="97">
        <f ca="1">MIN(TblMili[[#This Row],[Unit 1]],TblMili[[#This Row],[Unit 4]])*2</f>
        <v>0</v>
      </c>
      <c r="CG104" s="266">
        <f ca="1">MIN(frost_mage_cap,TblMili[[#This Row],[Hill]]/frost_mage_bonus)</f>
        <v>0.2857142857142857</v>
      </c>
      <c r="CH104" s="45">
        <f ca="1">MIN(ice_elem_cap,TblMili[[#This Row],[Raw (2)]]*ice_elem_bonus)</f>
        <v>3.5714285714285712E-2</v>
      </c>
      <c r="CI104" s="266">
        <f t="shared" si="4"/>
        <v>0.83333333333333337</v>
      </c>
      <c r="CJ104" s="266">
        <f ca="1">MIN(nox_nightshade_cap,TblConstr[[#This Row],[Homeland]]/TblConstr[[#This Row],[Land]]/nox_nightshade_swamp_bonus)</f>
        <v>0.5714285714285714</v>
      </c>
      <c r="CK104" s="267"/>
      <c r="CL104" s="267"/>
      <c r="CM104" s="267"/>
      <c r="CN104" s="266">
        <f ca="1">MIN(6,TblMili[[#This Row],[Mystic]]+Races!$F$19)*1.8 +  IF(TblMili[[#This Row],[Mystic]]+Races!$F$19&gt;6,(TblMili[[#This Row],[Mystic]]+Races!$F$19-6)*0.2,0) - Races!$I$19</f>
        <v>0.51428571428571423</v>
      </c>
      <c r="CO10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4" s="97">
        <f ca="1">TblMili[[#This Row],[Mystic bonus]]*TblMili[[#This Row],[Unit 3]]+TblMili[[#This Row],[Druid bonus]]*TblMili[[#This Row],[Unit 4]]</f>
        <v>1149.4285714285706</v>
      </c>
      <c r="CQ104" s="158">
        <f ca="1">MIN(6,TblMili[[#This Row],[Dryad]]+Races!$F$35)*1.8 +  IF(TblMili[[#This Row],[Dryad]]+Races!$F$35&gt;6,(TblMili[[#This Row],[Dryad]]+Races!$F$35-6)*0.2,0) - Races!$I$19</f>
        <v>-1.2857142857142856</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2.7642857142857133</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0.51428571428571423</v>
      </c>
      <c r="CX104" s="158">
        <f ca="1">1.8 * MIN(MAX(TblMili[[#This Row],[Ice Elemental]]+Races!$E$71,Races!$F$71),6)  +  0.45 * MIN(MIN(TblMili[[#This Row],[Ice Elemental]]+Races!$E$71,Races!$F$71),6)  +  0.2 * ( MAX(TblMili[[#This Row],[Ice Elemental]]+Races!$E$71-6,0) + MAX(Races!$F$71-6,0) )  -  Races!$I$71</f>
        <v>6.4285714285714946E-2</v>
      </c>
      <c r="CY104" s="97">
        <f ca="1">TblMili[[#This Row],[Frost Mage bonus]]*TblMili[[#This Row],[Unit 3]]+TblMili[[#This Row],[Ice Elemental bonus]]*TblMili[[#This Row],[Unit 4]]</f>
        <v>438.94285714285786</v>
      </c>
      <c r="CZ104" s="268"/>
      <c r="DA104" s="146">
        <f ca="1">MIN(SUM(TblConstr[[#This Row],[Plain]:[Water]])/TblMili[[#This Row],[Land]]/favorable_terrain_bonus/100,favorable_terrain_max)</f>
        <v>0</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4" s="145"/>
      <c r="DE104" s="269">
        <f ca="1">(TblMili[[#This Row],[Wizards]]+2*TblMili[[#This Row],[Archmages]])/TblConstr[[#This Row],[Land]]</f>
        <v>3.5714285714285712E-2</v>
      </c>
      <c r="DF104" s="269">
        <f ca="1">TblMili[[#This Row],[Raw (2)]]*(1+race_wizard_strength+IF(TblMili[[#This Row],[Hour]]&gt;72,tech_magical_weaponry_wiz*TblTech[[#This Row],[3-5]],0))</f>
        <v>3.5714285714285712E-2</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5457</v>
      </c>
      <c r="C105" s="160">
        <f ca="1">TblPop[[#This Row],[Military%]]</f>
        <v>0.42174820310688615</v>
      </c>
      <c r="D105" s="145"/>
      <c r="E105" s="45">
        <f ca="1">OFFSET(TblMili[[#This Row],[Unit 1]],-1,0) + OFFSET(TblMili[[#This Row],[Train Unit 1]],-9,0) - TblMili[[#This Row],[Release Unit 1]]</f>
        <v>0</v>
      </c>
      <c r="F105" s="45">
        <f ca="1">OFFSET(TblMili[[#This Row],[Unit 2]],-1,0) + OFFSET(TblMili[[#This Row],[Train Unit 2]],-9,0)-TblMili[[#This Row],[Release Unit 2]]</f>
        <v>1246</v>
      </c>
      <c r="G105" s="45">
        <f ca="1">OFFSET(TblMili[[#This Row],[Unit 3]],-1,0) + OFFSET(TblMili[[#This Row],[Train Unit 3]],-12,0)-TblMili[[#This Row],[Release Unit 3]]</f>
        <v>700</v>
      </c>
      <c r="H105" s="45">
        <f ca="1">OFFSET(TblMili[[#This Row],[Unit 4]],-1,0) + OFFSET(TblMili[[#This Row],[Train Unit 4]],-12,0)-TblMili[[#This Row],[Release Unit 4]]</f>
        <v>1228</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42359.8</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6140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6293.4999999999991</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5" s="262">
        <f ca="1">TblMili[[#This Row],[Non Draft]]+TblMili[[#This Row],[Draftees]]</f>
        <v>12805</v>
      </c>
      <c r="U105" s="263">
        <f ca="1">race_defense + TblImps[[#This Row],[Walls]] + ROUND( MIN(gt_bonus*TblConstr[[#This Row],[Tot GT]]/TblConstr[[#This Row],[Land]],gt_bonus_cap), 4) + IF(TblMagic[[#This Row],[Active Howling]]&gt;0,howling_dp_bonus,IF(TblMagic[[#This Row],[Active Ares Call]]&gt;0,ares_call_bonus))</f>
        <v>0.23750000000000002</v>
      </c>
      <c r="V105" s="264">
        <f ca="1">TblMili[[#This Row],[Non Draft]] * (1 + TblMili[[#This Row],[Mods_Def]])</f>
        <v>13082.85</v>
      </c>
      <c r="W105" s="262">
        <f ca="1">TblMili[[#This Row],[Draft]] * (1 + TblMili[[#This Row],[Mods_Def]])</f>
        <v>15846.1875</v>
      </c>
      <c r="X105" s="262">
        <f ca="1">TblConstr[[#This Row],[Land]]</f>
        <v>700</v>
      </c>
      <c r="Y105" s="265"/>
      <c r="Z105" s="270">
        <f ca="1">IF(TblMili[[#This Row],[Set]]&lt;&gt;"",TblMili[[#This Row],[Set]],OFFSET(TblMili[[#This Row],[Draftrate]],-1,0))</f>
        <v>0.9</v>
      </c>
      <c r="AA105" s="97">
        <f ca="1">OFFSET(TblMili[[#This Row],[Draftees]],-1,0)+OFFSET(TblPop[[#This Row],[Draft Growth]],-1,0) - SUM(TblMili[[#This Row],[Train Unit 1]:[Train Spies]],TblMili[[#This Row],[Train Wiz]]) - TblMili[[#This Row],[Release Draft]] + SUM(TblMili[[#This Row],[Release Unit 1]:[Release AM]]) - TblExplore[[#This Row],[Draftees (2)]]</f>
        <v>2233</v>
      </c>
      <c r="AB105" s="157"/>
      <c r="AC105" s="183">
        <f ca="1">(TblConstr[[#This Row],[Tot Smi]]+TblConstr[[#This Row],[Dest Smi]])/(TblConstr[[#This Row],[Land]]-TblExplore[[#This Row],[Land Bonus]]*20)</f>
        <v>0.18</v>
      </c>
      <c r="AD105" s="140"/>
      <c r="AE105" s="261">
        <f>TblMili[[#This Row],[Hour]]</f>
        <v>102</v>
      </c>
      <c r="AF105" s="141">
        <f ca="1">TblExplore[[#This Row],[Time]]</f>
        <v>45433.958333333088</v>
      </c>
      <c r="AG105" s="182"/>
      <c r="AH105" s="182"/>
      <c r="AI105" s="182"/>
      <c r="AJ105" s="182"/>
      <c r="AK105" s="182"/>
      <c r="AL105" s="182"/>
      <c r="AM105" s="182"/>
      <c r="AN105" s="182"/>
      <c r="AO105" s="145"/>
      <c r="AP105" s="97">
        <f ca="1">TblProd[[#This Row],[Platinum]]</f>
        <v>1227079</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45433.958333333088</v>
      </c>
      <c r="AV105" s="97">
        <f ca="1">TblMili[[#This Row],[Draftees]]</f>
        <v>2233</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192</v>
      </c>
      <c r="BJ105" s="97">
        <f ca="1">ROUNDUP(IF(race="Gnome",1,(1-MIN(TblMili[[#This Row],[Smithies]]*smithy_bonus,smithy_bonus_cap) + tech_3_5*TblTech[[#This Row],[3-5]] + tech_5_3*TblTech[[#This Row],[5-3]] + tech_5_5*TblTech[[#This Row],[5-5]]))*spec_op_ore,0)</f>
        <v>0</v>
      </c>
      <c r="BK105" s="97">
        <f ca="1">ROUNDUP((1-MIN(TblMili[[#This Row],[Smithies]]*smithy_bonus,smithy_bonus_cap) + tech_3_5*TblTech[[#This Row],[3-5]] + tech_5_3*TblTech[[#This Row],[5-3]] + tech_5_5*TblTech[[#This Row],[5-5]])*spec_dp_plat,0)</f>
        <v>192</v>
      </c>
      <c r="BL105" s="97">
        <f ca="1">ROUNDUP(IF(race="Gnome",1,(1-MIN(TblMili[[#This Row],[Smithies]]*smithy_bonus,smithy_bonus_cap) + tech_3_5*TblTech[[#This Row],[3-5]] + tech_5_3*TblTech[[#This Row],[5-3]] + tech_5_5*TblTech[[#This Row],[5-5]]))*spec_dp_ore,0)</f>
        <v>0</v>
      </c>
      <c r="BM105" s="97">
        <f ca="1">ROUNDUP((1-MIN(TblMili[[#This Row],[Smithies]]*smithy_bonus,smithy_bonus_cap) + tech_3_5*TblTech[[#This Row],[3-5]] + tech_5_3*TblTech[[#This Row],[5-3]] + tech_5_5*TblTech[[#This Row],[5-5]])*elite1_plat,0)</f>
        <v>592</v>
      </c>
      <c r="BN105" s="97">
        <f ca="1">ROUNDUP(IF(race="Gnome",1,(1-MIN(TblMili[[#This Row],[Smithies]]*smithy_bonus,smithy_bonus_cap) + tech_3_5*TblTech[[#This Row],[3-5]] + tech_5_3*TblTech[[#This Row],[5-3]] + tech_5_5*TblTech[[#This Row],[5-5]]))*elite1_ore,0)</f>
        <v>0</v>
      </c>
      <c r="BO105" s="97">
        <f ca="1">ROUNDUP((1-MIN(TblMili[[#This Row],[Smithies]]*smithy_bonus,smithy_bonus_cap) + tech_3_5*TblTech[[#This Row],[3-5]] + tech_5_3*TblTech[[#This Row],[5-3]] + tech_5_5*TblTech[[#This Row],[5-5]])*elite2_plat,0)</f>
        <v>608</v>
      </c>
      <c r="BP105" s="97">
        <f ca="1">ROUNDUP(IF(race="Gnome",1,(1-MIN(TblMili[[#This Row],[Smithies]]*smithy_bonus,smithy_bonus_cap) + tech_3_5*TblTech[[#This Row],[3-5]] + tech_5_3*TblTech[[#This Row],[5-3]] + tech_5_5*TblTech[[#This Row],[5-5]]))*elite2_ore,0)</f>
        <v>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5.7142857142857141E-2</v>
      </c>
      <c r="BW105" s="160">
        <f ca="1">TblMili[[#This Row],[WG''s]]</f>
        <v>0</v>
      </c>
      <c r="BX105" s="266">
        <f ca="1">IF(mystic_cap="none",TblMili[[#This Row],[Hill]]/mystic_bonus,MIN(mystic_cap,TblMili[[#This Row],[Hill]]/mystic_bonus))</f>
        <v>0.2857142857142857</v>
      </c>
      <c r="BY105" s="266">
        <f ca="1">IF(druid_op_cap="none",TblMili[[#This Row],[Hill]]/druid_op_bonus,MIN(druid_op_cap,TblMili[[#This Row],[Hill]]/druid_op_bonus))</f>
        <v>0.2857142857142857</v>
      </c>
      <c r="BZ105" s="266">
        <f ca="1">IF(druid_dp_cap="none",TblMili[[#This Row],[Hill]]/druid_dp_bonus,MIN(druid_dp_cap,TblMili[[#This Row],[Hill]]/druid_dp_bonus))</f>
        <v>0.2857142857142857</v>
      </c>
      <c r="CA105" s="266">
        <f ca="1">MIN(dryad_cap,TblMili[[#This Row],[Hill]]/dryad_bonus)</f>
        <v>0.2857142857142857</v>
      </c>
      <c r="CB105" s="266">
        <f ca="1">MIN(rocka_cap,TblMili[[#This Row],[Hill]]/rocka_bonus)</f>
        <v>0.2857142857142857</v>
      </c>
      <c r="CC105" s="266">
        <f ca="1">MIN(adept_op_cap,TblMili[[#This Row],[WG]]/adept_op_bonus)</f>
        <v>0</v>
      </c>
      <c r="CD105" s="266">
        <f ca="1">MIN(adept_dp_cap,TblMili[[#This Row],[WG]]/adept_dp_bonus)</f>
        <v>0</v>
      </c>
      <c r="CE105" s="97">
        <f ca="1">MIN(TblMili[[#This Row],[Unit 3]],TblMili[[#This Row],[Unit 2]])*2</f>
        <v>1400</v>
      </c>
      <c r="CF105" s="97">
        <f ca="1">MIN(TblMili[[#This Row],[Unit 1]],TblMili[[#This Row],[Unit 4]])*2</f>
        <v>0</v>
      </c>
      <c r="CG105" s="266">
        <f ca="1">MIN(frost_mage_cap,TblMili[[#This Row],[Hill]]/frost_mage_bonus)</f>
        <v>0.2857142857142857</v>
      </c>
      <c r="CH105" s="45">
        <f ca="1">MIN(ice_elem_cap,TblMili[[#This Row],[Raw (2)]]*ice_elem_bonus)</f>
        <v>3.5714285714285712E-2</v>
      </c>
      <c r="CI105" s="266">
        <f t="shared" si="4"/>
        <v>0.83333333333333337</v>
      </c>
      <c r="CJ105" s="266">
        <f ca="1">MIN(nox_nightshade_cap,TblConstr[[#This Row],[Homeland]]/TblConstr[[#This Row],[Land]]/nox_nightshade_swamp_bonus)</f>
        <v>0.5714285714285714</v>
      </c>
      <c r="CK105" s="267"/>
      <c r="CL105" s="267"/>
      <c r="CM105" s="267"/>
      <c r="CN105" s="266">
        <f ca="1">MIN(6,TblMili[[#This Row],[Mystic]]+Races!$F$19)*1.8 +  IF(TblMili[[#This Row],[Mystic]]+Races!$F$19&gt;6,(TblMili[[#This Row],[Mystic]]+Races!$F$19-6)*0.2,0) - Races!$I$19</f>
        <v>0.51428571428571423</v>
      </c>
      <c r="CO10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5" s="97">
        <f ca="1">TblMili[[#This Row],[Mystic bonus]]*TblMili[[#This Row],[Unit 3]]+TblMili[[#This Row],[Druid bonus]]*TblMili[[#This Row],[Unit 4]]</f>
        <v>1149.4285714285706</v>
      </c>
      <c r="CQ105" s="158">
        <f ca="1">MIN(6,TblMili[[#This Row],[Dryad]]+Races!$F$35)*1.8 +  IF(TblMili[[#This Row],[Dryad]]+Races!$F$35&gt;6,(TblMili[[#This Row],[Dryad]]+Races!$F$35-6)*0.2,0) - Races!$I$19</f>
        <v>-1.2857142857142856</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2.7642857142857133</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0.51428571428571423</v>
      </c>
      <c r="CX105" s="158">
        <f ca="1">1.8 * MIN(MAX(TblMili[[#This Row],[Ice Elemental]]+Races!$E$71,Races!$F$71),6)  +  0.45 * MIN(MIN(TblMili[[#This Row],[Ice Elemental]]+Races!$E$71,Races!$F$71),6)  +  0.2 * ( MAX(TblMili[[#This Row],[Ice Elemental]]+Races!$E$71-6,0) + MAX(Races!$F$71-6,0) )  -  Races!$I$71</f>
        <v>6.4285714285714946E-2</v>
      </c>
      <c r="CY105" s="97">
        <f ca="1">TblMili[[#This Row],[Frost Mage bonus]]*TblMili[[#This Row],[Unit 3]]+TblMili[[#This Row],[Ice Elemental bonus]]*TblMili[[#This Row],[Unit 4]]</f>
        <v>438.94285714285786</v>
      </c>
      <c r="CZ105" s="268"/>
      <c r="DA105" s="146">
        <f ca="1">MIN(SUM(TblConstr[[#This Row],[Plain]:[Water]])/TblMili[[#This Row],[Land]]/favorable_terrain_bonus/100,favorable_terrain_max)</f>
        <v>0</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5" s="145"/>
      <c r="DE105" s="269">
        <f ca="1">(TblMili[[#This Row],[Wizards]]+2*TblMili[[#This Row],[Archmages]])/TblConstr[[#This Row],[Land]]</f>
        <v>3.5714285714285712E-2</v>
      </c>
      <c r="DF105" s="269">
        <f ca="1">TblMili[[#This Row],[Raw (2)]]*(1+race_wizard_strength+IF(TblMili[[#This Row],[Hour]]&gt;72,tech_magical_weaponry_wiz*TblTech[[#This Row],[3-5]],0))</f>
        <v>3.5714285714285712E-2</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5532</v>
      </c>
      <c r="C106" s="160">
        <f ca="1">TblPop[[#This Row],[Military%]]</f>
        <v>0.42754463250637609</v>
      </c>
      <c r="D106" s="145"/>
      <c r="E106" s="45">
        <f ca="1">OFFSET(TblMili[[#This Row],[Unit 1]],-1,0) + OFFSET(TblMili[[#This Row],[Train Unit 1]],-9,0) - TblMili[[#This Row],[Release Unit 1]]</f>
        <v>0</v>
      </c>
      <c r="F106" s="45">
        <f ca="1">OFFSET(TblMili[[#This Row],[Unit 2]],-1,0) + OFFSET(TblMili[[#This Row],[Train Unit 2]],-9,0)-TblMili[[#This Row],[Release Unit 2]]</f>
        <v>1246</v>
      </c>
      <c r="G106" s="45">
        <f ca="1">OFFSET(TblMili[[#This Row],[Unit 3]],-1,0) + OFFSET(TblMili[[#This Row],[Train Unit 3]],-12,0)-TblMili[[#This Row],[Release Unit 3]]</f>
        <v>700</v>
      </c>
      <c r="H106" s="45">
        <f ca="1">OFFSET(TblMili[[#This Row],[Unit 4]],-1,0) + OFFSET(TblMili[[#This Row],[Train Unit 4]],-12,0)-TblMili[[#This Row],[Release Unit 4]]</f>
        <v>1228</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42359.8</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6140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6293.4999999999991</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6" s="262">
        <f ca="1">TblMili[[#This Row],[Non Draft]]+TblMili[[#This Row],[Draftees]]</f>
        <v>12880</v>
      </c>
      <c r="U106" s="263">
        <f ca="1">race_defense + TblImps[[#This Row],[Walls]] + ROUND( MIN(gt_bonus*TblConstr[[#This Row],[Tot GT]]/TblConstr[[#This Row],[Land]],gt_bonus_cap), 4) + IF(TblMagic[[#This Row],[Active Howling]]&gt;0,howling_dp_bonus,IF(TblMagic[[#This Row],[Active Ares Call]]&gt;0,ares_call_bonus))</f>
        <v>0.23750000000000002</v>
      </c>
      <c r="V106" s="264">
        <f ca="1">TblMili[[#This Row],[Non Draft]] * (1 + TblMili[[#This Row],[Mods_Def]])</f>
        <v>13082.85</v>
      </c>
      <c r="W106" s="262">
        <f ca="1">TblMili[[#This Row],[Draft]] * (1 + TblMili[[#This Row],[Mods_Def]])</f>
        <v>15939</v>
      </c>
      <c r="X106" s="262">
        <f ca="1">TblConstr[[#This Row],[Land]]</f>
        <v>700</v>
      </c>
      <c r="Y106" s="265"/>
      <c r="Z106" s="270">
        <f ca="1">IF(TblMili[[#This Row],[Set]]&lt;&gt;"",TblMili[[#This Row],[Set]],OFFSET(TblMili[[#This Row],[Draftrate]],-1,0))</f>
        <v>0.9</v>
      </c>
      <c r="AA106" s="97">
        <f ca="1">OFFSET(TblMili[[#This Row],[Draftees]],-1,0)+OFFSET(TblPop[[#This Row],[Draft Growth]],-1,0) - SUM(TblMili[[#This Row],[Train Unit 1]:[Train Spies]],TblMili[[#This Row],[Train Wiz]]) - TblMili[[#This Row],[Release Draft]] + SUM(TblMili[[#This Row],[Release Unit 1]:[Release AM]]) - TblExplore[[#This Row],[Draftees (2)]]</f>
        <v>2308</v>
      </c>
      <c r="AB106" s="157"/>
      <c r="AC106" s="183">
        <f ca="1">(TblConstr[[#This Row],[Tot Smi]]+TblConstr[[#This Row],[Dest Smi]])/(TblConstr[[#This Row],[Land]]-TblExplore[[#This Row],[Land Bonus]]*20)</f>
        <v>0.18</v>
      </c>
      <c r="AD106" s="140"/>
      <c r="AE106" s="261">
        <f>TblMili[[#This Row],[Hour]]</f>
        <v>103</v>
      </c>
      <c r="AF106" s="141">
        <f ca="1">TblExplore[[#This Row],[Time]]</f>
        <v>45433.999999999753</v>
      </c>
      <c r="AG106" s="182"/>
      <c r="AH106" s="182"/>
      <c r="AI106" s="182"/>
      <c r="AJ106" s="182"/>
      <c r="AK106" s="182"/>
      <c r="AL106" s="182"/>
      <c r="AM106" s="182"/>
      <c r="AN106" s="182"/>
      <c r="AO106" s="145"/>
      <c r="AP106" s="97">
        <f ca="1">TblProd[[#This Row],[Platinum]]</f>
        <v>1266845</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45433.999999999753</v>
      </c>
      <c r="AV106" s="97">
        <f ca="1">TblMili[[#This Row],[Draftees]]</f>
        <v>2308</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192</v>
      </c>
      <c r="BJ106" s="97">
        <f ca="1">ROUNDUP(IF(race="Gnome",1,(1-MIN(TblMili[[#This Row],[Smithies]]*smithy_bonus,smithy_bonus_cap) + tech_3_5*TblTech[[#This Row],[3-5]] + tech_5_3*TblTech[[#This Row],[5-3]] + tech_5_5*TblTech[[#This Row],[5-5]]))*spec_op_ore,0)</f>
        <v>0</v>
      </c>
      <c r="BK106" s="97">
        <f ca="1">ROUNDUP((1-MIN(TblMili[[#This Row],[Smithies]]*smithy_bonus,smithy_bonus_cap) + tech_3_5*TblTech[[#This Row],[3-5]] + tech_5_3*TblTech[[#This Row],[5-3]] + tech_5_5*TblTech[[#This Row],[5-5]])*spec_dp_plat,0)</f>
        <v>192</v>
      </c>
      <c r="BL106" s="97">
        <f ca="1">ROUNDUP(IF(race="Gnome",1,(1-MIN(TblMili[[#This Row],[Smithies]]*smithy_bonus,smithy_bonus_cap) + tech_3_5*TblTech[[#This Row],[3-5]] + tech_5_3*TblTech[[#This Row],[5-3]] + tech_5_5*TblTech[[#This Row],[5-5]]))*spec_dp_ore,0)</f>
        <v>0</v>
      </c>
      <c r="BM106" s="97">
        <f ca="1">ROUNDUP((1-MIN(TblMili[[#This Row],[Smithies]]*smithy_bonus,smithy_bonus_cap) + tech_3_5*TblTech[[#This Row],[3-5]] + tech_5_3*TblTech[[#This Row],[5-3]] + tech_5_5*TblTech[[#This Row],[5-5]])*elite1_plat,0)</f>
        <v>592</v>
      </c>
      <c r="BN106" s="97">
        <f ca="1">ROUNDUP(IF(race="Gnome",1,(1-MIN(TblMili[[#This Row],[Smithies]]*smithy_bonus,smithy_bonus_cap) + tech_3_5*TblTech[[#This Row],[3-5]] + tech_5_3*TblTech[[#This Row],[5-3]] + tech_5_5*TblTech[[#This Row],[5-5]]))*elite1_ore,0)</f>
        <v>0</v>
      </c>
      <c r="BO106" s="97">
        <f ca="1">ROUNDUP((1-MIN(TblMili[[#This Row],[Smithies]]*smithy_bonus,smithy_bonus_cap) + tech_3_5*TblTech[[#This Row],[3-5]] + tech_5_3*TblTech[[#This Row],[5-3]] + tech_5_5*TblTech[[#This Row],[5-5]])*elite2_plat,0)</f>
        <v>608</v>
      </c>
      <c r="BP106" s="97">
        <f ca="1">ROUNDUP(IF(race="Gnome",1,(1-MIN(TblMili[[#This Row],[Smithies]]*smithy_bonus,smithy_bonus_cap) + tech_3_5*TblTech[[#This Row],[3-5]] + tech_5_3*TblTech[[#This Row],[5-3]] + tech_5_5*TblTech[[#This Row],[5-5]]))*elite2_ore,0)</f>
        <v>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5.7142857142857141E-2</v>
      </c>
      <c r="BW106" s="160">
        <f ca="1">TblMili[[#This Row],[WG''s]]</f>
        <v>0</v>
      </c>
      <c r="BX106" s="266">
        <f ca="1">IF(mystic_cap="none",TblMili[[#This Row],[Hill]]/mystic_bonus,MIN(mystic_cap,TblMili[[#This Row],[Hill]]/mystic_bonus))</f>
        <v>0.2857142857142857</v>
      </c>
      <c r="BY106" s="266">
        <f ca="1">IF(druid_op_cap="none",TblMili[[#This Row],[Hill]]/druid_op_bonus,MIN(druid_op_cap,TblMili[[#This Row],[Hill]]/druid_op_bonus))</f>
        <v>0.2857142857142857</v>
      </c>
      <c r="BZ106" s="266">
        <f ca="1">IF(druid_dp_cap="none",TblMili[[#This Row],[Hill]]/druid_dp_bonus,MIN(druid_dp_cap,TblMili[[#This Row],[Hill]]/druid_dp_bonus))</f>
        <v>0.2857142857142857</v>
      </c>
      <c r="CA106" s="266">
        <f ca="1">MIN(dryad_cap,TblMili[[#This Row],[Hill]]/dryad_bonus)</f>
        <v>0.2857142857142857</v>
      </c>
      <c r="CB106" s="266">
        <f ca="1">MIN(rocka_cap,TblMili[[#This Row],[Hill]]/rocka_bonus)</f>
        <v>0.2857142857142857</v>
      </c>
      <c r="CC106" s="266">
        <f ca="1">MIN(adept_op_cap,TblMili[[#This Row],[WG]]/adept_op_bonus)</f>
        <v>0</v>
      </c>
      <c r="CD106" s="266">
        <f ca="1">MIN(adept_dp_cap,TblMili[[#This Row],[WG]]/adept_dp_bonus)</f>
        <v>0</v>
      </c>
      <c r="CE106" s="97">
        <f ca="1">MIN(TblMili[[#This Row],[Unit 3]],TblMili[[#This Row],[Unit 2]])*2</f>
        <v>1400</v>
      </c>
      <c r="CF106" s="97">
        <f ca="1">MIN(TblMili[[#This Row],[Unit 1]],TblMili[[#This Row],[Unit 4]])*2</f>
        <v>0</v>
      </c>
      <c r="CG106" s="266">
        <f ca="1">MIN(frost_mage_cap,TblMili[[#This Row],[Hill]]/frost_mage_bonus)</f>
        <v>0.2857142857142857</v>
      </c>
      <c r="CH106" s="45">
        <f ca="1">MIN(ice_elem_cap,TblMili[[#This Row],[Raw (2)]]*ice_elem_bonus)</f>
        <v>3.5714285714285712E-2</v>
      </c>
      <c r="CI106" s="266">
        <f t="shared" si="4"/>
        <v>0.83333333333333337</v>
      </c>
      <c r="CJ106" s="266">
        <f ca="1">MIN(nox_nightshade_cap,TblConstr[[#This Row],[Homeland]]/TblConstr[[#This Row],[Land]]/nox_nightshade_swamp_bonus)</f>
        <v>0.5714285714285714</v>
      </c>
      <c r="CK106" s="267"/>
      <c r="CL106" s="267"/>
      <c r="CM106" s="267"/>
      <c r="CN106" s="266">
        <f ca="1">MIN(6,TblMili[[#This Row],[Mystic]]+Races!$F$19)*1.8 +  IF(TblMili[[#This Row],[Mystic]]+Races!$F$19&gt;6,(TblMili[[#This Row],[Mystic]]+Races!$F$19-6)*0.2,0) - Races!$I$19</f>
        <v>0.51428571428571423</v>
      </c>
      <c r="CO10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6" s="97">
        <f ca="1">TblMili[[#This Row],[Mystic bonus]]*TblMili[[#This Row],[Unit 3]]+TblMili[[#This Row],[Druid bonus]]*TblMili[[#This Row],[Unit 4]]</f>
        <v>1149.4285714285706</v>
      </c>
      <c r="CQ106" s="158">
        <f ca="1">MIN(6,TblMili[[#This Row],[Dryad]]+Races!$F$35)*1.8 +  IF(TblMili[[#This Row],[Dryad]]+Races!$F$35&gt;6,(TblMili[[#This Row],[Dryad]]+Races!$F$35-6)*0.2,0) - Races!$I$19</f>
        <v>-1.2857142857142856</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2.7642857142857133</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0.51428571428571423</v>
      </c>
      <c r="CX106" s="158">
        <f ca="1">1.8 * MIN(MAX(TblMili[[#This Row],[Ice Elemental]]+Races!$E$71,Races!$F$71),6)  +  0.45 * MIN(MIN(TblMili[[#This Row],[Ice Elemental]]+Races!$E$71,Races!$F$71),6)  +  0.2 * ( MAX(TblMili[[#This Row],[Ice Elemental]]+Races!$E$71-6,0) + MAX(Races!$F$71-6,0) )  -  Races!$I$71</f>
        <v>6.4285714285714946E-2</v>
      </c>
      <c r="CY106" s="97">
        <f ca="1">TblMili[[#This Row],[Frost Mage bonus]]*TblMili[[#This Row],[Unit 3]]+TblMili[[#This Row],[Ice Elemental bonus]]*TblMili[[#This Row],[Unit 4]]</f>
        <v>438.94285714285786</v>
      </c>
      <c r="CZ106" s="268"/>
      <c r="DA106" s="146">
        <f ca="1">MIN(SUM(TblConstr[[#This Row],[Plain]:[Water]])/TblMili[[#This Row],[Land]]/favorable_terrain_bonus/100,favorable_terrain_max)</f>
        <v>0</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6" s="145"/>
      <c r="DE106" s="269">
        <f ca="1">(TblMili[[#This Row],[Wizards]]+2*TblMili[[#This Row],[Archmages]])/TblConstr[[#This Row],[Land]]</f>
        <v>3.5714285714285712E-2</v>
      </c>
      <c r="DF106" s="269">
        <f ca="1">TblMili[[#This Row],[Raw (2)]]*(1+race_wizard_strength+IF(TblMili[[#This Row],[Hour]]&gt;72,tech_magical_weaponry_wiz*TblTech[[#This Row],[3-5]],0))</f>
        <v>3.5714285714285712E-2</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5606</v>
      </c>
      <c r="C107" s="160">
        <f ca="1">TblPop[[#This Row],[Military%]]</f>
        <v>0.43326377618053946</v>
      </c>
      <c r="D107" s="145"/>
      <c r="E107" s="45">
        <f ca="1">OFFSET(TblMili[[#This Row],[Unit 1]],-1,0) + OFFSET(TblMili[[#This Row],[Train Unit 1]],-9,0) - TblMili[[#This Row],[Release Unit 1]]</f>
        <v>0</v>
      </c>
      <c r="F107" s="45">
        <f ca="1">OFFSET(TblMili[[#This Row],[Unit 2]],-1,0) + OFFSET(TblMili[[#This Row],[Train Unit 2]],-9,0)-TblMili[[#This Row],[Release Unit 2]]</f>
        <v>1246</v>
      </c>
      <c r="G107" s="45">
        <f ca="1">OFFSET(TblMili[[#This Row],[Unit 3]],-1,0) + OFFSET(TblMili[[#This Row],[Train Unit 3]],-12,0)-TblMili[[#This Row],[Release Unit 3]]</f>
        <v>700</v>
      </c>
      <c r="H107" s="45">
        <f ca="1">OFFSET(TblMili[[#This Row],[Unit 4]],-1,0) + OFFSET(TblMili[[#This Row],[Train Unit 4]],-12,0)-TblMili[[#This Row],[Release Unit 4]]</f>
        <v>1228</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42359.8</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6140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6293.4999999999991</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7" s="262">
        <f ca="1">TblMili[[#This Row],[Non Draft]]+TblMili[[#This Row],[Draftees]]</f>
        <v>12954</v>
      </c>
      <c r="U107" s="263">
        <f ca="1">race_defense + TblImps[[#This Row],[Walls]] + ROUND( MIN(gt_bonus*TblConstr[[#This Row],[Tot GT]]/TblConstr[[#This Row],[Land]],gt_bonus_cap), 4) + IF(TblMagic[[#This Row],[Active Howling]]&gt;0,howling_dp_bonus,IF(TblMagic[[#This Row],[Active Ares Call]]&gt;0,ares_call_bonus))</f>
        <v>0.23750000000000002</v>
      </c>
      <c r="V107" s="264">
        <f ca="1">TblMili[[#This Row],[Non Draft]] * (1 + TblMili[[#This Row],[Mods_Def]])</f>
        <v>13082.85</v>
      </c>
      <c r="W107" s="262">
        <f ca="1">TblMili[[#This Row],[Draft]] * (1 + TblMili[[#This Row],[Mods_Def]])</f>
        <v>16030.575000000001</v>
      </c>
      <c r="X107" s="262">
        <f ca="1">TblConstr[[#This Row],[Land]]</f>
        <v>700</v>
      </c>
      <c r="Y107" s="265"/>
      <c r="Z107" s="270">
        <f ca="1">IF(TblMili[[#This Row],[Set]]&lt;&gt;"",TblMili[[#This Row],[Set]],OFFSET(TblMili[[#This Row],[Draftrate]],-1,0))</f>
        <v>0.9</v>
      </c>
      <c r="AA107" s="97">
        <f ca="1">OFFSET(TblMili[[#This Row],[Draftees]],-1,0)+OFFSET(TblPop[[#This Row],[Draft Growth]],-1,0) - SUM(TblMili[[#This Row],[Train Unit 1]:[Train Spies]],TblMili[[#This Row],[Train Wiz]]) - TblMili[[#This Row],[Release Draft]] + SUM(TblMili[[#This Row],[Release Unit 1]:[Release AM]]) - TblExplore[[#This Row],[Draftees (2)]]</f>
        <v>2382</v>
      </c>
      <c r="AB107" s="157"/>
      <c r="AC107" s="183">
        <f ca="1">(TblConstr[[#This Row],[Tot Smi]]+TblConstr[[#This Row],[Dest Smi]])/(TblConstr[[#This Row],[Land]]-TblExplore[[#This Row],[Land Bonus]]*20)</f>
        <v>0.18</v>
      </c>
      <c r="AD107" s="140"/>
      <c r="AE107" s="261">
        <f>TblMili[[#This Row],[Hour]]</f>
        <v>104</v>
      </c>
      <c r="AF107" s="141">
        <f ca="1">TblExplore[[#This Row],[Time]]</f>
        <v>45434.041666666417</v>
      </c>
      <c r="AG107" s="182"/>
      <c r="AH107" s="182"/>
      <c r="AI107" s="182"/>
      <c r="AJ107" s="182"/>
      <c r="AK107" s="182"/>
      <c r="AL107" s="182"/>
      <c r="AM107" s="182"/>
      <c r="AN107" s="182"/>
      <c r="AO107" s="145"/>
      <c r="AP107" s="97">
        <f ca="1">TblProd[[#This Row],[Platinum]]</f>
        <v>1306388</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45434.041666666417</v>
      </c>
      <c r="AV107" s="97">
        <f ca="1">TblMili[[#This Row],[Draftees]]</f>
        <v>2382</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192</v>
      </c>
      <c r="BJ107" s="97">
        <f ca="1">ROUNDUP(IF(race="Gnome",1,(1-MIN(TblMili[[#This Row],[Smithies]]*smithy_bonus,smithy_bonus_cap) + tech_3_5*TblTech[[#This Row],[3-5]] + tech_5_3*TblTech[[#This Row],[5-3]] + tech_5_5*TblTech[[#This Row],[5-5]]))*spec_op_ore,0)</f>
        <v>0</v>
      </c>
      <c r="BK107" s="97">
        <f ca="1">ROUNDUP((1-MIN(TblMili[[#This Row],[Smithies]]*smithy_bonus,smithy_bonus_cap) + tech_3_5*TblTech[[#This Row],[3-5]] + tech_5_3*TblTech[[#This Row],[5-3]] + tech_5_5*TblTech[[#This Row],[5-5]])*spec_dp_plat,0)</f>
        <v>192</v>
      </c>
      <c r="BL107" s="97">
        <f ca="1">ROUNDUP(IF(race="Gnome",1,(1-MIN(TblMili[[#This Row],[Smithies]]*smithy_bonus,smithy_bonus_cap) + tech_3_5*TblTech[[#This Row],[3-5]] + tech_5_3*TblTech[[#This Row],[5-3]] + tech_5_5*TblTech[[#This Row],[5-5]]))*spec_dp_ore,0)</f>
        <v>0</v>
      </c>
      <c r="BM107" s="97">
        <f ca="1">ROUNDUP((1-MIN(TblMili[[#This Row],[Smithies]]*smithy_bonus,smithy_bonus_cap) + tech_3_5*TblTech[[#This Row],[3-5]] + tech_5_3*TblTech[[#This Row],[5-3]] + tech_5_5*TblTech[[#This Row],[5-5]])*elite1_plat,0)</f>
        <v>592</v>
      </c>
      <c r="BN107" s="97">
        <f ca="1">ROUNDUP(IF(race="Gnome",1,(1-MIN(TblMili[[#This Row],[Smithies]]*smithy_bonus,smithy_bonus_cap) + tech_3_5*TblTech[[#This Row],[3-5]] + tech_5_3*TblTech[[#This Row],[5-3]] + tech_5_5*TblTech[[#This Row],[5-5]]))*elite1_ore,0)</f>
        <v>0</v>
      </c>
      <c r="BO107" s="97">
        <f ca="1">ROUNDUP((1-MIN(TblMili[[#This Row],[Smithies]]*smithy_bonus,smithy_bonus_cap) + tech_3_5*TblTech[[#This Row],[3-5]] + tech_5_3*TblTech[[#This Row],[5-3]] + tech_5_5*TblTech[[#This Row],[5-5]])*elite2_plat,0)</f>
        <v>608</v>
      </c>
      <c r="BP107" s="97">
        <f ca="1">ROUNDUP(IF(race="Gnome",1,(1-MIN(TblMili[[#This Row],[Smithies]]*smithy_bonus,smithy_bonus_cap) + tech_3_5*TblTech[[#This Row],[3-5]] + tech_5_3*TblTech[[#This Row],[5-3]] + tech_5_5*TblTech[[#This Row],[5-5]]))*elite2_ore,0)</f>
        <v>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5.7142857142857141E-2</v>
      </c>
      <c r="BW107" s="160">
        <f ca="1">TblMili[[#This Row],[WG''s]]</f>
        <v>0</v>
      </c>
      <c r="BX107" s="266">
        <f ca="1">IF(mystic_cap="none",TblMili[[#This Row],[Hill]]/mystic_bonus,MIN(mystic_cap,TblMili[[#This Row],[Hill]]/mystic_bonus))</f>
        <v>0.2857142857142857</v>
      </c>
      <c r="BY107" s="266">
        <f ca="1">IF(druid_op_cap="none",TblMili[[#This Row],[Hill]]/druid_op_bonus,MIN(druid_op_cap,TblMili[[#This Row],[Hill]]/druid_op_bonus))</f>
        <v>0.2857142857142857</v>
      </c>
      <c r="BZ107" s="266">
        <f ca="1">IF(druid_dp_cap="none",TblMili[[#This Row],[Hill]]/druid_dp_bonus,MIN(druid_dp_cap,TblMili[[#This Row],[Hill]]/druid_dp_bonus))</f>
        <v>0.2857142857142857</v>
      </c>
      <c r="CA107" s="266">
        <f ca="1">MIN(dryad_cap,TblMili[[#This Row],[Hill]]/dryad_bonus)</f>
        <v>0.2857142857142857</v>
      </c>
      <c r="CB107" s="266">
        <f ca="1">MIN(rocka_cap,TblMili[[#This Row],[Hill]]/rocka_bonus)</f>
        <v>0.2857142857142857</v>
      </c>
      <c r="CC107" s="266">
        <f ca="1">MIN(adept_op_cap,TblMili[[#This Row],[WG]]/adept_op_bonus)</f>
        <v>0</v>
      </c>
      <c r="CD107" s="266">
        <f ca="1">MIN(adept_dp_cap,TblMili[[#This Row],[WG]]/adept_dp_bonus)</f>
        <v>0</v>
      </c>
      <c r="CE107" s="97">
        <f ca="1">MIN(TblMili[[#This Row],[Unit 3]],TblMili[[#This Row],[Unit 2]])*2</f>
        <v>1400</v>
      </c>
      <c r="CF107" s="97">
        <f ca="1">MIN(TblMili[[#This Row],[Unit 1]],TblMili[[#This Row],[Unit 4]])*2</f>
        <v>0</v>
      </c>
      <c r="CG107" s="266">
        <f ca="1">MIN(frost_mage_cap,TblMili[[#This Row],[Hill]]/frost_mage_bonus)</f>
        <v>0.2857142857142857</v>
      </c>
      <c r="CH107" s="45">
        <f ca="1">MIN(ice_elem_cap,TblMili[[#This Row],[Raw (2)]]*ice_elem_bonus)</f>
        <v>3.5714285714285712E-2</v>
      </c>
      <c r="CI107" s="266">
        <f t="shared" si="4"/>
        <v>0.83333333333333337</v>
      </c>
      <c r="CJ107" s="266">
        <f ca="1">MIN(nox_nightshade_cap,TblConstr[[#This Row],[Homeland]]/TblConstr[[#This Row],[Land]]/nox_nightshade_swamp_bonus)</f>
        <v>0.5714285714285714</v>
      </c>
      <c r="CK107" s="267"/>
      <c r="CL107" s="267"/>
      <c r="CM107" s="267"/>
      <c r="CN107" s="266">
        <f ca="1">MIN(6,TblMili[[#This Row],[Mystic]]+Races!$F$19)*1.8 +  IF(TblMili[[#This Row],[Mystic]]+Races!$F$19&gt;6,(TblMili[[#This Row],[Mystic]]+Races!$F$19-6)*0.2,0) - Races!$I$19</f>
        <v>0.51428571428571423</v>
      </c>
      <c r="CO10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7" s="97">
        <f ca="1">TblMili[[#This Row],[Mystic bonus]]*TblMili[[#This Row],[Unit 3]]+TblMili[[#This Row],[Druid bonus]]*TblMili[[#This Row],[Unit 4]]</f>
        <v>1149.4285714285706</v>
      </c>
      <c r="CQ107" s="158">
        <f ca="1">MIN(6,TblMili[[#This Row],[Dryad]]+Races!$F$35)*1.8 +  IF(TblMili[[#This Row],[Dryad]]+Races!$F$35&gt;6,(TblMili[[#This Row],[Dryad]]+Races!$F$35-6)*0.2,0) - Races!$I$19</f>
        <v>-1.2857142857142856</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2.7642857142857133</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0.51428571428571423</v>
      </c>
      <c r="CX107" s="158">
        <f ca="1">1.8 * MIN(MAX(TblMili[[#This Row],[Ice Elemental]]+Races!$E$71,Races!$F$71),6)  +  0.45 * MIN(MIN(TblMili[[#This Row],[Ice Elemental]]+Races!$E$71,Races!$F$71),6)  +  0.2 * ( MAX(TblMili[[#This Row],[Ice Elemental]]+Races!$E$71-6,0) + MAX(Races!$F$71-6,0) )  -  Races!$I$71</f>
        <v>6.4285714285714946E-2</v>
      </c>
      <c r="CY107" s="97">
        <f ca="1">TblMili[[#This Row],[Frost Mage bonus]]*TblMili[[#This Row],[Unit 3]]+TblMili[[#This Row],[Ice Elemental bonus]]*TblMili[[#This Row],[Unit 4]]</f>
        <v>438.94285714285786</v>
      </c>
      <c r="CZ107" s="268"/>
      <c r="DA107" s="146">
        <f ca="1">MIN(SUM(TblConstr[[#This Row],[Plain]:[Water]])/TblMili[[#This Row],[Land]]/favorable_terrain_bonus/100,favorable_terrain_max)</f>
        <v>0</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7" s="145"/>
      <c r="DE107" s="269">
        <f ca="1">(TblMili[[#This Row],[Wizards]]+2*TblMili[[#This Row],[Archmages]])/TblConstr[[#This Row],[Land]]</f>
        <v>3.5714285714285712E-2</v>
      </c>
      <c r="DF107" s="269">
        <f ca="1">TblMili[[#This Row],[Raw (2)]]*(1+race_wizard_strength+IF(TblMili[[#This Row],[Hour]]&gt;72,tech_magical_weaponry_wiz*TblTech[[#This Row],[3-5]],0))</f>
        <v>3.5714285714285712E-2</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5679</v>
      </c>
      <c r="C108" s="160">
        <f ca="1">TblPop[[#This Row],[Military%]]</f>
        <v>0.43890563412937633</v>
      </c>
      <c r="D108" s="145"/>
      <c r="E108" s="45">
        <f ca="1">OFFSET(TblMili[[#This Row],[Unit 1]],-1,0) + OFFSET(TblMili[[#This Row],[Train Unit 1]],-9,0) - TblMili[[#This Row],[Release Unit 1]]</f>
        <v>0</v>
      </c>
      <c r="F108" s="45">
        <f ca="1">OFFSET(TblMili[[#This Row],[Unit 2]],-1,0) + OFFSET(TblMili[[#This Row],[Train Unit 2]],-9,0)-TblMili[[#This Row],[Release Unit 2]]</f>
        <v>1246</v>
      </c>
      <c r="G108" s="45">
        <f ca="1">OFFSET(TblMili[[#This Row],[Unit 3]],-1,0) + OFFSET(TblMili[[#This Row],[Train Unit 3]],-12,0)-TblMili[[#This Row],[Release Unit 3]]</f>
        <v>700</v>
      </c>
      <c r="H108" s="45">
        <f ca="1">OFFSET(TblMili[[#This Row],[Unit 4]],-1,0) + OFFSET(TblMili[[#This Row],[Train Unit 4]],-12,0)-TblMili[[#This Row],[Release Unit 4]]</f>
        <v>1228</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42359.8</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6140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6293.4999999999991</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8" s="262">
        <f ca="1">TblMili[[#This Row],[Non Draft]]+TblMili[[#This Row],[Draftees]]</f>
        <v>13027</v>
      </c>
      <c r="U108" s="263">
        <f ca="1">race_defense + TblImps[[#This Row],[Walls]] + ROUND( MIN(gt_bonus*TblConstr[[#This Row],[Tot GT]]/TblConstr[[#This Row],[Land]],gt_bonus_cap), 4) + IF(TblMagic[[#This Row],[Active Howling]]&gt;0,howling_dp_bonus,IF(TblMagic[[#This Row],[Active Ares Call]]&gt;0,ares_call_bonus))</f>
        <v>0.23750000000000002</v>
      </c>
      <c r="V108" s="264">
        <f ca="1">TblMili[[#This Row],[Non Draft]] * (1 + TblMili[[#This Row],[Mods_Def]])</f>
        <v>13082.85</v>
      </c>
      <c r="W108" s="262">
        <f ca="1">TblMili[[#This Row],[Draft]] * (1 + TblMili[[#This Row],[Mods_Def]])</f>
        <v>16120.9125</v>
      </c>
      <c r="X108" s="262">
        <f ca="1">TblConstr[[#This Row],[Land]]</f>
        <v>700</v>
      </c>
      <c r="Y108" s="265"/>
      <c r="Z108" s="270">
        <f ca="1">IF(TblMili[[#This Row],[Set]]&lt;&gt;"",TblMili[[#This Row],[Set]],OFFSET(TblMili[[#This Row],[Draftrate]],-1,0))</f>
        <v>0.9</v>
      </c>
      <c r="AA108" s="97">
        <f ca="1">OFFSET(TblMili[[#This Row],[Draftees]],-1,0)+OFFSET(TblPop[[#This Row],[Draft Growth]],-1,0) - SUM(TblMili[[#This Row],[Train Unit 1]:[Train Spies]],TblMili[[#This Row],[Train Wiz]]) - TblMili[[#This Row],[Release Draft]] + SUM(TblMili[[#This Row],[Release Unit 1]:[Release AM]]) - TblExplore[[#This Row],[Draftees (2)]]</f>
        <v>2455</v>
      </c>
      <c r="AB108" s="157"/>
      <c r="AC108" s="183">
        <f ca="1">(TblConstr[[#This Row],[Tot Smi]]+TblConstr[[#This Row],[Dest Smi]])/(TblConstr[[#This Row],[Land]]-TblExplore[[#This Row],[Land Bonus]]*20)</f>
        <v>0.18</v>
      </c>
      <c r="AD108" s="140"/>
      <c r="AE108" s="261">
        <f>TblMili[[#This Row],[Hour]]</f>
        <v>105</v>
      </c>
      <c r="AF108" s="141">
        <f ca="1">TblExplore[[#This Row],[Time]]</f>
        <v>45434.083333333081</v>
      </c>
      <c r="AG108" s="182"/>
      <c r="AH108" s="182"/>
      <c r="AI108" s="182"/>
      <c r="AJ108" s="182"/>
      <c r="AK108" s="182"/>
      <c r="AL108" s="182"/>
      <c r="AM108" s="182"/>
      <c r="AN108" s="182"/>
      <c r="AO108" s="145"/>
      <c r="AP108" s="97">
        <f ca="1">TblProd[[#This Row],[Platinum]]</f>
        <v>1345712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45434.083333333081</v>
      </c>
      <c r="AV108" s="97">
        <f ca="1">TblMili[[#This Row],[Draftees]]</f>
        <v>2455</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192</v>
      </c>
      <c r="BJ108" s="97">
        <f ca="1">ROUNDUP(IF(race="Gnome",1,(1-MIN(TblMili[[#This Row],[Smithies]]*smithy_bonus,smithy_bonus_cap) + tech_3_5*TblTech[[#This Row],[3-5]] + tech_5_3*TblTech[[#This Row],[5-3]] + tech_5_5*TblTech[[#This Row],[5-5]]))*spec_op_ore,0)</f>
        <v>0</v>
      </c>
      <c r="BK108" s="97">
        <f ca="1">ROUNDUP((1-MIN(TblMili[[#This Row],[Smithies]]*smithy_bonus,smithy_bonus_cap) + tech_3_5*TblTech[[#This Row],[3-5]] + tech_5_3*TblTech[[#This Row],[5-3]] + tech_5_5*TblTech[[#This Row],[5-5]])*spec_dp_plat,0)</f>
        <v>192</v>
      </c>
      <c r="BL108" s="97">
        <f ca="1">ROUNDUP(IF(race="Gnome",1,(1-MIN(TblMili[[#This Row],[Smithies]]*smithy_bonus,smithy_bonus_cap) + tech_3_5*TblTech[[#This Row],[3-5]] + tech_5_3*TblTech[[#This Row],[5-3]] + tech_5_5*TblTech[[#This Row],[5-5]]))*spec_dp_ore,0)</f>
        <v>0</v>
      </c>
      <c r="BM108" s="97">
        <f ca="1">ROUNDUP((1-MIN(TblMili[[#This Row],[Smithies]]*smithy_bonus,smithy_bonus_cap) + tech_3_5*TblTech[[#This Row],[3-5]] + tech_5_3*TblTech[[#This Row],[5-3]] + tech_5_5*TblTech[[#This Row],[5-5]])*elite1_plat,0)</f>
        <v>592</v>
      </c>
      <c r="BN108" s="97">
        <f ca="1">ROUNDUP(IF(race="Gnome",1,(1-MIN(TblMili[[#This Row],[Smithies]]*smithy_bonus,smithy_bonus_cap) + tech_3_5*TblTech[[#This Row],[3-5]] + tech_5_3*TblTech[[#This Row],[5-3]] + tech_5_5*TblTech[[#This Row],[5-5]]))*elite1_ore,0)</f>
        <v>0</v>
      </c>
      <c r="BO108" s="97">
        <f ca="1">ROUNDUP((1-MIN(TblMili[[#This Row],[Smithies]]*smithy_bonus,smithy_bonus_cap) + tech_3_5*TblTech[[#This Row],[3-5]] + tech_5_3*TblTech[[#This Row],[5-3]] + tech_5_5*TblTech[[#This Row],[5-5]])*elite2_plat,0)</f>
        <v>608</v>
      </c>
      <c r="BP108" s="97">
        <f ca="1">ROUNDUP(IF(race="Gnome",1,(1-MIN(TblMili[[#This Row],[Smithies]]*smithy_bonus,smithy_bonus_cap) + tech_3_5*TblTech[[#This Row],[3-5]] + tech_5_3*TblTech[[#This Row],[5-3]] + tech_5_5*TblTech[[#This Row],[5-5]]))*elite2_ore,0)</f>
        <v>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5.7142857142857141E-2</v>
      </c>
      <c r="BW108" s="160">
        <f ca="1">TblMili[[#This Row],[WG''s]]</f>
        <v>0</v>
      </c>
      <c r="BX108" s="266">
        <f ca="1">IF(mystic_cap="none",TblMili[[#This Row],[Hill]]/mystic_bonus,MIN(mystic_cap,TblMili[[#This Row],[Hill]]/mystic_bonus))</f>
        <v>0.2857142857142857</v>
      </c>
      <c r="BY108" s="266">
        <f ca="1">IF(druid_op_cap="none",TblMili[[#This Row],[Hill]]/druid_op_bonus,MIN(druid_op_cap,TblMili[[#This Row],[Hill]]/druid_op_bonus))</f>
        <v>0.2857142857142857</v>
      </c>
      <c r="BZ108" s="266">
        <f ca="1">IF(druid_dp_cap="none",TblMili[[#This Row],[Hill]]/druid_dp_bonus,MIN(druid_dp_cap,TblMili[[#This Row],[Hill]]/druid_dp_bonus))</f>
        <v>0.2857142857142857</v>
      </c>
      <c r="CA108" s="266">
        <f ca="1">MIN(dryad_cap,TblMili[[#This Row],[Hill]]/dryad_bonus)</f>
        <v>0.2857142857142857</v>
      </c>
      <c r="CB108" s="266">
        <f ca="1">MIN(rocka_cap,TblMili[[#This Row],[Hill]]/rocka_bonus)</f>
        <v>0.2857142857142857</v>
      </c>
      <c r="CC108" s="266">
        <f ca="1">MIN(adept_op_cap,TblMili[[#This Row],[WG]]/adept_op_bonus)</f>
        <v>0</v>
      </c>
      <c r="CD108" s="266">
        <f ca="1">MIN(adept_dp_cap,TblMili[[#This Row],[WG]]/adept_dp_bonus)</f>
        <v>0</v>
      </c>
      <c r="CE108" s="97">
        <f ca="1">MIN(TblMili[[#This Row],[Unit 3]],TblMili[[#This Row],[Unit 2]])*2</f>
        <v>1400</v>
      </c>
      <c r="CF108" s="97">
        <f ca="1">MIN(TblMili[[#This Row],[Unit 1]],TblMili[[#This Row],[Unit 4]])*2</f>
        <v>0</v>
      </c>
      <c r="CG108" s="266">
        <f ca="1">MIN(frost_mage_cap,TblMili[[#This Row],[Hill]]/frost_mage_bonus)</f>
        <v>0.2857142857142857</v>
      </c>
      <c r="CH108" s="45">
        <f ca="1">MIN(ice_elem_cap,TblMili[[#This Row],[Raw (2)]]*ice_elem_bonus)</f>
        <v>3.5714285714285712E-2</v>
      </c>
      <c r="CI108" s="266">
        <f t="shared" si="4"/>
        <v>0.83333333333333337</v>
      </c>
      <c r="CJ108" s="266">
        <f ca="1">MIN(nox_nightshade_cap,TblConstr[[#This Row],[Homeland]]/TblConstr[[#This Row],[Land]]/nox_nightshade_swamp_bonus)</f>
        <v>0.5714285714285714</v>
      </c>
      <c r="CK108" s="267"/>
      <c r="CL108" s="267"/>
      <c r="CM108" s="267"/>
      <c r="CN108" s="266">
        <f ca="1">MIN(6,TblMili[[#This Row],[Mystic]]+Races!$F$19)*1.8 +  IF(TblMili[[#This Row],[Mystic]]+Races!$F$19&gt;6,(TblMili[[#This Row],[Mystic]]+Races!$F$19-6)*0.2,0) - Races!$I$19</f>
        <v>0.51428571428571423</v>
      </c>
      <c r="CO10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8" s="97">
        <f ca="1">TblMili[[#This Row],[Mystic bonus]]*TblMili[[#This Row],[Unit 3]]+TblMili[[#This Row],[Druid bonus]]*TblMili[[#This Row],[Unit 4]]</f>
        <v>1149.4285714285706</v>
      </c>
      <c r="CQ108" s="158">
        <f ca="1">MIN(6,TblMili[[#This Row],[Dryad]]+Races!$F$35)*1.8 +  IF(TblMili[[#This Row],[Dryad]]+Races!$F$35&gt;6,(TblMili[[#This Row],[Dryad]]+Races!$F$35-6)*0.2,0) - Races!$I$19</f>
        <v>-1.2857142857142856</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2.7642857142857133</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0.51428571428571423</v>
      </c>
      <c r="CX108" s="158">
        <f ca="1">1.8 * MIN(MAX(TblMili[[#This Row],[Ice Elemental]]+Races!$E$71,Races!$F$71),6)  +  0.45 * MIN(MIN(TblMili[[#This Row],[Ice Elemental]]+Races!$E$71,Races!$F$71),6)  +  0.2 * ( MAX(TblMili[[#This Row],[Ice Elemental]]+Races!$E$71-6,0) + MAX(Races!$F$71-6,0) )  -  Races!$I$71</f>
        <v>6.4285714285714946E-2</v>
      </c>
      <c r="CY108" s="97">
        <f ca="1">TblMili[[#This Row],[Frost Mage bonus]]*TblMili[[#This Row],[Unit 3]]+TblMili[[#This Row],[Ice Elemental bonus]]*TblMili[[#This Row],[Unit 4]]</f>
        <v>438.94285714285786</v>
      </c>
      <c r="CZ108" s="268"/>
      <c r="DA108" s="146">
        <f ca="1">MIN(SUM(TblConstr[[#This Row],[Plain]:[Water]])/TblMili[[#This Row],[Land]]/favorable_terrain_bonus/100,favorable_terrain_max)</f>
        <v>0</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8" s="145"/>
      <c r="DE108" s="269">
        <f ca="1">(TblMili[[#This Row],[Wizards]]+2*TblMili[[#This Row],[Archmages]])/TblConstr[[#This Row],[Land]]</f>
        <v>3.5714285714285712E-2</v>
      </c>
      <c r="DF108" s="269">
        <f ca="1">TblMili[[#This Row],[Raw (2)]]*(1+race_wizard_strength+IF(TblMili[[#This Row],[Hour]]&gt;72,tech_magical_weaponry_wiz*TblTech[[#This Row],[3-5]],0))</f>
        <v>3.5714285714285712E-2</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5752</v>
      </c>
      <c r="C109" s="160">
        <f ca="1">TblPop[[#This Row],[Military%]]</f>
        <v>0.44454749207821315</v>
      </c>
      <c r="D109" s="145"/>
      <c r="E109" s="45">
        <f ca="1">OFFSET(TblMili[[#This Row],[Unit 1]],-1,0) + OFFSET(TblMili[[#This Row],[Train Unit 1]],-9,0) - TblMili[[#This Row],[Release Unit 1]]</f>
        <v>0</v>
      </c>
      <c r="F109" s="45">
        <f ca="1">OFFSET(TblMili[[#This Row],[Unit 2]],-1,0) + OFFSET(TblMili[[#This Row],[Train Unit 2]],-9,0)-TblMili[[#This Row],[Release Unit 2]]</f>
        <v>1246</v>
      </c>
      <c r="G109" s="45">
        <f ca="1">OFFSET(TblMili[[#This Row],[Unit 3]],-1,0) + OFFSET(TblMili[[#This Row],[Train Unit 3]],-12,0)-TblMili[[#This Row],[Release Unit 3]]</f>
        <v>700</v>
      </c>
      <c r="H109" s="45">
        <f ca="1">OFFSET(TblMili[[#This Row],[Unit 4]],-1,0) + OFFSET(TblMili[[#This Row],[Train Unit 4]],-12,0)-TblMili[[#This Row],[Release Unit 4]]</f>
        <v>1228</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42359.8</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6140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6293.4999999999991</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09" s="262">
        <f ca="1">TblMili[[#This Row],[Non Draft]]+TblMili[[#This Row],[Draftees]]</f>
        <v>13100</v>
      </c>
      <c r="U109" s="263">
        <f ca="1">race_defense + TblImps[[#This Row],[Walls]] + ROUND( MIN(gt_bonus*TblConstr[[#This Row],[Tot GT]]/TblConstr[[#This Row],[Land]],gt_bonus_cap), 4) + IF(TblMagic[[#This Row],[Active Howling]]&gt;0,howling_dp_bonus,IF(TblMagic[[#This Row],[Active Ares Call]]&gt;0,ares_call_bonus))</f>
        <v>0.23750000000000002</v>
      </c>
      <c r="V109" s="264">
        <f ca="1">TblMili[[#This Row],[Non Draft]] * (1 + TblMili[[#This Row],[Mods_Def]])</f>
        <v>13082.85</v>
      </c>
      <c r="W109" s="262">
        <f ca="1">TblMili[[#This Row],[Draft]] * (1 + TblMili[[#This Row],[Mods_Def]])</f>
        <v>16211.25</v>
      </c>
      <c r="X109" s="262">
        <f ca="1">TblConstr[[#This Row],[Land]]</f>
        <v>700</v>
      </c>
      <c r="Y109" s="265"/>
      <c r="Z109" s="270">
        <f ca="1">IF(TblMili[[#This Row],[Set]]&lt;&gt;"",TblMili[[#This Row],[Set]],OFFSET(TblMili[[#This Row],[Draftrate]],-1,0))</f>
        <v>0.9</v>
      </c>
      <c r="AA109" s="97">
        <f ca="1">OFFSET(TblMili[[#This Row],[Draftees]],-1,0)+OFFSET(TblPop[[#This Row],[Draft Growth]],-1,0) - SUM(TblMili[[#This Row],[Train Unit 1]:[Train Spies]],TblMili[[#This Row],[Train Wiz]]) - TblMili[[#This Row],[Release Draft]] + SUM(TblMili[[#This Row],[Release Unit 1]:[Release AM]]) - TblExplore[[#This Row],[Draftees (2)]]</f>
        <v>2528</v>
      </c>
      <c r="AB109" s="157"/>
      <c r="AC109" s="183">
        <f ca="1">(TblConstr[[#This Row],[Tot Smi]]+TblConstr[[#This Row],[Dest Smi]])/(TblConstr[[#This Row],[Land]]-TblExplore[[#This Row],[Land Bonus]]*20)</f>
        <v>0.18</v>
      </c>
      <c r="AD109" s="140"/>
      <c r="AE109" s="261">
        <f>TblMili[[#This Row],[Hour]]</f>
        <v>106</v>
      </c>
      <c r="AF109" s="141">
        <f ca="1">TblExplore[[#This Row],[Time]]</f>
        <v>45434.124999999745</v>
      </c>
      <c r="AG109" s="182"/>
      <c r="AH109" s="182"/>
      <c r="AI109" s="182"/>
      <c r="AJ109" s="182"/>
      <c r="AK109" s="182"/>
      <c r="AL109" s="182"/>
      <c r="AM109" s="182"/>
      <c r="AN109" s="182"/>
      <c r="AO109" s="145"/>
      <c r="AP109" s="97">
        <f ca="1">TblProd[[#This Row],[Platinum]]</f>
        <v>1384819</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45434.124999999745</v>
      </c>
      <c r="AV109" s="97">
        <f ca="1">TblMili[[#This Row],[Draftees]]</f>
        <v>2528</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192</v>
      </c>
      <c r="BJ109" s="97">
        <f ca="1">ROUNDUP(IF(race="Gnome",1,(1-MIN(TblMili[[#This Row],[Smithies]]*smithy_bonus,smithy_bonus_cap) + tech_3_5*TblTech[[#This Row],[3-5]] + tech_5_3*TblTech[[#This Row],[5-3]] + tech_5_5*TblTech[[#This Row],[5-5]]))*spec_op_ore,0)</f>
        <v>0</v>
      </c>
      <c r="BK109" s="97">
        <f ca="1">ROUNDUP((1-MIN(TblMili[[#This Row],[Smithies]]*smithy_bonus,smithy_bonus_cap) + tech_3_5*TblTech[[#This Row],[3-5]] + tech_5_3*TblTech[[#This Row],[5-3]] + tech_5_5*TblTech[[#This Row],[5-5]])*spec_dp_plat,0)</f>
        <v>192</v>
      </c>
      <c r="BL109" s="97">
        <f ca="1">ROUNDUP(IF(race="Gnome",1,(1-MIN(TblMili[[#This Row],[Smithies]]*smithy_bonus,smithy_bonus_cap) + tech_3_5*TblTech[[#This Row],[3-5]] + tech_5_3*TblTech[[#This Row],[5-3]] + tech_5_5*TblTech[[#This Row],[5-5]]))*spec_dp_ore,0)</f>
        <v>0</v>
      </c>
      <c r="BM109" s="97">
        <f ca="1">ROUNDUP((1-MIN(TblMili[[#This Row],[Smithies]]*smithy_bonus,smithy_bonus_cap) + tech_3_5*TblTech[[#This Row],[3-5]] + tech_5_3*TblTech[[#This Row],[5-3]] + tech_5_5*TblTech[[#This Row],[5-5]])*elite1_plat,0)</f>
        <v>592</v>
      </c>
      <c r="BN109" s="97">
        <f ca="1">ROUNDUP(IF(race="Gnome",1,(1-MIN(TblMili[[#This Row],[Smithies]]*smithy_bonus,smithy_bonus_cap) + tech_3_5*TblTech[[#This Row],[3-5]] + tech_5_3*TblTech[[#This Row],[5-3]] + tech_5_5*TblTech[[#This Row],[5-5]]))*elite1_ore,0)</f>
        <v>0</v>
      </c>
      <c r="BO109" s="97">
        <f ca="1">ROUNDUP((1-MIN(TblMili[[#This Row],[Smithies]]*smithy_bonus,smithy_bonus_cap) + tech_3_5*TblTech[[#This Row],[3-5]] + tech_5_3*TblTech[[#This Row],[5-3]] + tech_5_5*TblTech[[#This Row],[5-5]])*elite2_plat,0)</f>
        <v>608</v>
      </c>
      <c r="BP109" s="97">
        <f ca="1">ROUNDUP(IF(race="Gnome",1,(1-MIN(TblMili[[#This Row],[Smithies]]*smithy_bonus,smithy_bonus_cap) + tech_3_5*TblTech[[#This Row],[3-5]] + tech_5_3*TblTech[[#This Row],[5-3]] + tech_5_5*TblTech[[#This Row],[5-5]]))*elite2_ore,0)</f>
        <v>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5.7142857142857141E-2</v>
      </c>
      <c r="BW109" s="160">
        <f ca="1">TblMili[[#This Row],[WG''s]]</f>
        <v>0</v>
      </c>
      <c r="BX109" s="266">
        <f ca="1">IF(mystic_cap="none",TblMili[[#This Row],[Hill]]/mystic_bonus,MIN(mystic_cap,TblMili[[#This Row],[Hill]]/mystic_bonus))</f>
        <v>0.2857142857142857</v>
      </c>
      <c r="BY109" s="266">
        <f ca="1">IF(druid_op_cap="none",TblMili[[#This Row],[Hill]]/druid_op_bonus,MIN(druid_op_cap,TblMili[[#This Row],[Hill]]/druid_op_bonus))</f>
        <v>0.2857142857142857</v>
      </c>
      <c r="BZ109" s="266">
        <f ca="1">IF(druid_dp_cap="none",TblMili[[#This Row],[Hill]]/druid_dp_bonus,MIN(druid_dp_cap,TblMili[[#This Row],[Hill]]/druid_dp_bonus))</f>
        <v>0.2857142857142857</v>
      </c>
      <c r="CA109" s="266">
        <f ca="1">MIN(dryad_cap,TblMili[[#This Row],[Hill]]/dryad_bonus)</f>
        <v>0.2857142857142857</v>
      </c>
      <c r="CB109" s="266">
        <f ca="1">MIN(rocka_cap,TblMili[[#This Row],[Hill]]/rocka_bonus)</f>
        <v>0.2857142857142857</v>
      </c>
      <c r="CC109" s="266">
        <f ca="1">MIN(adept_op_cap,TblMili[[#This Row],[WG]]/adept_op_bonus)</f>
        <v>0</v>
      </c>
      <c r="CD109" s="266">
        <f ca="1">MIN(adept_dp_cap,TblMili[[#This Row],[WG]]/adept_dp_bonus)</f>
        <v>0</v>
      </c>
      <c r="CE109" s="97">
        <f ca="1">MIN(TblMili[[#This Row],[Unit 3]],TblMili[[#This Row],[Unit 2]])*2</f>
        <v>1400</v>
      </c>
      <c r="CF109" s="97">
        <f ca="1">MIN(TblMili[[#This Row],[Unit 1]],TblMili[[#This Row],[Unit 4]])*2</f>
        <v>0</v>
      </c>
      <c r="CG109" s="266">
        <f ca="1">MIN(frost_mage_cap,TblMili[[#This Row],[Hill]]/frost_mage_bonus)</f>
        <v>0.2857142857142857</v>
      </c>
      <c r="CH109" s="45">
        <f ca="1">MIN(ice_elem_cap,TblMili[[#This Row],[Raw (2)]]*ice_elem_bonus)</f>
        <v>3.5714285714285712E-2</v>
      </c>
      <c r="CI109" s="266">
        <f t="shared" si="4"/>
        <v>0.83333333333333337</v>
      </c>
      <c r="CJ109" s="266">
        <f ca="1">MIN(nox_nightshade_cap,TblConstr[[#This Row],[Homeland]]/TblConstr[[#This Row],[Land]]/nox_nightshade_swamp_bonus)</f>
        <v>0.5714285714285714</v>
      </c>
      <c r="CK109" s="267"/>
      <c r="CL109" s="267"/>
      <c r="CM109" s="267"/>
      <c r="CN109" s="266">
        <f ca="1">MIN(6,TblMili[[#This Row],[Mystic]]+Races!$F$19)*1.8 +  IF(TblMili[[#This Row],[Mystic]]+Races!$F$19&gt;6,(TblMili[[#This Row],[Mystic]]+Races!$F$19-6)*0.2,0) - Races!$I$19</f>
        <v>0.51428571428571423</v>
      </c>
      <c r="CO10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09" s="97">
        <f ca="1">TblMili[[#This Row],[Mystic bonus]]*TblMili[[#This Row],[Unit 3]]+TblMili[[#This Row],[Druid bonus]]*TblMili[[#This Row],[Unit 4]]</f>
        <v>1149.4285714285706</v>
      </c>
      <c r="CQ109" s="158">
        <f ca="1">MIN(6,TblMili[[#This Row],[Dryad]]+Races!$F$35)*1.8 +  IF(TblMili[[#This Row],[Dryad]]+Races!$F$35&gt;6,(TblMili[[#This Row],[Dryad]]+Races!$F$35-6)*0.2,0) - Races!$I$19</f>
        <v>-1.2857142857142856</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2.7642857142857133</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0.51428571428571423</v>
      </c>
      <c r="CX109" s="158">
        <f ca="1">1.8 * MIN(MAX(TblMili[[#This Row],[Ice Elemental]]+Races!$E$71,Races!$F$71),6)  +  0.45 * MIN(MIN(TblMili[[#This Row],[Ice Elemental]]+Races!$E$71,Races!$F$71),6)  +  0.2 * ( MAX(TblMili[[#This Row],[Ice Elemental]]+Races!$E$71-6,0) + MAX(Races!$F$71-6,0) )  -  Races!$I$71</f>
        <v>6.4285714285714946E-2</v>
      </c>
      <c r="CY109" s="97">
        <f ca="1">TblMili[[#This Row],[Frost Mage bonus]]*TblMili[[#This Row],[Unit 3]]+TblMili[[#This Row],[Ice Elemental bonus]]*TblMili[[#This Row],[Unit 4]]</f>
        <v>438.94285714285786</v>
      </c>
      <c r="CZ109" s="268"/>
      <c r="DA109" s="146">
        <f ca="1">MIN(SUM(TblConstr[[#This Row],[Plain]:[Water]])/TblMili[[#This Row],[Land]]/favorable_terrain_bonus/100,favorable_terrain_max)</f>
        <v>0</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09" s="145"/>
      <c r="DE109" s="269">
        <f ca="1">(TblMili[[#This Row],[Wizards]]+2*TblMili[[#This Row],[Archmages]])/TblConstr[[#This Row],[Land]]</f>
        <v>3.5714285714285712E-2</v>
      </c>
      <c r="DF109" s="269">
        <f ca="1">TblMili[[#This Row],[Raw (2)]]*(1+race_wizard_strength+IF(TblMili[[#This Row],[Hour]]&gt;72,tech_magical_weaponry_wiz*TblTech[[#This Row],[3-5]],0))</f>
        <v>3.5714285714285712E-2</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5824</v>
      </c>
      <c r="C110" s="160">
        <f ca="1">TblPop[[#This Row],[Military%]]</f>
        <v>0.45011206430172346</v>
      </c>
      <c r="D110" s="145"/>
      <c r="E110" s="45">
        <f ca="1">OFFSET(TblMili[[#This Row],[Unit 1]],-1,0) + OFFSET(TblMili[[#This Row],[Train Unit 1]],-9,0) - TblMili[[#This Row],[Release Unit 1]]</f>
        <v>0</v>
      </c>
      <c r="F110" s="45">
        <f ca="1">OFFSET(TblMili[[#This Row],[Unit 2]],-1,0) + OFFSET(TblMili[[#This Row],[Train Unit 2]],-9,0)-TblMili[[#This Row],[Release Unit 2]]</f>
        <v>1246</v>
      </c>
      <c r="G110" s="45">
        <f ca="1">OFFSET(TblMili[[#This Row],[Unit 3]],-1,0) + OFFSET(TblMili[[#This Row],[Train Unit 3]],-12,0)-TblMili[[#This Row],[Release Unit 3]]</f>
        <v>700</v>
      </c>
      <c r="H110" s="45">
        <f ca="1">OFFSET(TblMili[[#This Row],[Unit 4]],-1,0) + OFFSET(TblMili[[#This Row],[Train Unit 4]],-12,0)-TblMili[[#This Row],[Release Unit 4]]</f>
        <v>1228</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42359.8</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6140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6293.4999999999991</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0" s="262">
        <f ca="1">TblMili[[#This Row],[Non Draft]]+TblMili[[#This Row],[Draftees]]</f>
        <v>13172</v>
      </c>
      <c r="U110" s="263">
        <f ca="1">race_defense + TblImps[[#This Row],[Walls]] + ROUND( MIN(gt_bonus*TblConstr[[#This Row],[Tot GT]]/TblConstr[[#This Row],[Land]],gt_bonus_cap), 4) + IF(TblMagic[[#This Row],[Active Howling]]&gt;0,howling_dp_bonus,IF(TblMagic[[#This Row],[Active Ares Call]]&gt;0,ares_call_bonus))</f>
        <v>0.23750000000000002</v>
      </c>
      <c r="V110" s="264">
        <f ca="1">TblMili[[#This Row],[Non Draft]] * (1 + TblMili[[#This Row],[Mods_Def]])</f>
        <v>13082.85</v>
      </c>
      <c r="W110" s="262">
        <f ca="1">TblMili[[#This Row],[Draft]] * (1 + TblMili[[#This Row],[Mods_Def]])</f>
        <v>16300.35</v>
      </c>
      <c r="X110" s="262">
        <f ca="1">TblConstr[[#This Row],[Land]]</f>
        <v>700</v>
      </c>
      <c r="Y110" s="265"/>
      <c r="Z110" s="270">
        <f ca="1">IF(TblMili[[#This Row],[Set]]&lt;&gt;"",TblMili[[#This Row],[Set]],OFFSET(TblMili[[#This Row],[Draftrate]],-1,0))</f>
        <v>0.9</v>
      </c>
      <c r="AA110" s="97">
        <f ca="1">OFFSET(TblMili[[#This Row],[Draftees]],-1,0)+OFFSET(TblPop[[#This Row],[Draft Growth]],-1,0) - SUM(TblMili[[#This Row],[Train Unit 1]:[Train Spies]],TblMili[[#This Row],[Train Wiz]]) - TblMili[[#This Row],[Release Draft]] + SUM(TblMili[[#This Row],[Release Unit 1]:[Release AM]]) - TblExplore[[#This Row],[Draftees (2)]]</f>
        <v>2600</v>
      </c>
      <c r="AB110" s="157"/>
      <c r="AC110" s="183">
        <f ca="1">(TblConstr[[#This Row],[Tot Smi]]+TblConstr[[#This Row],[Dest Smi]])/(TblConstr[[#This Row],[Land]]-TblExplore[[#This Row],[Land Bonus]]*20)</f>
        <v>0.18</v>
      </c>
      <c r="AD110" s="140"/>
      <c r="AE110" s="261">
        <f>TblMili[[#This Row],[Hour]]</f>
        <v>107</v>
      </c>
      <c r="AF110" s="141">
        <f ca="1">TblExplore[[#This Row],[Time]]</f>
        <v>45434.16666666641</v>
      </c>
      <c r="AG110" s="182"/>
      <c r="AH110" s="182"/>
      <c r="AI110" s="182"/>
      <c r="AJ110" s="182"/>
      <c r="AK110" s="182"/>
      <c r="AL110" s="182"/>
      <c r="AM110" s="182"/>
      <c r="AN110" s="182"/>
      <c r="AO110" s="145"/>
      <c r="AP110" s="97">
        <f ca="1">TblProd[[#This Row],[Platinum]]</f>
        <v>1423709</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45434.16666666641</v>
      </c>
      <c r="AV110" s="97">
        <f ca="1">TblMili[[#This Row],[Draftees]]</f>
        <v>2600</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192</v>
      </c>
      <c r="BJ110" s="97">
        <f ca="1">ROUNDUP(IF(race="Gnome",1,(1-MIN(TblMili[[#This Row],[Smithies]]*smithy_bonus,smithy_bonus_cap) + tech_3_5*TblTech[[#This Row],[3-5]] + tech_5_3*TblTech[[#This Row],[5-3]] + tech_5_5*TblTech[[#This Row],[5-5]]))*spec_op_ore,0)</f>
        <v>0</v>
      </c>
      <c r="BK110" s="97">
        <f ca="1">ROUNDUP((1-MIN(TblMili[[#This Row],[Smithies]]*smithy_bonus,smithy_bonus_cap) + tech_3_5*TblTech[[#This Row],[3-5]] + tech_5_3*TblTech[[#This Row],[5-3]] + tech_5_5*TblTech[[#This Row],[5-5]])*spec_dp_plat,0)</f>
        <v>192</v>
      </c>
      <c r="BL110" s="97">
        <f ca="1">ROUNDUP(IF(race="Gnome",1,(1-MIN(TblMili[[#This Row],[Smithies]]*smithy_bonus,smithy_bonus_cap) + tech_3_5*TblTech[[#This Row],[3-5]] + tech_5_3*TblTech[[#This Row],[5-3]] + tech_5_5*TblTech[[#This Row],[5-5]]))*spec_dp_ore,0)</f>
        <v>0</v>
      </c>
      <c r="BM110" s="97">
        <f ca="1">ROUNDUP((1-MIN(TblMili[[#This Row],[Smithies]]*smithy_bonus,smithy_bonus_cap) + tech_3_5*TblTech[[#This Row],[3-5]] + tech_5_3*TblTech[[#This Row],[5-3]] + tech_5_5*TblTech[[#This Row],[5-5]])*elite1_plat,0)</f>
        <v>592</v>
      </c>
      <c r="BN110" s="97">
        <f ca="1">ROUNDUP(IF(race="Gnome",1,(1-MIN(TblMili[[#This Row],[Smithies]]*smithy_bonus,smithy_bonus_cap) + tech_3_5*TblTech[[#This Row],[3-5]] + tech_5_3*TblTech[[#This Row],[5-3]] + tech_5_5*TblTech[[#This Row],[5-5]]))*elite1_ore,0)</f>
        <v>0</v>
      </c>
      <c r="BO110" s="97">
        <f ca="1">ROUNDUP((1-MIN(TblMili[[#This Row],[Smithies]]*smithy_bonus,smithy_bonus_cap) + tech_3_5*TblTech[[#This Row],[3-5]] + tech_5_3*TblTech[[#This Row],[5-3]] + tech_5_5*TblTech[[#This Row],[5-5]])*elite2_plat,0)</f>
        <v>608</v>
      </c>
      <c r="BP110" s="97">
        <f ca="1">ROUNDUP(IF(race="Gnome",1,(1-MIN(TblMili[[#This Row],[Smithies]]*smithy_bonus,smithy_bonus_cap) + tech_3_5*TblTech[[#This Row],[3-5]] + tech_5_3*TblTech[[#This Row],[5-3]] + tech_5_5*TblTech[[#This Row],[5-5]]))*elite2_ore,0)</f>
        <v>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5.7142857142857141E-2</v>
      </c>
      <c r="BW110" s="160">
        <f ca="1">TblMili[[#This Row],[WG''s]]</f>
        <v>0</v>
      </c>
      <c r="BX110" s="266">
        <f ca="1">IF(mystic_cap="none",TblMili[[#This Row],[Hill]]/mystic_bonus,MIN(mystic_cap,TblMili[[#This Row],[Hill]]/mystic_bonus))</f>
        <v>0.2857142857142857</v>
      </c>
      <c r="BY110" s="266">
        <f ca="1">IF(druid_op_cap="none",TblMili[[#This Row],[Hill]]/druid_op_bonus,MIN(druid_op_cap,TblMili[[#This Row],[Hill]]/druid_op_bonus))</f>
        <v>0.2857142857142857</v>
      </c>
      <c r="BZ110" s="266">
        <f ca="1">IF(druid_dp_cap="none",TblMili[[#This Row],[Hill]]/druid_dp_bonus,MIN(druid_dp_cap,TblMili[[#This Row],[Hill]]/druid_dp_bonus))</f>
        <v>0.2857142857142857</v>
      </c>
      <c r="CA110" s="266">
        <f ca="1">MIN(dryad_cap,TblMili[[#This Row],[Hill]]/dryad_bonus)</f>
        <v>0.2857142857142857</v>
      </c>
      <c r="CB110" s="266">
        <f ca="1">MIN(rocka_cap,TblMili[[#This Row],[Hill]]/rocka_bonus)</f>
        <v>0.2857142857142857</v>
      </c>
      <c r="CC110" s="266">
        <f ca="1">MIN(adept_op_cap,TblMili[[#This Row],[WG]]/adept_op_bonus)</f>
        <v>0</v>
      </c>
      <c r="CD110" s="266">
        <f ca="1">MIN(adept_dp_cap,TblMili[[#This Row],[WG]]/adept_dp_bonus)</f>
        <v>0</v>
      </c>
      <c r="CE110" s="97">
        <f ca="1">MIN(TblMili[[#This Row],[Unit 3]],TblMili[[#This Row],[Unit 2]])*2</f>
        <v>1400</v>
      </c>
      <c r="CF110" s="97">
        <f ca="1">MIN(TblMili[[#This Row],[Unit 1]],TblMili[[#This Row],[Unit 4]])*2</f>
        <v>0</v>
      </c>
      <c r="CG110" s="266">
        <f ca="1">MIN(frost_mage_cap,TblMili[[#This Row],[Hill]]/frost_mage_bonus)</f>
        <v>0.2857142857142857</v>
      </c>
      <c r="CH110" s="45">
        <f ca="1">MIN(ice_elem_cap,TblMili[[#This Row],[Raw (2)]]*ice_elem_bonus)</f>
        <v>3.5714285714285712E-2</v>
      </c>
      <c r="CI110" s="266">
        <f t="shared" si="4"/>
        <v>0.83333333333333337</v>
      </c>
      <c r="CJ110" s="266">
        <f ca="1">MIN(nox_nightshade_cap,TblConstr[[#This Row],[Homeland]]/TblConstr[[#This Row],[Land]]/nox_nightshade_swamp_bonus)</f>
        <v>0.5714285714285714</v>
      </c>
      <c r="CK110" s="267"/>
      <c r="CL110" s="267"/>
      <c r="CM110" s="267"/>
      <c r="CN110" s="266">
        <f ca="1">MIN(6,TblMili[[#This Row],[Mystic]]+Races!$F$19)*1.8 +  IF(TblMili[[#This Row],[Mystic]]+Races!$F$19&gt;6,(TblMili[[#This Row],[Mystic]]+Races!$F$19-6)*0.2,0) - Races!$I$19</f>
        <v>0.51428571428571423</v>
      </c>
      <c r="CO11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0" s="97">
        <f ca="1">TblMili[[#This Row],[Mystic bonus]]*TblMili[[#This Row],[Unit 3]]+TblMili[[#This Row],[Druid bonus]]*TblMili[[#This Row],[Unit 4]]</f>
        <v>1149.4285714285706</v>
      </c>
      <c r="CQ110" s="158">
        <f ca="1">MIN(6,TblMili[[#This Row],[Dryad]]+Races!$F$35)*1.8 +  IF(TblMili[[#This Row],[Dryad]]+Races!$F$35&gt;6,(TblMili[[#This Row],[Dryad]]+Races!$F$35-6)*0.2,0) - Races!$I$19</f>
        <v>-1.2857142857142856</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2.7642857142857133</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0.51428571428571423</v>
      </c>
      <c r="CX110" s="158">
        <f ca="1">1.8 * MIN(MAX(TblMili[[#This Row],[Ice Elemental]]+Races!$E$71,Races!$F$71),6)  +  0.45 * MIN(MIN(TblMili[[#This Row],[Ice Elemental]]+Races!$E$71,Races!$F$71),6)  +  0.2 * ( MAX(TblMili[[#This Row],[Ice Elemental]]+Races!$E$71-6,0) + MAX(Races!$F$71-6,0) )  -  Races!$I$71</f>
        <v>6.4285714285714946E-2</v>
      </c>
      <c r="CY110" s="97">
        <f ca="1">TblMili[[#This Row],[Frost Mage bonus]]*TblMili[[#This Row],[Unit 3]]+TblMili[[#This Row],[Ice Elemental bonus]]*TblMili[[#This Row],[Unit 4]]</f>
        <v>438.94285714285786</v>
      </c>
      <c r="CZ110" s="268"/>
      <c r="DA110" s="146">
        <f ca="1">MIN(SUM(TblConstr[[#This Row],[Plain]:[Water]])/TblMili[[#This Row],[Land]]/favorable_terrain_bonus/100,favorable_terrain_max)</f>
        <v>0</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0" s="145"/>
      <c r="DE110" s="269">
        <f ca="1">(TblMili[[#This Row],[Wizards]]+2*TblMili[[#This Row],[Archmages]])/TblConstr[[#This Row],[Land]]</f>
        <v>3.5714285714285712E-2</v>
      </c>
      <c r="DF110" s="269">
        <f ca="1">TblMili[[#This Row],[Raw (2)]]*(1+race_wizard_strength+IF(TblMili[[#This Row],[Hour]]&gt;72,tech_magical_weaponry_wiz*TblTech[[#This Row],[3-5]],0))</f>
        <v>3.5714285714285712E-2</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5895</v>
      </c>
      <c r="C111" s="160">
        <f ca="1">TblPop[[#This Row],[Military%]]</f>
        <v>0.45559935079990727</v>
      </c>
      <c r="D111" s="145"/>
      <c r="E111" s="45">
        <f ca="1">OFFSET(TblMili[[#This Row],[Unit 1]],-1,0) + OFFSET(TblMili[[#This Row],[Train Unit 1]],-9,0) - TblMili[[#This Row],[Release Unit 1]]</f>
        <v>0</v>
      </c>
      <c r="F111" s="45">
        <f ca="1">OFFSET(TblMili[[#This Row],[Unit 2]],-1,0) + OFFSET(TblMili[[#This Row],[Train Unit 2]],-9,0)-TblMili[[#This Row],[Release Unit 2]]</f>
        <v>1246</v>
      </c>
      <c r="G111" s="45">
        <f ca="1">OFFSET(TblMili[[#This Row],[Unit 3]],-1,0) + OFFSET(TblMili[[#This Row],[Train Unit 3]],-12,0)-TblMili[[#This Row],[Release Unit 3]]</f>
        <v>700</v>
      </c>
      <c r="H111" s="45">
        <f ca="1">OFFSET(TblMili[[#This Row],[Unit 4]],-1,0) + OFFSET(TblMili[[#This Row],[Train Unit 4]],-12,0)-TblMili[[#This Row],[Release Unit 4]]</f>
        <v>1228</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42359.8</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6140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6293.4999999999991</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1" s="262">
        <f ca="1">TblMili[[#This Row],[Non Draft]]+TblMili[[#This Row],[Draftees]]</f>
        <v>13243</v>
      </c>
      <c r="U111" s="263">
        <f ca="1">race_defense + TblImps[[#This Row],[Walls]] + ROUND( MIN(gt_bonus*TblConstr[[#This Row],[Tot GT]]/TblConstr[[#This Row],[Land]],gt_bonus_cap), 4) + IF(TblMagic[[#This Row],[Active Howling]]&gt;0,howling_dp_bonus,IF(TblMagic[[#This Row],[Active Ares Call]]&gt;0,ares_call_bonus))</f>
        <v>0.23750000000000002</v>
      </c>
      <c r="V111" s="264">
        <f ca="1">TblMili[[#This Row],[Non Draft]] * (1 + TblMili[[#This Row],[Mods_Def]])</f>
        <v>13082.85</v>
      </c>
      <c r="W111" s="262">
        <f ca="1">TblMili[[#This Row],[Draft]] * (1 + TblMili[[#This Row],[Mods_Def]])</f>
        <v>16388.212500000001</v>
      </c>
      <c r="X111" s="262">
        <f ca="1">TblConstr[[#This Row],[Land]]</f>
        <v>700</v>
      </c>
      <c r="Y111" s="265"/>
      <c r="Z111" s="270">
        <f ca="1">IF(TblMili[[#This Row],[Set]]&lt;&gt;"",TblMili[[#This Row],[Set]],OFFSET(TblMili[[#This Row],[Draftrate]],-1,0))</f>
        <v>0.9</v>
      </c>
      <c r="AA111" s="97">
        <f ca="1">OFFSET(TblMili[[#This Row],[Draftees]],-1,0)+OFFSET(TblPop[[#This Row],[Draft Growth]],-1,0) - SUM(TblMili[[#This Row],[Train Unit 1]:[Train Spies]],TblMili[[#This Row],[Train Wiz]]) - TblMili[[#This Row],[Release Draft]] + SUM(TblMili[[#This Row],[Release Unit 1]:[Release AM]]) - TblExplore[[#This Row],[Draftees (2)]]</f>
        <v>2671</v>
      </c>
      <c r="AB111" s="157"/>
      <c r="AC111" s="183">
        <f ca="1">(TblConstr[[#This Row],[Tot Smi]]+TblConstr[[#This Row],[Dest Smi]])/(TblConstr[[#This Row],[Land]]-TblExplore[[#This Row],[Land Bonus]]*20)</f>
        <v>0.18</v>
      </c>
      <c r="AD111" s="140"/>
      <c r="AE111" s="261">
        <f>TblMili[[#This Row],[Hour]]</f>
        <v>108</v>
      </c>
      <c r="AF111" s="141">
        <f ca="1">TblExplore[[#This Row],[Time]]</f>
        <v>45434.208333333074</v>
      </c>
      <c r="AG111" s="182"/>
      <c r="AH111" s="182"/>
      <c r="AI111" s="182"/>
      <c r="AJ111" s="182"/>
      <c r="AK111" s="182"/>
      <c r="AL111" s="182"/>
      <c r="AM111" s="182"/>
      <c r="AN111" s="182"/>
      <c r="AO111" s="145"/>
      <c r="AP111" s="97">
        <f ca="1">TblProd[[#This Row],[Platinum]]</f>
        <v>1462385</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45434.208333333074</v>
      </c>
      <c r="AV111" s="97">
        <f ca="1">TblMili[[#This Row],[Draftees]]</f>
        <v>2671</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192</v>
      </c>
      <c r="BJ111" s="97">
        <f ca="1">ROUNDUP(IF(race="Gnome",1,(1-MIN(TblMili[[#This Row],[Smithies]]*smithy_bonus,smithy_bonus_cap) + tech_3_5*TblTech[[#This Row],[3-5]] + tech_5_3*TblTech[[#This Row],[5-3]] + tech_5_5*TblTech[[#This Row],[5-5]]))*spec_op_ore,0)</f>
        <v>0</v>
      </c>
      <c r="BK111" s="97">
        <f ca="1">ROUNDUP((1-MIN(TblMili[[#This Row],[Smithies]]*smithy_bonus,smithy_bonus_cap) + tech_3_5*TblTech[[#This Row],[3-5]] + tech_5_3*TblTech[[#This Row],[5-3]] + tech_5_5*TblTech[[#This Row],[5-5]])*spec_dp_plat,0)</f>
        <v>192</v>
      </c>
      <c r="BL111" s="97">
        <f ca="1">ROUNDUP(IF(race="Gnome",1,(1-MIN(TblMili[[#This Row],[Smithies]]*smithy_bonus,smithy_bonus_cap) + tech_3_5*TblTech[[#This Row],[3-5]] + tech_5_3*TblTech[[#This Row],[5-3]] + tech_5_5*TblTech[[#This Row],[5-5]]))*spec_dp_ore,0)</f>
        <v>0</v>
      </c>
      <c r="BM111" s="97">
        <f ca="1">ROUNDUP((1-MIN(TblMili[[#This Row],[Smithies]]*smithy_bonus,smithy_bonus_cap) + tech_3_5*TblTech[[#This Row],[3-5]] + tech_5_3*TblTech[[#This Row],[5-3]] + tech_5_5*TblTech[[#This Row],[5-5]])*elite1_plat,0)</f>
        <v>592</v>
      </c>
      <c r="BN111" s="97">
        <f ca="1">ROUNDUP(IF(race="Gnome",1,(1-MIN(TblMili[[#This Row],[Smithies]]*smithy_bonus,smithy_bonus_cap) + tech_3_5*TblTech[[#This Row],[3-5]] + tech_5_3*TblTech[[#This Row],[5-3]] + tech_5_5*TblTech[[#This Row],[5-5]]))*elite1_ore,0)</f>
        <v>0</v>
      </c>
      <c r="BO111" s="97">
        <f ca="1">ROUNDUP((1-MIN(TblMili[[#This Row],[Smithies]]*smithy_bonus,smithy_bonus_cap) + tech_3_5*TblTech[[#This Row],[3-5]] + tech_5_3*TblTech[[#This Row],[5-3]] + tech_5_5*TblTech[[#This Row],[5-5]])*elite2_plat,0)</f>
        <v>608</v>
      </c>
      <c r="BP111" s="97">
        <f ca="1">ROUNDUP(IF(race="Gnome",1,(1-MIN(TblMili[[#This Row],[Smithies]]*smithy_bonus,smithy_bonus_cap) + tech_3_5*TblTech[[#This Row],[3-5]] + tech_5_3*TblTech[[#This Row],[5-3]] + tech_5_5*TblTech[[#This Row],[5-5]]))*elite2_ore,0)</f>
        <v>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5.7142857142857141E-2</v>
      </c>
      <c r="BW111" s="160">
        <f ca="1">TblMili[[#This Row],[WG''s]]</f>
        <v>0</v>
      </c>
      <c r="BX111" s="266">
        <f ca="1">IF(mystic_cap="none",TblMili[[#This Row],[Hill]]/mystic_bonus,MIN(mystic_cap,TblMili[[#This Row],[Hill]]/mystic_bonus))</f>
        <v>0.2857142857142857</v>
      </c>
      <c r="BY111" s="266">
        <f ca="1">IF(druid_op_cap="none",TblMili[[#This Row],[Hill]]/druid_op_bonus,MIN(druid_op_cap,TblMili[[#This Row],[Hill]]/druid_op_bonus))</f>
        <v>0.2857142857142857</v>
      </c>
      <c r="BZ111" s="266">
        <f ca="1">IF(druid_dp_cap="none",TblMili[[#This Row],[Hill]]/druid_dp_bonus,MIN(druid_dp_cap,TblMili[[#This Row],[Hill]]/druid_dp_bonus))</f>
        <v>0.2857142857142857</v>
      </c>
      <c r="CA111" s="266">
        <f ca="1">MIN(dryad_cap,TblMili[[#This Row],[Hill]]/dryad_bonus)</f>
        <v>0.2857142857142857</v>
      </c>
      <c r="CB111" s="266">
        <f ca="1">MIN(rocka_cap,TblMili[[#This Row],[Hill]]/rocka_bonus)</f>
        <v>0.2857142857142857</v>
      </c>
      <c r="CC111" s="266">
        <f ca="1">MIN(adept_op_cap,TblMili[[#This Row],[WG]]/adept_op_bonus)</f>
        <v>0</v>
      </c>
      <c r="CD111" s="266">
        <f ca="1">MIN(adept_dp_cap,TblMili[[#This Row],[WG]]/adept_dp_bonus)</f>
        <v>0</v>
      </c>
      <c r="CE111" s="97">
        <f ca="1">MIN(TblMili[[#This Row],[Unit 3]],TblMili[[#This Row],[Unit 2]])*2</f>
        <v>1400</v>
      </c>
      <c r="CF111" s="97">
        <f ca="1">MIN(TblMili[[#This Row],[Unit 1]],TblMili[[#This Row],[Unit 4]])*2</f>
        <v>0</v>
      </c>
      <c r="CG111" s="266">
        <f ca="1">MIN(frost_mage_cap,TblMili[[#This Row],[Hill]]/frost_mage_bonus)</f>
        <v>0.2857142857142857</v>
      </c>
      <c r="CH111" s="45">
        <f ca="1">MIN(ice_elem_cap,TblMili[[#This Row],[Raw (2)]]*ice_elem_bonus)</f>
        <v>3.5714285714285712E-2</v>
      </c>
      <c r="CI111" s="266">
        <f t="shared" si="4"/>
        <v>0.83333333333333337</v>
      </c>
      <c r="CJ111" s="266">
        <f ca="1">MIN(nox_nightshade_cap,TblConstr[[#This Row],[Homeland]]/TblConstr[[#This Row],[Land]]/nox_nightshade_swamp_bonus)</f>
        <v>0.5714285714285714</v>
      </c>
      <c r="CK111" s="267"/>
      <c r="CL111" s="267"/>
      <c r="CM111" s="267"/>
      <c r="CN111" s="266">
        <f ca="1">MIN(6,TblMili[[#This Row],[Mystic]]+Races!$F$19)*1.8 +  IF(TblMili[[#This Row],[Mystic]]+Races!$F$19&gt;6,(TblMili[[#This Row],[Mystic]]+Races!$F$19-6)*0.2,0) - Races!$I$19</f>
        <v>0.51428571428571423</v>
      </c>
      <c r="CO11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1" s="97">
        <f ca="1">TblMili[[#This Row],[Mystic bonus]]*TblMili[[#This Row],[Unit 3]]+TblMili[[#This Row],[Druid bonus]]*TblMili[[#This Row],[Unit 4]]</f>
        <v>1149.4285714285706</v>
      </c>
      <c r="CQ111" s="158">
        <f ca="1">MIN(6,TblMili[[#This Row],[Dryad]]+Races!$F$35)*1.8 +  IF(TblMili[[#This Row],[Dryad]]+Races!$F$35&gt;6,(TblMili[[#This Row],[Dryad]]+Races!$F$35-6)*0.2,0) - Races!$I$19</f>
        <v>-1.2857142857142856</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2.7642857142857133</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0.51428571428571423</v>
      </c>
      <c r="CX111" s="158">
        <f ca="1">1.8 * MIN(MAX(TblMili[[#This Row],[Ice Elemental]]+Races!$E$71,Races!$F$71),6)  +  0.45 * MIN(MIN(TblMili[[#This Row],[Ice Elemental]]+Races!$E$71,Races!$F$71),6)  +  0.2 * ( MAX(TblMili[[#This Row],[Ice Elemental]]+Races!$E$71-6,0) + MAX(Races!$F$71-6,0) )  -  Races!$I$71</f>
        <v>6.4285714285714946E-2</v>
      </c>
      <c r="CY111" s="97">
        <f ca="1">TblMili[[#This Row],[Frost Mage bonus]]*TblMili[[#This Row],[Unit 3]]+TblMili[[#This Row],[Ice Elemental bonus]]*TblMili[[#This Row],[Unit 4]]</f>
        <v>438.94285714285786</v>
      </c>
      <c r="CZ111" s="268"/>
      <c r="DA111" s="146">
        <f ca="1">MIN(SUM(TblConstr[[#This Row],[Plain]:[Water]])/TblMili[[#This Row],[Land]]/favorable_terrain_bonus/100,favorable_terrain_max)</f>
        <v>0</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1" s="145"/>
      <c r="DE111" s="269">
        <f ca="1">(TblMili[[#This Row],[Wizards]]+2*TblMili[[#This Row],[Archmages]])/TblConstr[[#This Row],[Land]]</f>
        <v>3.5714285714285712E-2</v>
      </c>
      <c r="DF111" s="269">
        <f ca="1">TblMili[[#This Row],[Raw (2)]]*(1+race_wizard_strength+IF(TblMili[[#This Row],[Hour]]&gt;72,tech_magical_weaponry_wiz*TblTech[[#This Row],[3-5]],0))</f>
        <v>3.5714285714285712E-2</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5965</v>
      </c>
      <c r="C112" s="160">
        <f ca="1">TblPop[[#This Row],[Military%]]</f>
        <v>0.46100935157276451</v>
      </c>
      <c r="D112" s="145"/>
      <c r="E112" s="45">
        <f ca="1">OFFSET(TblMili[[#This Row],[Unit 1]],-1,0) + OFFSET(TblMili[[#This Row],[Train Unit 1]],-9,0) - TblMili[[#This Row],[Release Unit 1]]</f>
        <v>0</v>
      </c>
      <c r="F112" s="45">
        <f ca="1">OFFSET(TblMili[[#This Row],[Unit 2]],-1,0) + OFFSET(TblMili[[#This Row],[Train Unit 2]],-9,0)-TblMili[[#This Row],[Release Unit 2]]</f>
        <v>1246</v>
      </c>
      <c r="G112" s="45">
        <f ca="1">OFFSET(TblMili[[#This Row],[Unit 3]],-1,0) + OFFSET(TblMili[[#This Row],[Train Unit 3]],-12,0)-TblMili[[#This Row],[Release Unit 3]]</f>
        <v>700</v>
      </c>
      <c r="H112" s="45">
        <f ca="1">OFFSET(TblMili[[#This Row],[Unit 4]],-1,0) + OFFSET(TblMili[[#This Row],[Train Unit 4]],-12,0)-TblMili[[#This Row],[Release Unit 4]]</f>
        <v>1228</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42359.8</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6140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6293.4999999999991</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2" s="262">
        <f ca="1">TblMili[[#This Row],[Non Draft]]+TblMili[[#This Row],[Draftees]]</f>
        <v>13313</v>
      </c>
      <c r="U112" s="263">
        <f ca="1">race_defense + TblImps[[#This Row],[Walls]] + ROUND( MIN(gt_bonus*TblConstr[[#This Row],[Tot GT]]/TblConstr[[#This Row],[Land]],gt_bonus_cap), 4) + IF(TblMagic[[#This Row],[Active Howling]]&gt;0,howling_dp_bonus,IF(TblMagic[[#This Row],[Active Ares Call]]&gt;0,ares_call_bonus))</f>
        <v>0.13750000000000001</v>
      </c>
      <c r="V112" s="264">
        <f ca="1">TblMili[[#This Row],[Non Draft]] * (1 + TblMili[[#This Row],[Mods_Def]])</f>
        <v>12025.65</v>
      </c>
      <c r="W112" s="262">
        <f ca="1">TblMili[[#This Row],[Draft]] * (1 + TblMili[[#This Row],[Mods_Def]])</f>
        <v>15143.537499999999</v>
      </c>
      <c r="X112" s="262">
        <f ca="1">TblConstr[[#This Row],[Land]]</f>
        <v>700</v>
      </c>
      <c r="Y112" s="265"/>
      <c r="Z112" s="270">
        <f ca="1">IF(TblMili[[#This Row],[Set]]&lt;&gt;"",TblMili[[#This Row],[Set]],OFFSET(TblMili[[#This Row],[Draftrate]],-1,0))</f>
        <v>0.9</v>
      </c>
      <c r="AA112" s="97">
        <f ca="1">OFFSET(TblMili[[#This Row],[Draftees]],-1,0)+OFFSET(TblPop[[#This Row],[Draft Growth]],-1,0) - SUM(TblMili[[#This Row],[Train Unit 1]:[Train Spies]],TblMili[[#This Row],[Train Wiz]]) - TblMili[[#This Row],[Release Draft]] + SUM(TblMili[[#This Row],[Release Unit 1]:[Release AM]]) - TblExplore[[#This Row],[Draftees (2)]]</f>
        <v>2741</v>
      </c>
      <c r="AB112" s="157"/>
      <c r="AC112" s="183">
        <f ca="1">(TblConstr[[#This Row],[Tot Smi]]+TblConstr[[#This Row],[Dest Smi]])/(TblConstr[[#This Row],[Land]]-TblExplore[[#This Row],[Land Bonus]]*20)</f>
        <v>0.18</v>
      </c>
      <c r="AD112" s="140"/>
      <c r="AE112" s="261">
        <f>TblMili[[#This Row],[Hour]]</f>
        <v>109</v>
      </c>
      <c r="AF112" s="141">
        <f ca="1">TblExplore[[#This Row],[Time]]</f>
        <v>45434.249999999738</v>
      </c>
      <c r="AG112" s="182"/>
      <c r="AH112" s="182"/>
      <c r="AI112" s="182"/>
      <c r="AJ112" s="182"/>
      <c r="AK112" s="182"/>
      <c r="AL112" s="182"/>
      <c r="AM112" s="182"/>
      <c r="AN112" s="182"/>
      <c r="AO112" s="145"/>
      <c r="AP112" s="97">
        <f ca="1">TblProd[[#This Row],[Platinum]]</f>
        <v>1500850</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45434.249999999738</v>
      </c>
      <c r="AV112" s="97">
        <f ca="1">TblMili[[#This Row],[Draftees]]</f>
        <v>2741</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192</v>
      </c>
      <c r="BJ112" s="97">
        <f ca="1">ROUNDUP(IF(race="Gnome",1,(1-MIN(TblMili[[#This Row],[Smithies]]*smithy_bonus,smithy_bonus_cap) + tech_3_5*TblTech[[#This Row],[3-5]] + tech_5_3*TblTech[[#This Row],[5-3]] + tech_5_5*TblTech[[#This Row],[5-5]]))*spec_op_ore,0)</f>
        <v>0</v>
      </c>
      <c r="BK112" s="97">
        <f ca="1">ROUNDUP((1-MIN(TblMili[[#This Row],[Smithies]]*smithy_bonus,smithy_bonus_cap) + tech_3_5*TblTech[[#This Row],[3-5]] + tech_5_3*TblTech[[#This Row],[5-3]] + tech_5_5*TblTech[[#This Row],[5-5]])*spec_dp_plat,0)</f>
        <v>192</v>
      </c>
      <c r="BL112" s="97">
        <f ca="1">ROUNDUP(IF(race="Gnome",1,(1-MIN(TblMili[[#This Row],[Smithies]]*smithy_bonus,smithy_bonus_cap) + tech_3_5*TblTech[[#This Row],[3-5]] + tech_5_3*TblTech[[#This Row],[5-3]] + tech_5_5*TblTech[[#This Row],[5-5]]))*spec_dp_ore,0)</f>
        <v>0</v>
      </c>
      <c r="BM112" s="97">
        <f ca="1">ROUNDUP((1-MIN(TblMili[[#This Row],[Smithies]]*smithy_bonus,smithy_bonus_cap) + tech_3_5*TblTech[[#This Row],[3-5]] + tech_5_3*TblTech[[#This Row],[5-3]] + tech_5_5*TblTech[[#This Row],[5-5]])*elite1_plat,0)</f>
        <v>592</v>
      </c>
      <c r="BN112" s="97">
        <f ca="1">ROUNDUP(IF(race="Gnome",1,(1-MIN(TblMili[[#This Row],[Smithies]]*smithy_bonus,smithy_bonus_cap) + tech_3_5*TblTech[[#This Row],[3-5]] + tech_5_3*TblTech[[#This Row],[5-3]] + tech_5_5*TblTech[[#This Row],[5-5]]))*elite1_ore,0)</f>
        <v>0</v>
      </c>
      <c r="BO112" s="97">
        <f ca="1">ROUNDUP((1-MIN(TblMili[[#This Row],[Smithies]]*smithy_bonus,smithy_bonus_cap) + tech_3_5*TblTech[[#This Row],[3-5]] + tech_5_3*TblTech[[#This Row],[5-3]] + tech_5_5*TblTech[[#This Row],[5-5]])*elite2_plat,0)</f>
        <v>608</v>
      </c>
      <c r="BP112" s="97">
        <f ca="1">ROUNDUP(IF(race="Gnome",1,(1-MIN(TblMili[[#This Row],[Smithies]]*smithy_bonus,smithy_bonus_cap) + tech_3_5*TblTech[[#This Row],[3-5]] + tech_5_3*TblTech[[#This Row],[5-3]] + tech_5_5*TblTech[[#This Row],[5-5]]))*elite2_ore,0)</f>
        <v>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5.7142857142857141E-2</v>
      </c>
      <c r="BW112" s="160">
        <f ca="1">TblMili[[#This Row],[WG''s]]</f>
        <v>0</v>
      </c>
      <c r="BX112" s="266">
        <f ca="1">IF(mystic_cap="none",TblMili[[#This Row],[Hill]]/mystic_bonus,MIN(mystic_cap,TblMili[[#This Row],[Hill]]/mystic_bonus))</f>
        <v>0.2857142857142857</v>
      </c>
      <c r="BY112" s="266">
        <f ca="1">IF(druid_op_cap="none",TblMili[[#This Row],[Hill]]/druid_op_bonus,MIN(druid_op_cap,TblMili[[#This Row],[Hill]]/druid_op_bonus))</f>
        <v>0.2857142857142857</v>
      </c>
      <c r="BZ112" s="266">
        <f ca="1">IF(druid_dp_cap="none",TblMili[[#This Row],[Hill]]/druid_dp_bonus,MIN(druid_dp_cap,TblMili[[#This Row],[Hill]]/druid_dp_bonus))</f>
        <v>0.2857142857142857</v>
      </c>
      <c r="CA112" s="266">
        <f ca="1">MIN(dryad_cap,TblMili[[#This Row],[Hill]]/dryad_bonus)</f>
        <v>0.2857142857142857</v>
      </c>
      <c r="CB112" s="266">
        <f ca="1">MIN(rocka_cap,TblMili[[#This Row],[Hill]]/rocka_bonus)</f>
        <v>0.2857142857142857</v>
      </c>
      <c r="CC112" s="266">
        <f ca="1">MIN(adept_op_cap,TblMili[[#This Row],[WG]]/adept_op_bonus)</f>
        <v>0</v>
      </c>
      <c r="CD112" s="266">
        <f ca="1">MIN(adept_dp_cap,TblMili[[#This Row],[WG]]/adept_dp_bonus)</f>
        <v>0</v>
      </c>
      <c r="CE112" s="97">
        <f ca="1">MIN(TblMili[[#This Row],[Unit 3]],TblMili[[#This Row],[Unit 2]])*2</f>
        <v>1400</v>
      </c>
      <c r="CF112" s="97">
        <f ca="1">MIN(TblMili[[#This Row],[Unit 1]],TblMili[[#This Row],[Unit 4]])*2</f>
        <v>0</v>
      </c>
      <c r="CG112" s="266">
        <f ca="1">MIN(frost_mage_cap,TblMili[[#This Row],[Hill]]/frost_mage_bonus)</f>
        <v>0.2857142857142857</v>
      </c>
      <c r="CH112" s="45">
        <f ca="1">MIN(ice_elem_cap,TblMili[[#This Row],[Raw (2)]]*ice_elem_bonus)</f>
        <v>3.5714285714285712E-2</v>
      </c>
      <c r="CI112" s="266">
        <f t="shared" si="4"/>
        <v>0.83333333333333337</v>
      </c>
      <c r="CJ112" s="266">
        <f ca="1">MIN(nox_nightshade_cap,TblConstr[[#This Row],[Homeland]]/TblConstr[[#This Row],[Land]]/nox_nightshade_swamp_bonus)</f>
        <v>0.5714285714285714</v>
      </c>
      <c r="CK112" s="267"/>
      <c r="CL112" s="267"/>
      <c r="CM112" s="267"/>
      <c r="CN112" s="266">
        <f ca="1">MIN(6,TblMili[[#This Row],[Mystic]]+Races!$F$19)*1.8 +  IF(TblMili[[#This Row],[Mystic]]+Races!$F$19&gt;6,(TblMili[[#This Row],[Mystic]]+Races!$F$19-6)*0.2,0) - Races!$I$19</f>
        <v>0.51428571428571423</v>
      </c>
      <c r="CO11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2" s="97">
        <f ca="1">TblMili[[#This Row],[Mystic bonus]]*TblMili[[#This Row],[Unit 3]]+TblMili[[#This Row],[Druid bonus]]*TblMili[[#This Row],[Unit 4]]</f>
        <v>1149.4285714285706</v>
      </c>
      <c r="CQ112" s="158">
        <f ca="1">MIN(6,TblMili[[#This Row],[Dryad]]+Races!$F$35)*1.8 +  IF(TblMili[[#This Row],[Dryad]]+Races!$F$35&gt;6,(TblMili[[#This Row],[Dryad]]+Races!$F$35-6)*0.2,0) - Races!$I$19</f>
        <v>-1.2857142857142856</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2.7642857142857133</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0.51428571428571423</v>
      </c>
      <c r="CX112" s="158">
        <f ca="1">1.8 * MIN(MAX(TblMili[[#This Row],[Ice Elemental]]+Races!$E$71,Races!$F$71),6)  +  0.45 * MIN(MIN(TblMili[[#This Row],[Ice Elemental]]+Races!$E$71,Races!$F$71),6)  +  0.2 * ( MAX(TblMili[[#This Row],[Ice Elemental]]+Races!$E$71-6,0) + MAX(Races!$F$71-6,0) )  -  Races!$I$71</f>
        <v>6.4285714285714946E-2</v>
      </c>
      <c r="CY112" s="97">
        <f ca="1">TblMili[[#This Row],[Frost Mage bonus]]*TblMili[[#This Row],[Unit 3]]+TblMili[[#This Row],[Ice Elemental bonus]]*TblMili[[#This Row],[Unit 4]]</f>
        <v>438.94285714285786</v>
      </c>
      <c r="CZ112" s="268"/>
      <c r="DA112" s="146">
        <f ca="1">MIN(SUM(TblConstr[[#This Row],[Plain]:[Water]])/TblMili[[#This Row],[Land]]/favorable_terrain_bonus/100,favorable_terrain_max)</f>
        <v>0</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2" s="145"/>
      <c r="DE112" s="269">
        <f ca="1">(TblMili[[#This Row],[Wizards]]+2*TblMili[[#This Row],[Archmages]])/TblConstr[[#This Row],[Land]]</f>
        <v>3.5714285714285712E-2</v>
      </c>
      <c r="DF112" s="269">
        <f ca="1">TblMili[[#This Row],[Raw (2)]]*(1+race_wizard_strength+IF(TblMili[[#This Row],[Hour]]&gt;72,tech_magical_weaponry_wiz*TblTech[[#This Row],[3-5]],0))</f>
        <v>3.5714285714285712E-2</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6035</v>
      </c>
      <c r="C113" s="160">
        <f ca="1">TblPop[[#This Row],[Military%]]</f>
        <v>0.46641935234562176</v>
      </c>
      <c r="D113" s="145"/>
      <c r="E113" s="45">
        <f ca="1">OFFSET(TblMili[[#This Row],[Unit 1]],-1,0) + OFFSET(TblMili[[#This Row],[Train Unit 1]],-9,0) - TblMili[[#This Row],[Release Unit 1]]</f>
        <v>0</v>
      </c>
      <c r="F113" s="45">
        <f ca="1">OFFSET(TblMili[[#This Row],[Unit 2]],-1,0) + OFFSET(TblMili[[#This Row],[Train Unit 2]],-9,0)-TblMili[[#This Row],[Release Unit 2]]</f>
        <v>1246</v>
      </c>
      <c r="G113" s="45">
        <f ca="1">OFFSET(TblMili[[#This Row],[Unit 3]],-1,0) + OFFSET(TblMili[[#This Row],[Train Unit 3]],-12,0)-TblMili[[#This Row],[Release Unit 3]]</f>
        <v>700</v>
      </c>
      <c r="H113" s="45">
        <f ca="1">OFFSET(TblMili[[#This Row],[Unit 4]],-1,0) + OFFSET(TblMili[[#This Row],[Train Unit 4]],-12,0)-TblMili[[#This Row],[Release Unit 4]]</f>
        <v>1228</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42359.8</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6140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6293.4999999999991</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3" s="262">
        <f ca="1">TblMili[[#This Row],[Non Draft]]+TblMili[[#This Row],[Draftees]]</f>
        <v>13383</v>
      </c>
      <c r="U113" s="263">
        <f ca="1">race_defense + TblImps[[#This Row],[Walls]] + ROUND( MIN(gt_bonus*TblConstr[[#This Row],[Tot GT]]/TblConstr[[#This Row],[Land]],gt_bonus_cap), 4) + IF(TblMagic[[#This Row],[Active Howling]]&gt;0,howling_dp_bonus,IF(TblMagic[[#This Row],[Active Ares Call]]&gt;0,ares_call_bonus))</f>
        <v>0.13750000000000001</v>
      </c>
      <c r="V113" s="264">
        <f ca="1">TblMili[[#This Row],[Non Draft]] * (1 + TblMili[[#This Row],[Mods_Def]])</f>
        <v>12025.65</v>
      </c>
      <c r="W113" s="262">
        <f ca="1">TblMili[[#This Row],[Draft]] * (1 + TblMili[[#This Row],[Mods_Def]])</f>
        <v>15223.162499999999</v>
      </c>
      <c r="X113" s="262">
        <f ca="1">TblConstr[[#This Row],[Land]]</f>
        <v>700</v>
      </c>
      <c r="Y113" s="265"/>
      <c r="Z113" s="270">
        <f ca="1">IF(TblMili[[#This Row],[Set]]&lt;&gt;"",TblMili[[#This Row],[Set]],OFFSET(TblMili[[#This Row],[Draftrate]],-1,0))</f>
        <v>0.9</v>
      </c>
      <c r="AA113" s="97">
        <f ca="1">OFFSET(TblMili[[#This Row],[Draftees]],-1,0)+OFFSET(TblPop[[#This Row],[Draft Growth]],-1,0) - SUM(TblMili[[#This Row],[Train Unit 1]:[Train Spies]],TblMili[[#This Row],[Train Wiz]]) - TblMili[[#This Row],[Release Draft]] + SUM(TblMili[[#This Row],[Release Unit 1]:[Release AM]]) - TblExplore[[#This Row],[Draftees (2)]]</f>
        <v>2811</v>
      </c>
      <c r="AB113" s="157"/>
      <c r="AC113" s="183">
        <f ca="1">(TblConstr[[#This Row],[Tot Smi]]+TblConstr[[#This Row],[Dest Smi]])/(TblConstr[[#This Row],[Land]]-TblExplore[[#This Row],[Land Bonus]]*20)</f>
        <v>0.18</v>
      </c>
      <c r="AD113" s="140"/>
      <c r="AE113" s="261">
        <f>TblMili[[#This Row],[Hour]]</f>
        <v>110</v>
      </c>
      <c r="AF113" s="141">
        <f ca="1">TblExplore[[#This Row],[Time]]</f>
        <v>45434.291666666402</v>
      </c>
      <c r="AG113" s="182"/>
      <c r="AH113" s="182"/>
      <c r="AI113" s="182"/>
      <c r="AJ113" s="182"/>
      <c r="AK113" s="182"/>
      <c r="AL113" s="182"/>
      <c r="AM113" s="182"/>
      <c r="AN113" s="182"/>
      <c r="AO113" s="145"/>
      <c r="AP113" s="97">
        <f ca="1">TblProd[[#This Row],[Platinum]]</f>
        <v>1532054</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45434.291666666402</v>
      </c>
      <c r="AV113" s="97">
        <f ca="1">TblMili[[#This Row],[Draftees]]</f>
        <v>2811</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192</v>
      </c>
      <c r="BJ113" s="97">
        <f ca="1">ROUNDUP(IF(race="Gnome",1,(1-MIN(TblMili[[#This Row],[Smithies]]*smithy_bonus,smithy_bonus_cap) + tech_3_5*TblTech[[#This Row],[3-5]] + tech_5_3*TblTech[[#This Row],[5-3]] + tech_5_5*TblTech[[#This Row],[5-5]]))*spec_op_ore,0)</f>
        <v>0</v>
      </c>
      <c r="BK113" s="97">
        <f ca="1">ROUNDUP((1-MIN(TblMili[[#This Row],[Smithies]]*smithy_bonus,smithy_bonus_cap) + tech_3_5*TblTech[[#This Row],[3-5]] + tech_5_3*TblTech[[#This Row],[5-3]] + tech_5_5*TblTech[[#This Row],[5-5]])*spec_dp_plat,0)</f>
        <v>192</v>
      </c>
      <c r="BL113" s="97">
        <f ca="1">ROUNDUP(IF(race="Gnome",1,(1-MIN(TblMili[[#This Row],[Smithies]]*smithy_bonus,smithy_bonus_cap) + tech_3_5*TblTech[[#This Row],[3-5]] + tech_5_3*TblTech[[#This Row],[5-3]] + tech_5_5*TblTech[[#This Row],[5-5]]))*spec_dp_ore,0)</f>
        <v>0</v>
      </c>
      <c r="BM113" s="97">
        <f ca="1">ROUNDUP((1-MIN(TblMili[[#This Row],[Smithies]]*smithy_bonus,smithy_bonus_cap) + tech_3_5*TblTech[[#This Row],[3-5]] + tech_5_3*TblTech[[#This Row],[5-3]] + tech_5_5*TblTech[[#This Row],[5-5]])*elite1_plat,0)</f>
        <v>592</v>
      </c>
      <c r="BN113" s="97">
        <f ca="1">ROUNDUP(IF(race="Gnome",1,(1-MIN(TblMili[[#This Row],[Smithies]]*smithy_bonus,smithy_bonus_cap) + tech_3_5*TblTech[[#This Row],[3-5]] + tech_5_3*TblTech[[#This Row],[5-3]] + tech_5_5*TblTech[[#This Row],[5-5]]))*elite1_ore,0)</f>
        <v>0</v>
      </c>
      <c r="BO113" s="97">
        <f ca="1">ROUNDUP((1-MIN(TblMili[[#This Row],[Smithies]]*smithy_bonus,smithy_bonus_cap) + tech_3_5*TblTech[[#This Row],[3-5]] + tech_5_3*TblTech[[#This Row],[5-3]] + tech_5_5*TblTech[[#This Row],[5-5]])*elite2_plat,0)</f>
        <v>608</v>
      </c>
      <c r="BP113" s="97">
        <f ca="1">ROUNDUP(IF(race="Gnome",1,(1-MIN(TblMili[[#This Row],[Smithies]]*smithy_bonus,smithy_bonus_cap) + tech_3_5*TblTech[[#This Row],[3-5]] + tech_5_3*TblTech[[#This Row],[5-3]] + tech_5_5*TblTech[[#This Row],[5-5]]))*elite2_ore,0)</f>
        <v>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5.7142857142857141E-2</v>
      </c>
      <c r="BW113" s="160">
        <f ca="1">TblMili[[#This Row],[WG''s]]</f>
        <v>0</v>
      </c>
      <c r="BX113" s="266">
        <f ca="1">IF(mystic_cap="none",TblMili[[#This Row],[Hill]]/mystic_bonus,MIN(mystic_cap,TblMili[[#This Row],[Hill]]/mystic_bonus))</f>
        <v>0.2857142857142857</v>
      </c>
      <c r="BY113" s="266">
        <f ca="1">IF(druid_op_cap="none",TblMili[[#This Row],[Hill]]/druid_op_bonus,MIN(druid_op_cap,TblMili[[#This Row],[Hill]]/druid_op_bonus))</f>
        <v>0.2857142857142857</v>
      </c>
      <c r="BZ113" s="266">
        <f ca="1">IF(druid_dp_cap="none",TblMili[[#This Row],[Hill]]/druid_dp_bonus,MIN(druid_dp_cap,TblMili[[#This Row],[Hill]]/druid_dp_bonus))</f>
        <v>0.2857142857142857</v>
      </c>
      <c r="CA113" s="266">
        <f ca="1">MIN(dryad_cap,TblMili[[#This Row],[Hill]]/dryad_bonus)</f>
        <v>0.2857142857142857</v>
      </c>
      <c r="CB113" s="266">
        <f ca="1">MIN(rocka_cap,TblMili[[#This Row],[Hill]]/rocka_bonus)</f>
        <v>0.2857142857142857</v>
      </c>
      <c r="CC113" s="266">
        <f ca="1">MIN(adept_op_cap,TblMili[[#This Row],[WG]]/adept_op_bonus)</f>
        <v>0</v>
      </c>
      <c r="CD113" s="266">
        <f ca="1">MIN(adept_dp_cap,TblMili[[#This Row],[WG]]/adept_dp_bonus)</f>
        <v>0</v>
      </c>
      <c r="CE113" s="97">
        <f ca="1">MIN(TblMili[[#This Row],[Unit 3]],TblMili[[#This Row],[Unit 2]])*2</f>
        <v>1400</v>
      </c>
      <c r="CF113" s="97">
        <f ca="1">MIN(TblMili[[#This Row],[Unit 1]],TblMili[[#This Row],[Unit 4]])*2</f>
        <v>0</v>
      </c>
      <c r="CG113" s="266">
        <f ca="1">MIN(frost_mage_cap,TblMili[[#This Row],[Hill]]/frost_mage_bonus)</f>
        <v>0.2857142857142857</v>
      </c>
      <c r="CH113" s="45">
        <f ca="1">MIN(ice_elem_cap,TblMili[[#This Row],[Raw (2)]]*ice_elem_bonus)</f>
        <v>3.5714285714285712E-2</v>
      </c>
      <c r="CI113" s="266">
        <f t="shared" si="4"/>
        <v>0.83333333333333337</v>
      </c>
      <c r="CJ113" s="266">
        <f ca="1">MIN(nox_nightshade_cap,TblConstr[[#This Row],[Homeland]]/TblConstr[[#This Row],[Land]]/nox_nightshade_swamp_bonus)</f>
        <v>0.5714285714285714</v>
      </c>
      <c r="CK113" s="267"/>
      <c r="CL113" s="267"/>
      <c r="CM113" s="267"/>
      <c r="CN113" s="266">
        <f ca="1">MIN(6,TblMili[[#This Row],[Mystic]]+Races!$F$19)*1.8 +  IF(TblMili[[#This Row],[Mystic]]+Races!$F$19&gt;6,(TblMili[[#This Row],[Mystic]]+Races!$F$19-6)*0.2,0) - Races!$I$19</f>
        <v>0.51428571428571423</v>
      </c>
      <c r="CO11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3" s="97">
        <f ca="1">TblMili[[#This Row],[Mystic bonus]]*TblMili[[#This Row],[Unit 3]]+TblMili[[#This Row],[Druid bonus]]*TblMili[[#This Row],[Unit 4]]</f>
        <v>1149.4285714285706</v>
      </c>
      <c r="CQ113" s="158">
        <f ca="1">MIN(6,TblMili[[#This Row],[Dryad]]+Races!$F$35)*1.8 +  IF(TblMili[[#This Row],[Dryad]]+Races!$F$35&gt;6,(TblMili[[#This Row],[Dryad]]+Races!$F$35-6)*0.2,0) - Races!$I$19</f>
        <v>-1.2857142857142856</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2.7642857142857133</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0.51428571428571423</v>
      </c>
      <c r="CX113" s="158">
        <f ca="1">1.8 * MIN(MAX(TblMili[[#This Row],[Ice Elemental]]+Races!$E$71,Races!$F$71),6)  +  0.45 * MIN(MIN(TblMili[[#This Row],[Ice Elemental]]+Races!$E$71,Races!$F$71),6)  +  0.2 * ( MAX(TblMili[[#This Row],[Ice Elemental]]+Races!$E$71-6,0) + MAX(Races!$F$71-6,0) )  -  Races!$I$71</f>
        <v>6.4285714285714946E-2</v>
      </c>
      <c r="CY113" s="97">
        <f ca="1">TblMili[[#This Row],[Frost Mage bonus]]*TblMili[[#This Row],[Unit 3]]+TblMili[[#This Row],[Ice Elemental bonus]]*TblMili[[#This Row],[Unit 4]]</f>
        <v>438.94285714285786</v>
      </c>
      <c r="CZ113" s="268"/>
      <c r="DA113" s="146">
        <f ca="1">MIN(SUM(TblConstr[[#This Row],[Plain]:[Water]])/TblMili[[#This Row],[Land]]/favorable_terrain_bonus/100,favorable_terrain_max)</f>
        <v>0</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3" s="145"/>
      <c r="DE113" s="269">
        <f ca="1">(TblMili[[#This Row],[Wizards]]+2*TblMili[[#This Row],[Archmages]])/TblConstr[[#This Row],[Land]]</f>
        <v>3.5714285714285712E-2</v>
      </c>
      <c r="DF113" s="269">
        <f ca="1">TblMili[[#This Row],[Raw (2)]]*(1+race_wizard_strength+IF(TblMili[[#This Row],[Hour]]&gt;72,tech_magical_weaponry_wiz*TblTech[[#This Row],[3-5]],0))</f>
        <v>3.5714285714285712E-2</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6104</v>
      </c>
      <c r="C114" s="160">
        <f ca="1">TblPop[[#This Row],[Military%]]</f>
        <v>0.47175206739315251</v>
      </c>
      <c r="D114" s="145"/>
      <c r="E114" s="45">
        <f ca="1">OFFSET(TblMili[[#This Row],[Unit 1]],-1,0) + OFFSET(TblMili[[#This Row],[Train Unit 1]],-9,0) - TblMili[[#This Row],[Release Unit 1]]</f>
        <v>0</v>
      </c>
      <c r="F114" s="45">
        <f ca="1">OFFSET(TblMili[[#This Row],[Unit 2]],-1,0) + OFFSET(TblMili[[#This Row],[Train Unit 2]],-9,0)-TblMili[[#This Row],[Release Unit 2]]</f>
        <v>1246</v>
      </c>
      <c r="G114" s="45">
        <f ca="1">OFFSET(TblMili[[#This Row],[Unit 3]],-1,0) + OFFSET(TblMili[[#This Row],[Train Unit 3]],-12,0)-TblMili[[#This Row],[Release Unit 3]]</f>
        <v>700</v>
      </c>
      <c r="H114" s="45">
        <f ca="1">OFFSET(TblMili[[#This Row],[Unit 4]],-1,0) + OFFSET(TblMili[[#This Row],[Train Unit 4]],-12,0)-TblMili[[#This Row],[Release Unit 4]]</f>
        <v>1228</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42359.8</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6140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6293.4999999999991</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4" s="262">
        <f ca="1">TblMili[[#This Row],[Non Draft]]+TblMili[[#This Row],[Draftees]]</f>
        <v>13452</v>
      </c>
      <c r="U114" s="263">
        <f ca="1">race_defense + TblImps[[#This Row],[Walls]] + ROUND( MIN(gt_bonus*TblConstr[[#This Row],[Tot GT]]/TblConstr[[#This Row],[Land]],gt_bonus_cap), 4) + IF(TblMagic[[#This Row],[Active Howling]]&gt;0,howling_dp_bonus,IF(TblMagic[[#This Row],[Active Ares Call]]&gt;0,ares_call_bonus))</f>
        <v>0.13750000000000001</v>
      </c>
      <c r="V114" s="264">
        <f ca="1">TblMili[[#This Row],[Non Draft]] * (1 + TblMili[[#This Row],[Mods_Def]])</f>
        <v>12025.65</v>
      </c>
      <c r="W114" s="262">
        <f ca="1">TblMili[[#This Row],[Draft]] * (1 + TblMili[[#This Row],[Mods_Def]])</f>
        <v>15301.65</v>
      </c>
      <c r="X114" s="262">
        <f ca="1">TblConstr[[#This Row],[Land]]</f>
        <v>700</v>
      </c>
      <c r="Y114" s="265"/>
      <c r="Z114" s="270">
        <f ca="1">IF(TblMili[[#This Row],[Set]]&lt;&gt;"",TblMili[[#This Row],[Set]],OFFSET(TblMili[[#This Row],[Draftrate]],-1,0))</f>
        <v>0.9</v>
      </c>
      <c r="AA114" s="97">
        <f ca="1">OFFSET(TblMili[[#This Row],[Draftees]],-1,0)+OFFSET(TblPop[[#This Row],[Draft Growth]],-1,0) - SUM(TblMili[[#This Row],[Train Unit 1]:[Train Spies]],TblMili[[#This Row],[Train Wiz]]) - TblMili[[#This Row],[Release Draft]] + SUM(TblMili[[#This Row],[Release Unit 1]:[Release AM]]) - TblExplore[[#This Row],[Draftees (2)]]</f>
        <v>2880</v>
      </c>
      <c r="AB114" s="157"/>
      <c r="AC114" s="183">
        <f ca="1">(TblConstr[[#This Row],[Tot Smi]]+TblConstr[[#This Row],[Dest Smi]])/(TblConstr[[#This Row],[Land]]-TblExplore[[#This Row],[Land Bonus]]*20)</f>
        <v>0.18</v>
      </c>
      <c r="AD114" s="140"/>
      <c r="AE114" s="261">
        <f>TblMili[[#This Row],[Hour]]</f>
        <v>111</v>
      </c>
      <c r="AF114" s="141">
        <f ca="1">TblExplore[[#This Row],[Time]]</f>
        <v>45434.333333333067</v>
      </c>
      <c r="AG114" s="182"/>
      <c r="AH114" s="182"/>
      <c r="AI114" s="182"/>
      <c r="AJ114" s="182"/>
      <c r="AK114" s="182"/>
      <c r="AL114" s="182"/>
      <c r="AM114" s="182"/>
      <c r="AN114" s="182"/>
      <c r="AO114" s="145"/>
      <c r="AP114" s="97">
        <f ca="1">TblProd[[#This Row],[Platinum]]</f>
        <v>1563069</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45434.333333333067</v>
      </c>
      <c r="AV114" s="97">
        <f ca="1">TblMili[[#This Row],[Draftees]]</f>
        <v>2880</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192</v>
      </c>
      <c r="BJ114" s="97">
        <f ca="1">ROUNDUP(IF(race="Gnome",1,(1-MIN(TblMili[[#This Row],[Smithies]]*smithy_bonus,smithy_bonus_cap) + tech_3_5*TblTech[[#This Row],[3-5]] + tech_5_3*TblTech[[#This Row],[5-3]] + tech_5_5*TblTech[[#This Row],[5-5]]))*spec_op_ore,0)</f>
        <v>0</v>
      </c>
      <c r="BK114" s="97">
        <f ca="1">ROUNDUP((1-MIN(TblMili[[#This Row],[Smithies]]*smithy_bonus,smithy_bonus_cap) + tech_3_5*TblTech[[#This Row],[3-5]] + tech_5_3*TblTech[[#This Row],[5-3]] + tech_5_5*TblTech[[#This Row],[5-5]])*spec_dp_plat,0)</f>
        <v>192</v>
      </c>
      <c r="BL114" s="97">
        <f ca="1">ROUNDUP(IF(race="Gnome",1,(1-MIN(TblMili[[#This Row],[Smithies]]*smithy_bonus,smithy_bonus_cap) + tech_3_5*TblTech[[#This Row],[3-5]] + tech_5_3*TblTech[[#This Row],[5-3]] + tech_5_5*TblTech[[#This Row],[5-5]]))*spec_dp_ore,0)</f>
        <v>0</v>
      </c>
      <c r="BM114" s="97">
        <f ca="1">ROUNDUP((1-MIN(TblMili[[#This Row],[Smithies]]*smithy_bonus,smithy_bonus_cap) + tech_3_5*TblTech[[#This Row],[3-5]] + tech_5_3*TblTech[[#This Row],[5-3]] + tech_5_5*TblTech[[#This Row],[5-5]])*elite1_plat,0)</f>
        <v>592</v>
      </c>
      <c r="BN114" s="97">
        <f ca="1">ROUNDUP(IF(race="Gnome",1,(1-MIN(TblMili[[#This Row],[Smithies]]*smithy_bonus,smithy_bonus_cap) + tech_3_5*TblTech[[#This Row],[3-5]] + tech_5_3*TblTech[[#This Row],[5-3]] + tech_5_5*TblTech[[#This Row],[5-5]]))*elite1_ore,0)</f>
        <v>0</v>
      </c>
      <c r="BO114" s="97">
        <f ca="1">ROUNDUP((1-MIN(TblMili[[#This Row],[Smithies]]*smithy_bonus,smithy_bonus_cap) + tech_3_5*TblTech[[#This Row],[3-5]] + tech_5_3*TblTech[[#This Row],[5-3]] + tech_5_5*TblTech[[#This Row],[5-5]])*elite2_plat,0)</f>
        <v>608</v>
      </c>
      <c r="BP114" s="97">
        <f ca="1">ROUNDUP(IF(race="Gnome",1,(1-MIN(TblMili[[#This Row],[Smithies]]*smithy_bonus,smithy_bonus_cap) + tech_3_5*TblTech[[#This Row],[3-5]] + tech_5_3*TblTech[[#This Row],[5-3]] + tech_5_5*TblTech[[#This Row],[5-5]]))*elite2_ore,0)</f>
        <v>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5.7142857142857141E-2</v>
      </c>
      <c r="BW114" s="160">
        <f ca="1">TblMili[[#This Row],[WG''s]]</f>
        <v>0</v>
      </c>
      <c r="BX114" s="266">
        <f ca="1">IF(mystic_cap="none",TblMili[[#This Row],[Hill]]/mystic_bonus,MIN(mystic_cap,TblMili[[#This Row],[Hill]]/mystic_bonus))</f>
        <v>0.2857142857142857</v>
      </c>
      <c r="BY114" s="266">
        <f ca="1">IF(druid_op_cap="none",TblMili[[#This Row],[Hill]]/druid_op_bonus,MIN(druid_op_cap,TblMili[[#This Row],[Hill]]/druid_op_bonus))</f>
        <v>0.2857142857142857</v>
      </c>
      <c r="BZ114" s="266">
        <f ca="1">IF(druid_dp_cap="none",TblMili[[#This Row],[Hill]]/druid_dp_bonus,MIN(druid_dp_cap,TblMili[[#This Row],[Hill]]/druid_dp_bonus))</f>
        <v>0.2857142857142857</v>
      </c>
      <c r="CA114" s="266">
        <f ca="1">MIN(dryad_cap,TblMili[[#This Row],[Hill]]/dryad_bonus)</f>
        <v>0.2857142857142857</v>
      </c>
      <c r="CB114" s="266">
        <f ca="1">MIN(rocka_cap,TblMili[[#This Row],[Hill]]/rocka_bonus)</f>
        <v>0.2857142857142857</v>
      </c>
      <c r="CC114" s="266">
        <f ca="1">MIN(adept_op_cap,TblMili[[#This Row],[WG]]/adept_op_bonus)</f>
        <v>0</v>
      </c>
      <c r="CD114" s="266">
        <f ca="1">MIN(adept_dp_cap,TblMili[[#This Row],[WG]]/adept_dp_bonus)</f>
        <v>0</v>
      </c>
      <c r="CE114" s="97">
        <f ca="1">MIN(TblMili[[#This Row],[Unit 3]],TblMili[[#This Row],[Unit 2]])*2</f>
        <v>1400</v>
      </c>
      <c r="CF114" s="97">
        <f ca="1">MIN(TblMili[[#This Row],[Unit 1]],TblMili[[#This Row],[Unit 4]])*2</f>
        <v>0</v>
      </c>
      <c r="CG114" s="266">
        <f ca="1">MIN(frost_mage_cap,TblMili[[#This Row],[Hill]]/frost_mage_bonus)</f>
        <v>0.2857142857142857</v>
      </c>
      <c r="CH114" s="45">
        <f ca="1">MIN(ice_elem_cap,TblMili[[#This Row],[Raw (2)]]*ice_elem_bonus)</f>
        <v>3.5714285714285712E-2</v>
      </c>
      <c r="CI114" s="266">
        <f t="shared" si="4"/>
        <v>0.83333333333333337</v>
      </c>
      <c r="CJ114" s="266">
        <f ca="1">MIN(nox_nightshade_cap,TblConstr[[#This Row],[Homeland]]/TblConstr[[#This Row],[Land]]/nox_nightshade_swamp_bonus)</f>
        <v>0.5714285714285714</v>
      </c>
      <c r="CK114" s="267"/>
      <c r="CL114" s="267"/>
      <c r="CM114" s="267"/>
      <c r="CN114" s="266">
        <f ca="1">MIN(6,TblMili[[#This Row],[Mystic]]+Races!$F$19)*1.8 +  IF(TblMili[[#This Row],[Mystic]]+Races!$F$19&gt;6,(TblMili[[#This Row],[Mystic]]+Races!$F$19-6)*0.2,0) - Races!$I$19</f>
        <v>0.51428571428571423</v>
      </c>
      <c r="CO11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4" s="97">
        <f ca="1">TblMili[[#This Row],[Mystic bonus]]*TblMili[[#This Row],[Unit 3]]+TblMili[[#This Row],[Druid bonus]]*TblMili[[#This Row],[Unit 4]]</f>
        <v>1149.4285714285706</v>
      </c>
      <c r="CQ114" s="158">
        <f ca="1">MIN(6,TblMili[[#This Row],[Dryad]]+Races!$F$35)*1.8 +  IF(TblMili[[#This Row],[Dryad]]+Races!$F$35&gt;6,(TblMili[[#This Row],[Dryad]]+Races!$F$35-6)*0.2,0) - Races!$I$19</f>
        <v>-1.2857142857142856</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2.7642857142857133</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0.51428571428571423</v>
      </c>
      <c r="CX114" s="158">
        <f ca="1">1.8 * MIN(MAX(TblMili[[#This Row],[Ice Elemental]]+Races!$E$71,Races!$F$71),6)  +  0.45 * MIN(MIN(TblMili[[#This Row],[Ice Elemental]]+Races!$E$71,Races!$F$71),6)  +  0.2 * ( MAX(TblMili[[#This Row],[Ice Elemental]]+Races!$E$71-6,0) + MAX(Races!$F$71-6,0) )  -  Races!$I$71</f>
        <v>6.4285714285714946E-2</v>
      </c>
      <c r="CY114" s="97">
        <f ca="1">TblMili[[#This Row],[Frost Mage bonus]]*TblMili[[#This Row],[Unit 3]]+TblMili[[#This Row],[Ice Elemental bonus]]*TblMili[[#This Row],[Unit 4]]</f>
        <v>438.94285714285786</v>
      </c>
      <c r="CZ114" s="268"/>
      <c r="DA114" s="146">
        <f ca="1">MIN(SUM(TblConstr[[#This Row],[Plain]:[Water]])/TblMili[[#This Row],[Land]]/favorable_terrain_bonus/100,favorable_terrain_max)</f>
        <v>0</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4" s="145"/>
      <c r="DE114" s="269">
        <f ca="1">(TblMili[[#This Row],[Wizards]]+2*TblMili[[#This Row],[Archmages]])/TblConstr[[#This Row],[Land]]</f>
        <v>3.5714285714285712E-2</v>
      </c>
      <c r="DF114" s="269">
        <f ca="1">TblMili[[#This Row],[Raw (2)]]*(1+race_wizard_strength+IF(TblMili[[#This Row],[Hour]]&gt;72,tech_magical_weaponry_wiz*TblTech[[#This Row],[3-5]],0))</f>
        <v>3.5714285714285712E-2</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6172</v>
      </c>
      <c r="C115" s="160">
        <f ca="1">TblPop[[#This Row],[Military%]]</f>
        <v>0.47700749671535669</v>
      </c>
      <c r="D115" s="145"/>
      <c r="E115" s="45">
        <f ca="1">OFFSET(TblMili[[#This Row],[Unit 1]],-1,0) + OFFSET(TblMili[[#This Row],[Train Unit 1]],-9,0) - TblMili[[#This Row],[Release Unit 1]]</f>
        <v>0</v>
      </c>
      <c r="F115" s="45">
        <f ca="1">OFFSET(TblMili[[#This Row],[Unit 2]],-1,0) + OFFSET(TblMili[[#This Row],[Train Unit 2]],-9,0)-TblMili[[#This Row],[Release Unit 2]]</f>
        <v>1246</v>
      </c>
      <c r="G115" s="45">
        <f ca="1">OFFSET(TblMili[[#This Row],[Unit 3]],-1,0) + OFFSET(TblMili[[#This Row],[Train Unit 3]],-12,0)-TblMili[[#This Row],[Release Unit 3]]</f>
        <v>700</v>
      </c>
      <c r="H115" s="45">
        <f ca="1">OFFSET(TblMili[[#This Row],[Unit 4]],-1,0) + OFFSET(TblMili[[#This Row],[Train Unit 4]],-12,0)-TblMili[[#This Row],[Release Unit 4]]</f>
        <v>1228</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42359.8</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6140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6293.4999999999991</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5" s="262">
        <f ca="1">TblMili[[#This Row],[Non Draft]]+TblMili[[#This Row],[Draftees]]</f>
        <v>13520</v>
      </c>
      <c r="U115" s="263">
        <f ca="1">race_defense + TblImps[[#This Row],[Walls]] + ROUND( MIN(gt_bonus*TblConstr[[#This Row],[Tot GT]]/TblConstr[[#This Row],[Land]],gt_bonus_cap), 4) + IF(TblMagic[[#This Row],[Active Howling]]&gt;0,howling_dp_bonus,IF(TblMagic[[#This Row],[Active Ares Call]]&gt;0,ares_call_bonus))</f>
        <v>0.13750000000000001</v>
      </c>
      <c r="V115" s="264">
        <f ca="1">TblMili[[#This Row],[Non Draft]] * (1 + TblMili[[#This Row],[Mods_Def]])</f>
        <v>12025.65</v>
      </c>
      <c r="W115" s="262">
        <f ca="1">TblMili[[#This Row],[Draft]] * (1 + TblMili[[#This Row],[Mods_Def]])</f>
        <v>15379</v>
      </c>
      <c r="X115" s="262">
        <f ca="1">TblConstr[[#This Row],[Land]]</f>
        <v>700</v>
      </c>
      <c r="Y115" s="265"/>
      <c r="Z115" s="270">
        <f ca="1">IF(TblMili[[#This Row],[Set]]&lt;&gt;"",TblMili[[#This Row],[Set]],OFFSET(TblMili[[#This Row],[Draftrate]],-1,0))</f>
        <v>0.9</v>
      </c>
      <c r="AA115" s="97">
        <f ca="1">OFFSET(TblMili[[#This Row],[Draftees]],-1,0)+OFFSET(TblPop[[#This Row],[Draft Growth]],-1,0) - SUM(TblMili[[#This Row],[Train Unit 1]:[Train Spies]],TblMili[[#This Row],[Train Wiz]]) - TblMili[[#This Row],[Release Draft]] + SUM(TblMili[[#This Row],[Release Unit 1]:[Release AM]]) - TblExplore[[#This Row],[Draftees (2)]]</f>
        <v>2948</v>
      </c>
      <c r="AB115" s="157"/>
      <c r="AC115" s="183">
        <f ca="1">(TblConstr[[#This Row],[Tot Smi]]+TblConstr[[#This Row],[Dest Smi]])/(TblConstr[[#This Row],[Land]]-TblExplore[[#This Row],[Land Bonus]]*20)</f>
        <v>0.18</v>
      </c>
      <c r="AD115" s="140"/>
      <c r="AE115" s="261">
        <f>TblMili[[#This Row],[Hour]]</f>
        <v>112</v>
      </c>
      <c r="AF115" s="141">
        <f ca="1">TblExplore[[#This Row],[Time]]</f>
        <v>45434.374999999731</v>
      </c>
      <c r="AG115" s="182"/>
      <c r="AH115" s="182"/>
      <c r="AI115" s="182"/>
      <c r="AJ115" s="182"/>
      <c r="AK115" s="182"/>
      <c r="AL115" s="182"/>
      <c r="AM115" s="182"/>
      <c r="AN115" s="182"/>
      <c r="AO115" s="145"/>
      <c r="AP115" s="97">
        <f ca="1">TblProd[[#This Row],[Platinum]]</f>
        <v>1593898</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45434.374999999731</v>
      </c>
      <c r="AV115" s="97">
        <f ca="1">TblMili[[#This Row],[Draftees]]</f>
        <v>2948</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192</v>
      </c>
      <c r="BJ115" s="97">
        <f ca="1">ROUNDUP(IF(race="Gnome",1,(1-MIN(TblMili[[#This Row],[Smithies]]*smithy_bonus,smithy_bonus_cap) + tech_3_5*TblTech[[#This Row],[3-5]] + tech_5_3*TblTech[[#This Row],[5-3]] + tech_5_5*TblTech[[#This Row],[5-5]]))*spec_op_ore,0)</f>
        <v>0</v>
      </c>
      <c r="BK115" s="97">
        <f ca="1">ROUNDUP((1-MIN(TblMili[[#This Row],[Smithies]]*smithy_bonus,smithy_bonus_cap) + tech_3_5*TblTech[[#This Row],[3-5]] + tech_5_3*TblTech[[#This Row],[5-3]] + tech_5_5*TblTech[[#This Row],[5-5]])*spec_dp_plat,0)</f>
        <v>192</v>
      </c>
      <c r="BL115" s="97">
        <f ca="1">ROUNDUP(IF(race="Gnome",1,(1-MIN(TblMili[[#This Row],[Smithies]]*smithy_bonus,smithy_bonus_cap) + tech_3_5*TblTech[[#This Row],[3-5]] + tech_5_3*TblTech[[#This Row],[5-3]] + tech_5_5*TblTech[[#This Row],[5-5]]))*spec_dp_ore,0)</f>
        <v>0</v>
      </c>
      <c r="BM115" s="97">
        <f ca="1">ROUNDUP((1-MIN(TblMili[[#This Row],[Smithies]]*smithy_bonus,smithy_bonus_cap) + tech_3_5*TblTech[[#This Row],[3-5]] + tech_5_3*TblTech[[#This Row],[5-3]] + tech_5_5*TblTech[[#This Row],[5-5]])*elite1_plat,0)</f>
        <v>592</v>
      </c>
      <c r="BN115" s="97">
        <f ca="1">ROUNDUP(IF(race="Gnome",1,(1-MIN(TblMili[[#This Row],[Smithies]]*smithy_bonus,smithy_bonus_cap) + tech_3_5*TblTech[[#This Row],[3-5]] + tech_5_3*TblTech[[#This Row],[5-3]] + tech_5_5*TblTech[[#This Row],[5-5]]))*elite1_ore,0)</f>
        <v>0</v>
      </c>
      <c r="BO115" s="97">
        <f ca="1">ROUNDUP((1-MIN(TblMili[[#This Row],[Smithies]]*smithy_bonus,smithy_bonus_cap) + tech_3_5*TblTech[[#This Row],[3-5]] + tech_5_3*TblTech[[#This Row],[5-3]] + tech_5_5*TblTech[[#This Row],[5-5]])*elite2_plat,0)</f>
        <v>608</v>
      </c>
      <c r="BP115" s="97">
        <f ca="1">ROUNDUP(IF(race="Gnome",1,(1-MIN(TblMili[[#This Row],[Smithies]]*smithy_bonus,smithy_bonus_cap) + tech_3_5*TblTech[[#This Row],[3-5]] + tech_5_3*TblTech[[#This Row],[5-3]] + tech_5_5*TblTech[[#This Row],[5-5]]))*elite2_ore,0)</f>
        <v>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5.7142857142857141E-2</v>
      </c>
      <c r="BW115" s="160">
        <f ca="1">TblMili[[#This Row],[WG''s]]</f>
        <v>0</v>
      </c>
      <c r="BX115" s="266">
        <f ca="1">IF(mystic_cap="none",TblMili[[#This Row],[Hill]]/mystic_bonus,MIN(mystic_cap,TblMili[[#This Row],[Hill]]/mystic_bonus))</f>
        <v>0.2857142857142857</v>
      </c>
      <c r="BY115" s="266">
        <f ca="1">IF(druid_op_cap="none",TblMili[[#This Row],[Hill]]/druid_op_bonus,MIN(druid_op_cap,TblMili[[#This Row],[Hill]]/druid_op_bonus))</f>
        <v>0.2857142857142857</v>
      </c>
      <c r="BZ115" s="266">
        <f ca="1">IF(druid_dp_cap="none",TblMili[[#This Row],[Hill]]/druid_dp_bonus,MIN(druid_dp_cap,TblMili[[#This Row],[Hill]]/druid_dp_bonus))</f>
        <v>0.2857142857142857</v>
      </c>
      <c r="CA115" s="266">
        <f ca="1">MIN(dryad_cap,TblMili[[#This Row],[Hill]]/dryad_bonus)</f>
        <v>0.2857142857142857</v>
      </c>
      <c r="CB115" s="266">
        <f ca="1">MIN(rocka_cap,TblMili[[#This Row],[Hill]]/rocka_bonus)</f>
        <v>0.2857142857142857</v>
      </c>
      <c r="CC115" s="266">
        <f ca="1">MIN(adept_op_cap,TblMili[[#This Row],[WG]]/adept_op_bonus)</f>
        <v>0</v>
      </c>
      <c r="CD115" s="266">
        <f ca="1">MIN(adept_dp_cap,TblMili[[#This Row],[WG]]/adept_dp_bonus)</f>
        <v>0</v>
      </c>
      <c r="CE115" s="97">
        <f ca="1">MIN(TblMili[[#This Row],[Unit 3]],TblMili[[#This Row],[Unit 2]])*2</f>
        <v>1400</v>
      </c>
      <c r="CF115" s="97">
        <f ca="1">MIN(TblMili[[#This Row],[Unit 1]],TblMili[[#This Row],[Unit 4]])*2</f>
        <v>0</v>
      </c>
      <c r="CG115" s="266">
        <f ca="1">MIN(frost_mage_cap,TblMili[[#This Row],[Hill]]/frost_mage_bonus)</f>
        <v>0.2857142857142857</v>
      </c>
      <c r="CH115" s="45">
        <f ca="1">MIN(ice_elem_cap,TblMili[[#This Row],[Raw (2)]]*ice_elem_bonus)</f>
        <v>3.5714285714285712E-2</v>
      </c>
      <c r="CI115" s="266">
        <f t="shared" si="4"/>
        <v>0.83333333333333337</v>
      </c>
      <c r="CJ115" s="266">
        <f ca="1">MIN(nox_nightshade_cap,TblConstr[[#This Row],[Homeland]]/TblConstr[[#This Row],[Land]]/nox_nightshade_swamp_bonus)</f>
        <v>0.5714285714285714</v>
      </c>
      <c r="CK115" s="267"/>
      <c r="CL115" s="267"/>
      <c r="CM115" s="267"/>
      <c r="CN115" s="266">
        <f ca="1">MIN(6,TblMili[[#This Row],[Mystic]]+Races!$F$19)*1.8 +  IF(TblMili[[#This Row],[Mystic]]+Races!$F$19&gt;6,(TblMili[[#This Row],[Mystic]]+Races!$F$19-6)*0.2,0) - Races!$I$19</f>
        <v>0.51428571428571423</v>
      </c>
      <c r="CO11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5" s="97">
        <f ca="1">TblMili[[#This Row],[Mystic bonus]]*TblMili[[#This Row],[Unit 3]]+TblMili[[#This Row],[Druid bonus]]*TblMili[[#This Row],[Unit 4]]</f>
        <v>1149.4285714285706</v>
      </c>
      <c r="CQ115" s="158">
        <f ca="1">MIN(6,TblMili[[#This Row],[Dryad]]+Races!$F$35)*1.8 +  IF(TblMili[[#This Row],[Dryad]]+Races!$F$35&gt;6,(TblMili[[#This Row],[Dryad]]+Races!$F$35-6)*0.2,0) - Races!$I$19</f>
        <v>-1.2857142857142856</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2.7642857142857133</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0.51428571428571423</v>
      </c>
      <c r="CX115" s="158">
        <f ca="1">1.8 * MIN(MAX(TblMili[[#This Row],[Ice Elemental]]+Races!$E$71,Races!$F$71),6)  +  0.45 * MIN(MIN(TblMili[[#This Row],[Ice Elemental]]+Races!$E$71,Races!$F$71),6)  +  0.2 * ( MAX(TblMili[[#This Row],[Ice Elemental]]+Races!$E$71-6,0) + MAX(Races!$F$71-6,0) )  -  Races!$I$71</f>
        <v>6.4285714285714946E-2</v>
      </c>
      <c r="CY115" s="97">
        <f ca="1">TblMili[[#This Row],[Frost Mage bonus]]*TblMili[[#This Row],[Unit 3]]+TblMili[[#This Row],[Ice Elemental bonus]]*TblMili[[#This Row],[Unit 4]]</f>
        <v>438.94285714285786</v>
      </c>
      <c r="CZ115" s="268"/>
      <c r="DA115" s="146">
        <f ca="1">MIN(SUM(TblConstr[[#This Row],[Plain]:[Water]])/TblMili[[#This Row],[Land]]/favorable_terrain_bonus/100,favorable_terrain_max)</f>
        <v>0</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5" s="145"/>
      <c r="DE115" s="269">
        <f ca="1">(TblMili[[#This Row],[Wizards]]+2*TblMili[[#This Row],[Archmages]])/TblConstr[[#This Row],[Land]]</f>
        <v>3.5714285714285712E-2</v>
      </c>
      <c r="DF115" s="269">
        <f ca="1">TblMili[[#This Row],[Raw (2)]]*(1+race_wizard_strength+IF(TblMili[[#This Row],[Hour]]&gt;72,tech_magical_weaponry_wiz*TblTech[[#This Row],[3-5]],0))</f>
        <v>3.5714285714285712E-2</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6240</v>
      </c>
      <c r="C116" s="160">
        <f ca="1">TblPop[[#This Row],[Military%]]</f>
        <v>0.48226292603756088</v>
      </c>
      <c r="D116" s="145"/>
      <c r="E116" s="45">
        <f ca="1">OFFSET(TblMili[[#This Row],[Unit 1]],-1,0) + OFFSET(TblMili[[#This Row],[Train Unit 1]],-9,0) - TblMili[[#This Row],[Release Unit 1]]</f>
        <v>0</v>
      </c>
      <c r="F116" s="45">
        <f ca="1">OFFSET(TblMili[[#This Row],[Unit 2]],-1,0) + OFFSET(TblMili[[#This Row],[Train Unit 2]],-9,0)-TblMili[[#This Row],[Release Unit 2]]</f>
        <v>1246</v>
      </c>
      <c r="G116" s="45">
        <f ca="1">OFFSET(TblMili[[#This Row],[Unit 3]],-1,0) + OFFSET(TblMili[[#This Row],[Train Unit 3]],-12,0)-TblMili[[#This Row],[Release Unit 3]]</f>
        <v>700</v>
      </c>
      <c r="H116" s="45">
        <f ca="1">OFFSET(TblMili[[#This Row],[Unit 4]],-1,0) + OFFSET(TblMili[[#This Row],[Train Unit 4]],-12,0)-TblMili[[#This Row],[Release Unit 4]]</f>
        <v>1228</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42359.8</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6140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6293.4999999999991</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6" s="262">
        <f ca="1">TblMili[[#This Row],[Non Draft]]+TblMili[[#This Row],[Draftees]]</f>
        <v>13588</v>
      </c>
      <c r="U116" s="263">
        <f ca="1">race_defense + TblImps[[#This Row],[Walls]] + ROUND( MIN(gt_bonus*TblConstr[[#This Row],[Tot GT]]/TblConstr[[#This Row],[Land]],gt_bonus_cap), 4) + IF(TblMagic[[#This Row],[Active Howling]]&gt;0,howling_dp_bonus,IF(TblMagic[[#This Row],[Active Ares Call]]&gt;0,ares_call_bonus))</f>
        <v>0.13750000000000001</v>
      </c>
      <c r="V116" s="264">
        <f ca="1">TblMili[[#This Row],[Non Draft]] * (1 + TblMili[[#This Row],[Mods_Def]])</f>
        <v>12025.65</v>
      </c>
      <c r="W116" s="262">
        <f ca="1">TblMili[[#This Row],[Draft]] * (1 + TblMili[[#This Row],[Mods_Def]])</f>
        <v>15456.349999999999</v>
      </c>
      <c r="X116" s="262">
        <f ca="1">TblConstr[[#This Row],[Land]]</f>
        <v>700</v>
      </c>
      <c r="Y116" s="265"/>
      <c r="Z116" s="270">
        <f ca="1">IF(TblMili[[#This Row],[Set]]&lt;&gt;"",TblMili[[#This Row],[Set]],OFFSET(TblMili[[#This Row],[Draftrate]],-1,0))</f>
        <v>0.9</v>
      </c>
      <c r="AA116" s="97">
        <f ca="1">OFFSET(TblMili[[#This Row],[Draftees]],-1,0)+OFFSET(TblPop[[#This Row],[Draft Growth]],-1,0) - SUM(TblMili[[#This Row],[Train Unit 1]:[Train Spies]],TblMili[[#This Row],[Train Wiz]]) - TblMili[[#This Row],[Release Draft]] + SUM(TblMili[[#This Row],[Release Unit 1]:[Release AM]]) - TblExplore[[#This Row],[Draftees (2)]]</f>
        <v>3016</v>
      </c>
      <c r="AB116" s="157"/>
      <c r="AC116" s="183">
        <f ca="1">(TblConstr[[#This Row],[Tot Smi]]+TblConstr[[#This Row],[Dest Smi]])/(TblConstr[[#This Row],[Land]]-TblExplore[[#This Row],[Land Bonus]]*20)</f>
        <v>0.18</v>
      </c>
      <c r="AD116" s="140"/>
      <c r="AE116" s="261">
        <f>TblMili[[#This Row],[Hour]]</f>
        <v>113</v>
      </c>
      <c r="AF116" s="141">
        <f ca="1">TblExplore[[#This Row],[Time]]</f>
        <v>45434.416666666395</v>
      </c>
      <c r="AG116" s="182"/>
      <c r="AH116" s="182"/>
      <c r="AI116" s="182"/>
      <c r="AJ116" s="182"/>
      <c r="AK116" s="182"/>
      <c r="AL116" s="182"/>
      <c r="AM116" s="182"/>
      <c r="AN116" s="182"/>
      <c r="AO116" s="145"/>
      <c r="AP116" s="97">
        <f ca="1">TblProd[[#This Row],[Platinum]]</f>
        <v>1624543</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45434.416666666395</v>
      </c>
      <c r="AV116" s="97">
        <f ca="1">TblMili[[#This Row],[Draftees]]</f>
        <v>3016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192</v>
      </c>
      <c r="BJ116" s="97">
        <f ca="1">ROUNDUP(IF(race="Gnome",1,(1-MIN(TblMili[[#This Row],[Smithies]]*smithy_bonus,smithy_bonus_cap) + tech_3_5*TblTech[[#This Row],[3-5]] + tech_5_3*TblTech[[#This Row],[5-3]] + tech_5_5*TblTech[[#This Row],[5-5]]))*spec_op_ore,0)</f>
        <v>0</v>
      </c>
      <c r="BK116" s="97">
        <f ca="1">ROUNDUP((1-MIN(TblMili[[#This Row],[Smithies]]*smithy_bonus,smithy_bonus_cap) + tech_3_5*TblTech[[#This Row],[3-5]] + tech_5_3*TblTech[[#This Row],[5-3]] + tech_5_5*TblTech[[#This Row],[5-5]])*spec_dp_plat,0)</f>
        <v>192</v>
      </c>
      <c r="BL116" s="97">
        <f ca="1">ROUNDUP(IF(race="Gnome",1,(1-MIN(TblMili[[#This Row],[Smithies]]*smithy_bonus,smithy_bonus_cap) + tech_3_5*TblTech[[#This Row],[3-5]] + tech_5_3*TblTech[[#This Row],[5-3]] + tech_5_5*TblTech[[#This Row],[5-5]]))*spec_dp_ore,0)</f>
        <v>0</v>
      </c>
      <c r="BM116" s="97">
        <f ca="1">ROUNDUP((1-MIN(TblMili[[#This Row],[Smithies]]*smithy_bonus,smithy_bonus_cap) + tech_3_5*TblTech[[#This Row],[3-5]] + tech_5_3*TblTech[[#This Row],[5-3]] + tech_5_5*TblTech[[#This Row],[5-5]])*elite1_plat,0)</f>
        <v>592</v>
      </c>
      <c r="BN116" s="97">
        <f ca="1">ROUNDUP(IF(race="Gnome",1,(1-MIN(TblMili[[#This Row],[Smithies]]*smithy_bonus,smithy_bonus_cap) + tech_3_5*TblTech[[#This Row],[3-5]] + tech_5_3*TblTech[[#This Row],[5-3]] + tech_5_5*TblTech[[#This Row],[5-5]]))*elite1_ore,0)</f>
        <v>0</v>
      </c>
      <c r="BO116" s="97">
        <f ca="1">ROUNDUP((1-MIN(TblMili[[#This Row],[Smithies]]*smithy_bonus,smithy_bonus_cap) + tech_3_5*TblTech[[#This Row],[3-5]] + tech_5_3*TblTech[[#This Row],[5-3]] + tech_5_5*TblTech[[#This Row],[5-5]])*elite2_plat,0)</f>
        <v>608</v>
      </c>
      <c r="BP116" s="97">
        <f ca="1">ROUNDUP(IF(race="Gnome",1,(1-MIN(TblMili[[#This Row],[Smithies]]*smithy_bonus,smithy_bonus_cap) + tech_3_5*TblTech[[#This Row],[3-5]] + tech_5_3*TblTech[[#This Row],[5-3]] + tech_5_5*TblTech[[#This Row],[5-5]]))*elite2_ore,0)</f>
        <v>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5.7142857142857141E-2</v>
      </c>
      <c r="BW116" s="160">
        <f ca="1">TblMili[[#This Row],[WG''s]]</f>
        <v>0</v>
      </c>
      <c r="BX116" s="266">
        <f ca="1">IF(mystic_cap="none",TblMili[[#This Row],[Hill]]/mystic_bonus,MIN(mystic_cap,TblMili[[#This Row],[Hill]]/mystic_bonus))</f>
        <v>0.2857142857142857</v>
      </c>
      <c r="BY116" s="266">
        <f ca="1">IF(druid_op_cap="none",TblMili[[#This Row],[Hill]]/druid_op_bonus,MIN(druid_op_cap,TblMili[[#This Row],[Hill]]/druid_op_bonus))</f>
        <v>0.2857142857142857</v>
      </c>
      <c r="BZ116" s="266">
        <f ca="1">IF(druid_dp_cap="none",TblMili[[#This Row],[Hill]]/druid_dp_bonus,MIN(druid_dp_cap,TblMili[[#This Row],[Hill]]/druid_dp_bonus))</f>
        <v>0.2857142857142857</v>
      </c>
      <c r="CA116" s="266">
        <f ca="1">MIN(dryad_cap,TblMili[[#This Row],[Hill]]/dryad_bonus)</f>
        <v>0.2857142857142857</v>
      </c>
      <c r="CB116" s="266">
        <f ca="1">MIN(rocka_cap,TblMili[[#This Row],[Hill]]/rocka_bonus)</f>
        <v>0.2857142857142857</v>
      </c>
      <c r="CC116" s="266">
        <f ca="1">MIN(adept_op_cap,TblMili[[#This Row],[WG]]/adept_op_bonus)</f>
        <v>0</v>
      </c>
      <c r="CD116" s="266">
        <f ca="1">MIN(adept_dp_cap,TblMili[[#This Row],[WG]]/adept_dp_bonus)</f>
        <v>0</v>
      </c>
      <c r="CE116" s="97">
        <f ca="1">MIN(TblMili[[#This Row],[Unit 3]],TblMili[[#This Row],[Unit 2]])*2</f>
        <v>1400</v>
      </c>
      <c r="CF116" s="97">
        <f ca="1">MIN(TblMili[[#This Row],[Unit 1]],TblMili[[#This Row],[Unit 4]])*2</f>
        <v>0</v>
      </c>
      <c r="CG116" s="266">
        <f ca="1">MIN(frost_mage_cap,TblMili[[#This Row],[Hill]]/frost_mage_bonus)</f>
        <v>0.2857142857142857</v>
      </c>
      <c r="CH116" s="45">
        <f ca="1">MIN(ice_elem_cap,TblMili[[#This Row],[Raw (2)]]*ice_elem_bonus)</f>
        <v>3.5714285714285712E-2</v>
      </c>
      <c r="CI116" s="266">
        <f t="shared" si="4"/>
        <v>0.83333333333333337</v>
      </c>
      <c r="CJ116" s="266">
        <f ca="1">MIN(nox_nightshade_cap,TblConstr[[#This Row],[Homeland]]/TblConstr[[#This Row],[Land]]/nox_nightshade_swamp_bonus)</f>
        <v>0.5714285714285714</v>
      </c>
      <c r="CK116" s="267"/>
      <c r="CL116" s="267"/>
      <c r="CM116" s="267"/>
      <c r="CN116" s="266">
        <f ca="1">MIN(6,TblMili[[#This Row],[Mystic]]+Races!$F$19)*1.8 +  IF(TblMili[[#This Row],[Mystic]]+Races!$F$19&gt;6,(TblMili[[#This Row],[Mystic]]+Races!$F$19-6)*0.2,0) - Races!$I$19</f>
        <v>0.51428571428571423</v>
      </c>
      <c r="CO11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6" s="97">
        <f ca="1">TblMili[[#This Row],[Mystic bonus]]*TblMili[[#This Row],[Unit 3]]+TblMili[[#This Row],[Druid bonus]]*TblMili[[#This Row],[Unit 4]]</f>
        <v>1149.4285714285706</v>
      </c>
      <c r="CQ116" s="158">
        <f ca="1">MIN(6,TblMili[[#This Row],[Dryad]]+Races!$F$35)*1.8 +  IF(TblMili[[#This Row],[Dryad]]+Races!$F$35&gt;6,(TblMili[[#This Row],[Dryad]]+Races!$F$35-6)*0.2,0) - Races!$I$19</f>
        <v>-1.2857142857142856</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2.7642857142857133</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0.51428571428571423</v>
      </c>
      <c r="CX116" s="158">
        <f ca="1">1.8 * MIN(MAX(TblMili[[#This Row],[Ice Elemental]]+Races!$E$71,Races!$F$71),6)  +  0.45 * MIN(MIN(TblMili[[#This Row],[Ice Elemental]]+Races!$E$71,Races!$F$71),6)  +  0.2 * ( MAX(TblMili[[#This Row],[Ice Elemental]]+Races!$E$71-6,0) + MAX(Races!$F$71-6,0) )  -  Races!$I$71</f>
        <v>6.4285714285714946E-2</v>
      </c>
      <c r="CY116" s="97">
        <f ca="1">TblMili[[#This Row],[Frost Mage bonus]]*TblMili[[#This Row],[Unit 3]]+TblMili[[#This Row],[Ice Elemental bonus]]*TblMili[[#This Row],[Unit 4]]</f>
        <v>438.94285714285786</v>
      </c>
      <c r="CZ116" s="268"/>
      <c r="DA116" s="146">
        <f ca="1">MIN(SUM(TblConstr[[#This Row],[Plain]:[Water]])/TblMili[[#This Row],[Land]]/favorable_terrain_bonus/100,favorable_terrain_max)</f>
        <v>0</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6" s="145"/>
      <c r="DE116" s="269">
        <f ca="1">(TblMili[[#This Row],[Wizards]]+2*TblMili[[#This Row],[Archmages]])/TblConstr[[#This Row],[Land]]</f>
        <v>3.5714285714285712E-2</v>
      </c>
      <c r="DF116" s="269">
        <f ca="1">TblMili[[#This Row],[Raw (2)]]*(1+race_wizard_strength+IF(TblMili[[#This Row],[Hour]]&gt;72,tech_magical_weaponry_wiz*TblTech[[#This Row],[3-5]],0))</f>
        <v>3.5714285714285712E-2</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6307</v>
      </c>
      <c r="C117" s="160">
        <f ca="1">TblPop[[#This Row],[Military%]]</f>
        <v>0.48744106963443851</v>
      </c>
      <c r="D117" s="145"/>
      <c r="E117" s="45">
        <f ca="1">OFFSET(TblMili[[#This Row],[Unit 1]],-1,0) + OFFSET(TblMili[[#This Row],[Train Unit 1]],-9,0) - TblMili[[#This Row],[Release Unit 1]]</f>
        <v>0</v>
      </c>
      <c r="F117" s="45">
        <f ca="1">OFFSET(TblMili[[#This Row],[Unit 2]],-1,0) + OFFSET(TblMili[[#This Row],[Train Unit 2]],-9,0)-TblMili[[#This Row],[Release Unit 2]]</f>
        <v>1246</v>
      </c>
      <c r="G117" s="45">
        <f ca="1">OFFSET(TblMili[[#This Row],[Unit 3]],-1,0) + OFFSET(TblMili[[#This Row],[Train Unit 3]],-12,0)-TblMili[[#This Row],[Release Unit 3]]</f>
        <v>700</v>
      </c>
      <c r="H117" s="45">
        <f ca="1">OFFSET(TblMili[[#This Row],[Unit 4]],-1,0) + OFFSET(TblMili[[#This Row],[Train Unit 4]],-12,0)-TblMili[[#This Row],[Release Unit 4]]</f>
        <v>1228</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42359.8</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6140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6293.4999999999991</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7" s="262">
        <f ca="1">TblMili[[#This Row],[Non Draft]]+TblMili[[#This Row],[Draftees]]</f>
        <v>13655</v>
      </c>
      <c r="U117" s="263">
        <f ca="1">race_defense + TblImps[[#This Row],[Walls]] + ROUND( MIN(gt_bonus*TblConstr[[#This Row],[Tot GT]]/TblConstr[[#This Row],[Land]],gt_bonus_cap), 4) + IF(TblMagic[[#This Row],[Active Howling]]&gt;0,howling_dp_bonus,IF(TblMagic[[#This Row],[Active Ares Call]]&gt;0,ares_call_bonus))</f>
        <v>0.13750000000000001</v>
      </c>
      <c r="V117" s="264">
        <f ca="1">TblMili[[#This Row],[Non Draft]] * (1 + TblMili[[#This Row],[Mods_Def]])</f>
        <v>12025.65</v>
      </c>
      <c r="W117" s="262">
        <f ca="1">TblMili[[#This Row],[Draft]] * (1 + TblMili[[#This Row],[Mods_Def]])</f>
        <v>15532.5625</v>
      </c>
      <c r="X117" s="262">
        <f ca="1">TblConstr[[#This Row],[Land]]</f>
        <v>700</v>
      </c>
      <c r="Y117" s="265"/>
      <c r="Z117" s="270">
        <f ca="1">IF(TblMili[[#This Row],[Set]]&lt;&gt;"",TblMili[[#This Row],[Set]],OFFSET(TblMili[[#This Row],[Draftrate]],-1,0))</f>
        <v>0.9</v>
      </c>
      <c r="AA117" s="97">
        <f ca="1">OFFSET(TblMili[[#This Row],[Draftees]],-1,0)+OFFSET(TblPop[[#This Row],[Draft Growth]],-1,0) - SUM(TblMili[[#This Row],[Train Unit 1]:[Train Spies]],TblMili[[#This Row],[Train Wiz]]) - TblMili[[#This Row],[Release Draft]] + SUM(TblMili[[#This Row],[Release Unit 1]:[Release AM]]) - TblExplore[[#This Row],[Draftees (2)]]</f>
        <v>3083</v>
      </c>
      <c r="AB117" s="157"/>
      <c r="AC117" s="183">
        <f ca="1">(TblConstr[[#This Row],[Tot Smi]]+TblConstr[[#This Row],[Dest Smi]])/(TblConstr[[#This Row],[Land]]-TblExplore[[#This Row],[Land Bonus]]*20)</f>
        <v>0.18</v>
      </c>
      <c r="AD117" s="140"/>
      <c r="AE117" s="261">
        <f>TblMili[[#This Row],[Hour]]</f>
        <v>114</v>
      </c>
      <c r="AF117" s="141">
        <f ca="1">TblExplore[[#This Row],[Time]]</f>
        <v>45434.458333333059</v>
      </c>
      <c r="AG117" s="182"/>
      <c r="AH117" s="182"/>
      <c r="AI117" s="182"/>
      <c r="AJ117" s="182"/>
      <c r="AK117" s="182"/>
      <c r="AL117" s="182"/>
      <c r="AM117" s="182"/>
      <c r="AN117" s="182"/>
      <c r="AO117" s="145"/>
      <c r="AP117" s="97">
        <f ca="1">TblProd[[#This Row],[Platinum]]</f>
        <v>1655005</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45434.458333333059</v>
      </c>
      <c r="AV117" s="97">
        <f ca="1">TblMili[[#This Row],[Draftees]]</f>
        <v>3083</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192</v>
      </c>
      <c r="BJ117" s="97">
        <f ca="1">ROUNDUP(IF(race="Gnome",1,(1-MIN(TblMili[[#This Row],[Smithies]]*smithy_bonus,smithy_bonus_cap) + tech_3_5*TblTech[[#This Row],[3-5]] + tech_5_3*TblTech[[#This Row],[5-3]] + tech_5_5*TblTech[[#This Row],[5-5]]))*spec_op_ore,0)</f>
        <v>0</v>
      </c>
      <c r="BK117" s="97">
        <f ca="1">ROUNDUP((1-MIN(TblMili[[#This Row],[Smithies]]*smithy_bonus,smithy_bonus_cap) + tech_3_5*TblTech[[#This Row],[3-5]] + tech_5_3*TblTech[[#This Row],[5-3]] + tech_5_5*TblTech[[#This Row],[5-5]])*spec_dp_plat,0)</f>
        <v>192</v>
      </c>
      <c r="BL117" s="97">
        <f ca="1">ROUNDUP(IF(race="Gnome",1,(1-MIN(TblMili[[#This Row],[Smithies]]*smithy_bonus,smithy_bonus_cap) + tech_3_5*TblTech[[#This Row],[3-5]] + tech_5_3*TblTech[[#This Row],[5-3]] + tech_5_5*TblTech[[#This Row],[5-5]]))*spec_dp_ore,0)</f>
        <v>0</v>
      </c>
      <c r="BM117" s="97">
        <f ca="1">ROUNDUP((1-MIN(TblMili[[#This Row],[Smithies]]*smithy_bonus,smithy_bonus_cap) + tech_3_5*TblTech[[#This Row],[3-5]] + tech_5_3*TblTech[[#This Row],[5-3]] + tech_5_5*TblTech[[#This Row],[5-5]])*elite1_plat,0)</f>
        <v>592</v>
      </c>
      <c r="BN117" s="97">
        <f ca="1">ROUNDUP(IF(race="Gnome",1,(1-MIN(TblMili[[#This Row],[Smithies]]*smithy_bonus,smithy_bonus_cap) + tech_3_5*TblTech[[#This Row],[3-5]] + tech_5_3*TblTech[[#This Row],[5-3]] + tech_5_5*TblTech[[#This Row],[5-5]]))*elite1_ore,0)</f>
        <v>0</v>
      </c>
      <c r="BO117" s="97">
        <f ca="1">ROUNDUP((1-MIN(TblMili[[#This Row],[Smithies]]*smithy_bonus,smithy_bonus_cap) + tech_3_5*TblTech[[#This Row],[3-5]] + tech_5_3*TblTech[[#This Row],[5-3]] + tech_5_5*TblTech[[#This Row],[5-5]])*elite2_plat,0)</f>
        <v>608</v>
      </c>
      <c r="BP117" s="97">
        <f ca="1">ROUNDUP(IF(race="Gnome",1,(1-MIN(TblMili[[#This Row],[Smithies]]*smithy_bonus,smithy_bonus_cap) + tech_3_5*TblTech[[#This Row],[3-5]] + tech_5_3*TblTech[[#This Row],[5-3]] + tech_5_5*TblTech[[#This Row],[5-5]]))*elite2_ore,0)</f>
        <v>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5.7142857142857141E-2</v>
      </c>
      <c r="BW117" s="160">
        <f ca="1">TblMili[[#This Row],[WG''s]]</f>
        <v>0</v>
      </c>
      <c r="BX117" s="266">
        <f ca="1">IF(mystic_cap="none",TblMili[[#This Row],[Hill]]/mystic_bonus,MIN(mystic_cap,TblMili[[#This Row],[Hill]]/mystic_bonus))</f>
        <v>0.2857142857142857</v>
      </c>
      <c r="BY117" s="266">
        <f ca="1">IF(druid_op_cap="none",TblMili[[#This Row],[Hill]]/druid_op_bonus,MIN(druid_op_cap,TblMili[[#This Row],[Hill]]/druid_op_bonus))</f>
        <v>0.2857142857142857</v>
      </c>
      <c r="BZ117" s="266">
        <f ca="1">IF(druid_dp_cap="none",TblMili[[#This Row],[Hill]]/druid_dp_bonus,MIN(druid_dp_cap,TblMili[[#This Row],[Hill]]/druid_dp_bonus))</f>
        <v>0.2857142857142857</v>
      </c>
      <c r="CA117" s="266">
        <f ca="1">MIN(dryad_cap,TblMili[[#This Row],[Hill]]/dryad_bonus)</f>
        <v>0.2857142857142857</v>
      </c>
      <c r="CB117" s="266">
        <f ca="1">MIN(rocka_cap,TblMili[[#This Row],[Hill]]/rocka_bonus)</f>
        <v>0.2857142857142857</v>
      </c>
      <c r="CC117" s="266">
        <f ca="1">MIN(adept_op_cap,TblMili[[#This Row],[WG]]/adept_op_bonus)</f>
        <v>0</v>
      </c>
      <c r="CD117" s="266">
        <f ca="1">MIN(adept_dp_cap,TblMili[[#This Row],[WG]]/adept_dp_bonus)</f>
        <v>0</v>
      </c>
      <c r="CE117" s="97">
        <f ca="1">MIN(TblMili[[#This Row],[Unit 3]],TblMili[[#This Row],[Unit 2]])*2</f>
        <v>1400</v>
      </c>
      <c r="CF117" s="97">
        <f ca="1">MIN(TblMili[[#This Row],[Unit 1]],TblMili[[#This Row],[Unit 4]])*2</f>
        <v>0</v>
      </c>
      <c r="CG117" s="266">
        <f ca="1">MIN(frost_mage_cap,TblMili[[#This Row],[Hill]]/frost_mage_bonus)</f>
        <v>0.2857142857142857</v>
      </c>
      <c r="CH117" s="45">
        <f ca="1">MIN(ice_elem_cap,TblMili[[#This Row],[Raw (2)]]*ice_elem_bonus)</f>
        <v>3.5714285714285712E-2</v>
      </c>
      <c r="CI117" s="266">
        <f t="shared" si="4"/>
        <v>0.83333333333333337</v>
      </c>
      <c r="CJ117" s="266">
        <f ca="1">MIN(nox_nightshade_cap,TblConstr[[#This Row],[Homeland]]/TblConstr[[#This Row],[Land]]/nox_nightshade_swamp_bonus)</f>
        <v>0.5714285714285714</v>
      </c>
      <c r="CK117" s="267"/>
      <c r="CL117" s="267"/>
      <c r="CM117" s="267"/>
      <c r="CN117" s="266">
        <f ca="1">MIN(6,TblMili[[#This Row],[Mystic]]+Races!$F$19)*1.8 +  IF(TblMili[[#This Row],[Mystic]]+Races!$F$19&gt;6,(TblMili[[#This Row],[Mystic]]+Races!$F$19-6)*0.2,0) - Races!$I$19</f>
        <v>0.51428571428571423</v>
      </c>
      <c r="CO11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7" s="97">
        <f ca="1">TblMili[[#This Row],[Mystic bonus]]*TblMili[[#This Row],[Unit 3]]+TblMili[[#This Row],[Druid bonus]]*TblMili[[#This Row],[Unit 4]]</f>
        <v>1149.4285714285706</v>
      </c>
      <c r="CQ117" s="158">
        <f ca="1">MIN(6,TblMili[[#This Row],[Dryad]]+Races!$F$35)*1.8 +  IF(TblMili[[#This Row],[Dryad]]+Races!$F$35&gt;6,(TblMili[[#This Row],[Dryad]]+Races!$F$35-6)*0.2,0) - Races!$I$19</f>
        <v>-1.2857142857142856</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2.7642857142857133</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0.51428571428571423</v>
      </c>
      <c r="CX117" s="158">
        <f ca="1">1.8 * MIN(MAX(TblMili[[#This Row],[Ice Elemental]]+Races!$E$71,Races!$F$71),6)  +  0.45 * MIN(MIN(TblMili[[#This Row],[Ice Elemental]]+Races!$E$71,Races!$F$71),6)  +  0.2 * ( MAX(TblMili[[#This Row],[Ice Elemental]]+Races!$E$71-6,0) + MAX(Races!$F$71-6,0) )  -  Races!$I$71</f>
        <v>6.4285714285714946E-2</v>
      </c>
      <c r="CY117" s="97">
        <f ca="1">TblMili[[#This Row],[Frost Mage bonus]]*TblMili[[#This Row],[Unit 3]]+TblMili[[#This Row],[Ice Elemental bonus]]*TblMili[[#This Row],[Unit 4]]</f>
        <v>438.94285714285786</v>
      </c>
      <c r="CZ117" s="268"/>
      <c r="DA117" s="146">
        <f ca="1">MIN(SUM(TblConstr[[#This Row],[Plain]:[Water]])/TblMili[[#This Row],[Land]]/favorable_terrain_bonus/100,favorable_terrain_max)</f>
        <v>0</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7" s="145"/>
      <c r="DE117" s="269">
        <f ca="1">(TblMili[[#This Row],[Wizards]]+2*TblMili[[#This Row],[Archmages]])/TblConstr[[#This Row],[Land]]</f>
        <v>3.5714285714285712E-2</v>
      </c>
      <c r="DF117" s="269">
        <f ca="1">TblMili[[#This Row],[Raw (2)]]*(1+race_wizard_strength+IF(TblMili[[#This Row],[Hour]]&gt;72,tech_magical_weaponry_wiz*TblTech[[#This Row],[3-5]],0))</f>
        <v>3.5714285714285712E-2</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6373</v>
      </c>
      <c r="C118" s="160">
        <f ca="1">TblPop[[#This Row],[Military%]]</f>
        <v>0.49254192750598963</v>
      </c>
      <c r="D118" s="145"/>
      <c r="E118" s="45">
        <f ca="1">OFFSET(TblMili[[#This Row],[Unit 1]],-1,0) + OFFSET(TblMili[[#This Row],[Train Unit 1]],-9,0) - TblMili[[#This Row],[Release Unit 1]]</f>
        <v>0</v>
      </c>
      <c r="F118" s="45">
        <f ca="1">OFFSET(TblMili[[#This Row],[Unit 2]],-1,0) + OFFSET(TblMili[[#This Row],[Train Unit 2]],-9,0)-TblMili[[#This Row],[Release Unit 2]]</f>
        <v>1246</v>
      </c>
      <c r="G118" s="45">
        <f ca="1">OFFSET(TblMili[[#This Row],[Unit 3]],-1,0) + OFFSET(TblMili[[#This Row],[Train Unit 3]],-12,0)-TblMili[[#This Row],[Release Unit 3]]</f>
        <v>700</v>
      </c>
      <c r="H118" s="45">
        <f ca="1">OFFSET(TblMili[[#This Row],[Unit 4]],-1,0) + OFFSET(TblMili[[#This Row],[Train Unit 4]],-12,0)-TblMili[[#This Row],[Release Unit 4]]</f>
        <v>1228</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42359.8</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6140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6293.4999999999991</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8" s="262">
        <f ca="1">TblMili[[#This Row],[Non Draft]]+TblMili[[#This Row],[Draftees]]</f>
        <v>13721</v>
      </c>
      <c r="U118" s="263">
        <f ca="1">race_defense + TblImps[[#This Row],[Walls]] + ROUND( MIN(gt_bonus*TblConstr[[#This Row],[Tot GT]]/TblConstr[[#This Row],[Land]],gt_bonus_cap), 4) + IF(TblMagic[[#This Row],[Active Howling]]&gt;0,howling_dp_bonus,IF(TblMagic[[#This Row],[Active Ares Call]]&gt;0,ares_call_bonus))</f>
        <v>0.13750000000000001</v>
      </c>
      <c r="V118" s="264">
        <f ca="1">TblMili[[#This Row],[Non Draft]] * (1 + TblMili[[#This Row],[Mods_Def]])</f>
        <v>12025.65</v>
      </c>
      <c r="W118" s="262">
        <f ca="1">TblMili[[#This Row],[Draft]] * (1 + TblMili[[#This Row],[Mods_Def]])</f>
        <v>15607.637499999999</v>
      </c>
      <c r="X118" s="262">
        <f ca="1">TblConstr[[#This Row],[Land]]</f>
        <v>700</v>
      </c>
      <c r="Y118" s="265"/>
      <c r="Z118" s="270">
        <f ca="1">IF(TblMili[[#This Row],[Set]]&lt;&gt;"",TblMili[[#This Row],[Set]],OFFSET(TblMili[[#This Row],[Draftrate]],-1,0))</f>
        <v>0.9</v>
      </c>
      <c r="AA118" s="97">
        <f ca="1">OFFSET(TblMili[[#This Row],[Draftees]],-1,0)+OFFSET(TblPop[[#This Row],[Draft Growth]],-1,0) - SUM(TblMili[[#This Row],[Train Unit 1]:[Train Spies]],TblMili[[#This Row],[Train Wiz]]) - TblMili[[#This Row],[Release Draft]] + SUM(TblMili[[#This Row],[Release Unit 1]:[Release AM]]) - TblExplore[[#This Row],[Draftees (2)]]</f>
        <v>3149</v>
      </c>
      <c r="AB118" s="157"/>
      <c r="AC118" s="183">
        <f ca="1">(TblConstr[[#This Row],[Tot Smi]]+TblConstr[[#This Row],[Dest Smi]])/(TblConstr[[#This Row],[Land]]-TblExplore[[#This Row],[Land Bonus]]*20)</f>
        <v>0.18</v>
      </c>
      <c r="AD118" s="140"/>
      <c r="AE118" s="261">
        <f>TblMili[[#This Row],[Hour]]</f>
        <v>115</v>
      </c>
      <c r="AF118" s="141">
        <f ca="1">TblExplore[[#This Row],[Time]]</f>
        <v>45434.499999999724</v>
      </c>
      <c r="AG118" s="182"/>
      <c r="AH118" s="182"/>
      <c r="AI118" s="182"/>
      <c r="AJ118" s="182"/>
      <c r="AK118" s="182"/>
      <c r="AL118" s="182"/>
      <c r="AM118" s="182"/>
      <c r="AN118" s="182"/>
      <c r="AO118" s="145"/>
      <c r="AP118" s="97">
        <f ca="1">TblProd[[#This Row],[Platinum]]</f>
        <v>1685286</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45434.499999999724</v>
      </c>
      <c r="AV118" s="97">
        <f ca="1">TblMili[[#This Row],[Draftees]]</f>
        <v>3149</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192</v>
      </c>
      <c r="BJ118" s="97">
        <f ca="1">ROUNDUP(IF(race="Gnome",1,(1-MIN(TblMili[[#This Row],[Smithies]]*smithy_bonus,smithy_bonus_cap) + tech_3_5*TblTech[[#This Row],[3-5]] + tech_5_3*TblTech[[#This Row],[5-3]] + tech_5_5*TblTech[[#This Row],[5-5]]))*spec_op_ore,0)</f>
        <v>0</v>
      </c>
      <c r="BK118" s="97">
        <f ca="1">ROUNDUP((1-MIN(TblMili[[#This Row],[Smithies]]*smithy_bonus,smithy_bonus_cap) + tech_3_5*TblTech[[#This Row],[3-5]] + tech_5_3*TblTech[[#This Row],[5-3]] + tech_5_5*TblTech[[#This Row],[5-5]])*spec_dp_plat,0)</f>
        <v>192</v>
      </c>
      <c r="BL118" s="97">
        <f ca="1">ROUNDUP(IF(race="Gnome",1,(1-MIN(TblMili[[#This Row],[Smithies]]*smithy_bonus,smithy_bonus_cap) + tech_3_5*TblTech[[#This Row],[3-5]] + tech_5_3*TblTech[[#This Row],[5-3]] + tech_5_5*TblTech[[#This Row],[5-5]]))*spec_dp_ore,0)</f>
        <v>0</v>
      </c>
      <c r="BM118" s="97">
        <f ca="1">ROUNDUP((1-MIN(TblMili[[#This Row],[Smithies]]*smithy_bonus,smithy_bonus_cap) + tech_3_5*TblTech[[#This Row],[3-5]] + tech_5_3*TblTech[[#This Row],[5-3]] + tech_5_5*TblTech[[#This Row],[5-5]])*elite1_plat,0)</f>
        <v>592</v>
      </c>
      <c r="BN118" s="97">
        <f ca="1">ROUNDUP(IF(race="Gnome",1,(1-MIN(TblMili[[#This Row],[Smithies]]*smithy_bonus,smithy_bonus_cap) + tech_3_5*TblTech[[#This Row],[3-5]] + tech_5_3*TblTech[[#This Row],[5-3]] + tech_5_5*TblTech[[#This Row],[5-5]]))*elite1_ore,0)</f>
        <v>0</v>
      </c>
      <c r="BO118" s="97">
        <f ca="1">ROUNDUP((1-MIN(TblMili[[#This Row],[Smithies]]*smithy_bonus,smithy_bonus_cap) + tech_3_5*TblTech[[#This Row],[3-5]] + tech_5_3*TblTech[[#This Row],[5-3]] + tech_5_5*TblTech[[#This Row],[5-5]])*elite2_plat,0)</f>
        <v>608</v>
      </c>
      <c r="BP118" s="97">
        <f ca="1">ROUNDUP(IF(race="Gnome",1,(1-MIN(TblMili[[#This Row],[Smithies]]*smithy_bonus,smithy_bonus_cap) + tech_3_5*TblTech[[#This Row],[3-5]] + tech_5_3*TblTech[[#This Row],[5-3]] + tech_5_5*TblTech[[#This Row],[5-5]]))*elite2_ore,0)</f>
        <v>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5.7142857142857141E-2</v>
      </c>
      <c r="BW118" s="160">
        <f ca="1">TblMili[[#This Row],[WG''s]]</f>
        <v>0</v>
      </c>
      <c r="BX118" s="266">
        <f ca="1">IF(mystic_cap="none",TblMili[[#This Row],[Hill]]/mystic_bonus,MIN(mystic_cap,TblMili[[#This Row],[Hill]]/mystic_bonus))</f>
        <v>0.2857142857142857</v>
      </c>
      <c r="BY118" s="266">
        <f ca="1">IF(druid_op_cap="none",TblMili[[#This Row],[Hill]]/druid_op_bonus,MIN(druid_op_cap,TblMili[[#This Row],[Hill]]/druid_op_bonus))</f>
        <v>0.2857142857142857</v>
      </c>
      <c r="BZ118" s="266">
        <f ca="1">IF(druid_dp_cap="none",TblMili[[#This Row],[Hill]]/druid_dp_bonus,MIN(druid_dp_cap,TblMili[[#This Row],[Hill]]/druid_dp_bonus))</f>
        <v>0.2857142857142857</v>
      </c>
      <c r="CA118" s="266">
        <f ca="1">MIN(dryad_cap,TblMili[[#This Row],[Hill]]/dryad_bonus)</f>
        <v>0.2857142857142857</v>
      </c>
      <c r="CB118" s="266">
        <f ca="1">MIN(rocka_cap,TblMili[[#This Row],[Hill]]/rocka_bonus)</f>
        <v>0.2857142857142857</v>
      </c>
      <c r="CC118" s="266">
        <f ca="1">MIN(adept_op_cap,TblMili[[#This Row],[WG]]/adept_op_bonus)</f>
        <v>0</v>
      </c>
      <c r="CD118" s="266">
        <f ca="1">MIN(adept_dp_cap,TblMili[[#This Row],[WG]]/adept_dp_bonus)</f>
        <v>0</v>
      </c>
      <c r="CE118" s="97">
        <f ca="1">MIN(TblMili[[#This Row],[Unit 3]],TblMili[[#This Row],[Unit 2]])*2</f>
        <v>1400</v>
      </c>
      <c r="CF118" s="97">
        <f ca="1">MIN(TblMili[[#This Row],[Unit 1]],TblMili[[#This Row],[Unit 4]])*2</f>
        <v>0</v>
      </c>
      <c r="CG118" s="266">
        <f ca="1">MIN(frost_mage_cap,TblMili[[#This Row],[Hill]]/frost_mage_bonus)</f>
        <v>0.2857142857142857</v>
      </c>
      <c r="CH118" s="45">
        <f ca="1">MIN(ice_elem_cap,TblMili[[#This Row],[Raw (2)]]*ice_elem_bonus)</f>
        <v>3.5714285714285712E-2</v>
      </c>
      <c r="CI118" s="266">
        <f t="shared" si="4"/>
        <v>0.83333333333333337</v>
      </c>
      <c r="CJ118" s="266">
        <f ca="1">MIN(nox_nightshade_cap,TblConstr[[#This Row],[Homeland]]/TblConstr[[#This Row],[Land]]/nox_nightshade_swamp_bonus)</f>
        <v>0.5714285714285714</v>
      </c>
      <c r="CK118" s="267"/>
      <c r="CL118" s="267"/>
      <c r="CM118" s="267"/>
      <c r="CN118" s="266">
        <f ca="1">MIN(6,TblMili[[#This Row],[Mystic]]+Races!$F$19)*1.8 +  IF(TblMili[[#This Row],[Mystic]]+Races!$F$19&gt;6,(TblMili[[#This Row],[Mystic]]+Races!$F$19-6)*0.2,0) - Races!$I$19</f>
        <v>0.51428571428571423</v>
      </c>
      <c r="CO11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8" s="97">
        <f ca="1">TblMili[[#This Row],[Mystic bonus]]*TblMili[[#This Row],[Unit 3]]+TblMili[[#This Row],[Druid bonus]]*TblMili[[#This Row],[Unit 4]]</f>
        <v>1149.4285714285706</v>
      </c>
      <c r="CQ118" s="158">
        <f ca="1">MIN(6,TblMili[[#This Row],[Dryad]]+Races!$F$35)*1.8 +  IF(TblMili[[#This Row],[Dryad]]+Races!$F$35&gt;6,(TblMili[[#This Row],[Dryad]]+Races!$F$35-6)*0.2,0) - Races!$I$19</f>
        <v>-1.2857142857142856</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2.7642857142857133</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0.51428571428571423</v>
      </c>
      <c r="CX118" s="158">
        <f ca="1">1.8 * MIN(MAX(TblMili[[#This Row],[Ice Elemental]]+Races!$E$71,Races!$F$71),6)  +  0.45 * MIN(MIN(TblMili[[#This Row],[Ice Elemental]]+Races!$E$71,Races!$F$71),6)  +  0.2 * ( MAX(TblMili[[#This Row],[Ice Elemental]]+Races!$E$71-6,0) + MAX(Races!$F$71-6,0) )  -  Races!$I$71</f>
        <v>6.4285714285714946E-2</v>
      </c>
      <c r="CY118" s="97">
        <f ca="1">TblMili[[#This Row],[Frost Mage bonus]]*TblMili[[#This Row],[Unit 3]]+TblMili[[#This Row],[Ice Elemental bonus]]*TblMili[[#This Row],[Unit 4]]</f>
        <v>438.94285714285786</v>
      </c>
      <c r="CZ118" s="268"/>
      <c r="DA118" s="146">
        <f ca="1">MIN(SUM(TblConstr[[#This Row],[Plain]:[Water]])/TblMili[[#This Row],[Land]]/favorable_terrain_bonus/100,favorable_terrain_max)</f>
        <v>0</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8" s="145"/>
      <c r="DE118" s="269">
        <f ca="1">(TblMili[[#This Row],[Wizards]]+2*TblMili[[#This Row],[Archmages]])/TblConstr[[#This Row],[Land]]</f>
        <v>3.5714285714285712E-2</v>
      </c>
      <c r="DF118" s="269">
        <f ca="1">TblMili[[#This Row],[Raw (2)]]*(1+race_wizard_strength+IF(TblMili[[#This Row],[Hour]]&gt;72,tech_magical_weaponry_wiz*TblTech[[#This Row],[3-5]],0))</f>
        <v>3.5714285714285712E-2</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6439</v>
      </c>
      <c r="C119" s="160">
        <f ca="1">TblPop[[#This Row],[Military%]]</f>
        <v>0.49764278537754075</v>
      </c>
      <c r="D119" s="145"/>
      <c r="E119" s="45">
        <f ca="1">OFFSET(TblMili[[#This Row],[Unit 1]],-1,0) + OFFSET(TblMili[[#This Row],[Train Unit 1]],-9,0) - TblMili[[#This Row],[Release Unit 1]]</f>
        <v>0</v>
      </c>
      <c r="F119" s="45">
        <f ca="1">OFFSET(TblMili[[#This Row],[Unit 2]],-1,0) + OFFSET(TblMili[[#This Row],[Train Unit 2]],-9,0)-TblMili[[#This Row],[Release Unit 2]]</f>
        <v>1246</v>
      </c>
      <c r="G119" s="45">
        <f ca="1">OFFSET(TblMili[[#This Row],[Unit 3]],-1,0) + OFFSET(TblMili[[#This Row],[Train Unit 3]],-12,0)-TblMili[[#This Row],[Release Unit 3]]</f>
        <v>700</v>
      </c>
      <c r="H119" s="45">
        <f ca="1">OFFSET(TblMili[[#This Row],[Unit 4]],-1,0) + OFFSET(TblMili[[#This Row],[Train Unit 4]],-12,0)-TblMili[[#This Row],[Release Unit 4]]</f>
        <v>1228</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42359.8</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6140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6293.4999999999991</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19" s="262">
        <f ca="1">TblMili[[#This Row],[Non Draft]]+TblMili[[#This Row],[Draftees]]</f>
        <v>13787</v>
      </c>
      <c r="U119" s="263">
        <f ca="1">race_defense + TblImps[[#This Row],[Walls]] + ROUND( MIN(gt_bonus*TblConstr[[#This Row],[Tot GT]]/TblConstr[[#This Row],[Land]],gt_bonus_cap), 4) + IF(TblMagic[[#This Row],[Active Howling]]&gt;0,howling_dp_bonus,IF(TblMagic[[#This Row],[Active Ares Call]]&gt;0,ares_call_bonus))</f>
        <v>0.13750000000000001</v>
      </c>
      <c r="V119" s="264">
        <f ca="1">TblMili[[#This Row],[Non Draft]] * (1 + TblMili[[#This Row],[Mods_Def]])</f>
        <v>12025.65</v>
      </c>
      <c r="W119" s="262">
        <f ca="1">TblMili[[#This Row],[Draft]] * (1 + TblMili[[#This Row],[Mods_Def]])</f>
        <v>15682.7125</v>
      </c>
      <c r="X119" s="262">
        <f ca="1">TblConstr[[#This Row],[Land]]</f>
        <v>700</v>
      </c>
      <c r="Y119" s="265"/>
      <c r="Z119" s="270">
        <f ca="1">IF(TblMili[[#This Row],[Set]]&lt;&gt;"",TblMili[[#This Row],[Set]],OFFSET(TblMili[[#This Row],[Draftrate]],-1,0))</f>
        <v>0.9</v>
      </c>
      <c r="AA119" s="97">
        <f ca="1">OFFSET(TblMili[[#This Row],[Draftees]],-1,0)+OFFSET(TblPop[[#This Row],[Draft Growth]],-1,0) - SUM(TblMili[[#This Row],[Train Unit 1]:[Train Spies]],TblMili[[#This Row],[Train Wiz]]) - TblMili[[#This Row],[Release Draft]] + SUM(TblMili[[#This Row],[Release Unit 1]:[Release AM]]) - TblExplore[[#This Row],[Draftees (2)]]</f>
        <v>3215</v>
      </c>
      <c r="AB119" s="157"/>
      <c r="AC119" s="183">
        <f ca="1">(TblConstr[[#This Row],[Tot Smi]]+TblConstr[[#This Row],[Dest Smi]])/(TblConstr[[#This Row],[Land]]-TblExplore[[#This Row],[Land Bonus]]*20)</f>
        <v>0.18</v>
      </c>
      <c r="AD119" s="140"/>
      <c r="AE119" s="261">
        <f>TblMili[[#This Row],[Hour]]</f>
        <v>116</v>
      </c>
      <c r="AF119" s="141">
        <f ca="1">TblExplore[[#This Row],[Time]]</f>
        <v>45434.541666666388</v>
      </c>
      <c r="AG119" s="182"/>
      <c r="AH119" s="182"/>
      <c r="AI119" s="182"/>
      <c r="AJ119" s="182"/>
      <c r="AK119" s="182"/>
      <c r="AL119" s="182"/>
      <c r="AM119" s="182"/>
      <c r="AN119" s="182"/>
      <c r="AO119" s="145"/>
      <c r="AP119" s="97">
        <f ca="1">TblProd[[#This Row],[Platinum]]</f>
        <v>1715389</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45434.541666666388</v>
      </c>
      <c r="AV119" s="97">
        <f ca="1">TblMili[[#This Row],[Draftees]]</f>
        <v>3215</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192</v>
      </c>
      <c r="BJ119" s="97">
        <f ca="1">ROUNDUP(IF(race="Gnome",1,(1-MIN(TblMili[[#This Row],[Smithies]]*smithy_bonus,smithy_bonus_cap) + tech_3_5*TblTech[[#This Row],[3-5]] + tech_5_3*TblTech[[#This Row],[5-3]] + tech_5_5*TblTech[[#This Row],[5-5]]))*spec_op_ore,0)</f>
        <v>0</v>
      </c>
      <c r="BK119" s="97">
        <f ca="1">ROUNDUP((1-MIN(TblMili[[#This Row],[Smithies]]*smithy_bonus,smithy_bonus_cap) + tech_3_5*TblTech[[#This Row],[3-5]] + tech_5_3*TblTech[[#This Row],[5-3]] + tech_5_5*TblTech[[#This Row],[5-5]])*spec_dp_plat,0)</f>
        <v>192</v>
      </c>
      <c r="BL119" s="97">
        <f ca="1">ROUNDUP(IF(race="Gnome",1,(1-MIN(TblMili[[#This Row],[Smithies]]*smithy_bonus,smithy_bonus_cap) + tech_3_5*TblTech[[#This Row],[3-5]] + tech_5_3*TblTech[[#This Row],[5-3]] + tech_5_5*TblTech[[#This Row],[5-5]]))*spec_dp_ore,0)</f>
        <v>0</v>
      </c>
      <c r="BM119" s="97">
        <f ca="1">ROUNDUP((1-MIN(TblMili[[#This Row],[Smithies]]*smithy_bonus,smithy_bonus_cap) + tech_3_5*TblTech[[#This Row],[3-5]] + tech_5_3*TblTech[[#This Row],[5-3]] + tech_5_5*TblTech[[#This Row],[5-5]])*elite1_plat,0)</f>
        <v>592</v>
      </c>
      <c r="BN119" s="97">
        <f ca="1">ROUNDUP(IF(race="Gnome",1,(1-MIN(TblMili[[#This Row],[Smithies]]*smithy_bonus,smithy_bonus_cap) + tech_3_5*TblTech[[#This Row],[3-5]] + tech_5_3*TblTech[[#This Row],[5-3]] + tech_5_5*TblTech[[#This Row],[5-5]]))*elite1_ore,0)</f>
        <v>0</v>
      </c>
      <c r="BO119" s="97">
        <f ca="1">ROUNDUP((1-MIN(TblMili[[#This Row],[Smithies]]*smithy_bonus,smithy_bonus_cap) + tech_3_5*TblTech[[#This Row],[3-5]] + tech_5_3*TblTech[[#This Row],[5-3]] + tech_5_5*TblTech[[#This Row],[5-5]])*elite2_plat,0)</f>
        <v>608</v>
      </c>
      <c r="BP119" s="97">
        <f ca="1">ROUNDUP(IF(race="Gnome",1,(1-MIN(TblMili[[#This Row],[Smithies]]*smithy_bonus,smithy_bonus_cap) + tech_3_5*TblTech[[#This Row],[3-5]] + tech_5_3*TblTech[[#This Row],[5-3]] + tech_5_5*TblTech[[#This Row],[5-5]]))*elite2_ore,0)</f>
        <v>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5.7142857142857141E-2</v>
      </c>
      <c r="BW119" s="160">
        <f ca="1">TblMili[[#This Row],[WG''s]]</f>
        <v>0</v>
      </c>
      <c r="BX119" s="266">
        <f ca="1">IF(mystic_cap="none",TblMili[[#This Row],[Hill]]/mystic_bonus,MIN(mystic_cap,TblMili[[#This Row],[Hill]]/mystic_bonus))</f>
        <v>0.2857142857142857</v>
      </c>
      <c r="BY119" s="266">
        <f ca="1">IF(druid_op_cap="none",TblMili[[#This Row],[Hill]]/druid_op_bonus,MIN(druid_op_cap,TblMili[[#This Row],[Hill]]/druid_op_bonus))</f>
        <v>0.2857142857142857</v>
      </c>
      <c r="BZ119" s="266">
        <f ca="1">IF(druid_dp_cap="none",TblMili[[#This Row],[Hill]]/druid_dp_bonus,MIN(druid_dp_cap,TblMili[[#This Row],[Hill]]/druid_dp_bonus))</f>
        <v>0.2857142857142857</v>
      </c>
      <c r="CA119" s="266">
        <f ca="1">MIN(dryad_cap,TblMili[[#This Row],[Hill]]/dryad_bonus)</f>
        <v>0.2857142857142857</v>
      </c>
      <c r="CB119" s="266">
        <f ca="1">MIN(rocka_cap,TblMili[[#This Row],[Hill]]/rocka_bonus)</f>
        <v>0.2857142857142857</v>
      </c>
      <c r="CC119" s="266">
        <f ca="1">MIN(adept_op_cap,TblMili[[#This Row],[WG]]/adept_op_bonus)</f>
        <v>0</v>
      </c>
      <c r="CD119" s="266">
        <f ca="1">MIN(adept_dp_cap,TblMili[[#This Row],[WG]]/adept_dp_bonus)</f>
        <v>0</v>
      </c>
      <c r="CE119" s="97">
        <f ca="1">MIN(TblMili[[#This Row],[Unit 3]],TblMili[[#This Row],[Unit 2]])*2</f>
        <v>1400</v>
      </c>
      <c r="CF119" s="97">
        <f ca="1">MIN(TblMili[[#This Row],[Unit 1]],TblMili[[#This Row],[Unit 4]])*2</f>
        <v>0</v>
      </c>
      <c r="CG119" s="266">
        <f ca="1">MIN(frost_mage_cap,TblMili[[#This Row],[Hill]]/frost_mage_bonus)</f>
        <v>0.2857142857142857</v>
      </c>
      <c r="CH119" s="45">
        <f ca="1">MIN(ice_elem_cap,TblMili[[#This Row],[Raw (2)]]*ice_elem_bonus)</f>
        <v>3.5714285714285712E-2</v>
      </c>
      <c r="CI119" s="266">
        <f t="shared" si="4"/>
        <v>0.83333333333333337</v>
      </c>
      <c r="CJ119" s="266">
        <f ca="1">MIN(nox_nightshade_cap,TblConstr[[#This Row],[Homeland]]/TblConstr[[#This Row],[Land]]/nox_nightshade_swamp_bonus)</f>
        <v>0.5714285714285714</v>
      </c>
      <c r="CK119" s="267"/>
      <c r="CL119" s="267"/>
      <c r="CM119" s="267"/>
      <c r="CN119" s="266">
        <f ca="1">MIN(6,TblMili[[#This Row],[Mystic]]+Races!$F$19)*1.8 +  IF(TblMili[[#This Row],[Mystic]]+Races!$F$19&gt;6,(TblMili[[#This Row],[Mystic]]+Races!$F$19-6)*0.2,0) - Races!$I$19</f>
        <v>0.51428571428571423</v>
      </c>
      <c r="CO11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19" s="97">
        <f ca="1">TblMili[[#This Row],[Mystic bonus]]*TblMili[[#This Row],[Unit 3]]+TblMili[[#This Row],[Druid bonus]]*TblMili[[#This Row],[Unit 4]]</f>
        <v>1149.4285714285706</v>
      </c>
      <c r="CQ119" s="158">
        <f ca="1">MIN(6,TblMili[[#This Row],[Dryad]]+Races!$F$35)*1.8 +  IF(TblMili[[#This Row],[Dryad]]+Races!$F$35&gt;6,(TblMili[[#This Row],[Dryad]]+Races!$F$35-6)*0.2,0) - Races!$I$19</f>
        <v>-1.2857142857142856</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2.7642857142857133</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0.51428571428571423</v>
      </c>
      <c r="CX119" s="158">
        <f ca="1">1.8 * MIN(MAX(TblMili[[#This Row],[Ice Elemental]]+Races!$E$71,Races!$F$71),6)  +  0.45 * MIN(MIN(TblMili[[#This Row],[Ice Elemental]]+Races!$E$71,Races!$F$71),6)  +  0.2 * ( MAX(TblMili[[#This Row],[Ice Elemental]]+Races!$E$71-6,0) + MAX(Races!$F$71-6,0) )  -  Races!$I$71</f>
        <v>6.4285714285714946E-2</v>
      </c>
      <c r="CY119" s="97">
        <f ca="1">TblMili[[#This Row],[Frost Mage bonus]]*TblMili[[#This Row],[Unit 3]]+TblMili[[#This Row],[Ice Elemental bonus]]*TblMili[[#This Row],[Unit 4]]</f>
        <v>438.94285714285786</v>
      </c>
      <c r="CZ119" s="268"/>
      <c r="DA119" s="146">
        <f ca="1">MIN(SUM(TblConstr[[#This Row],[Plain]:[Water]])/TblMili[[#This Row],[Land]]/favorable_terrain_bonus/100,favorable_terrain_max)</f>
        <v>0</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19" s="145"/>
      <c r="DE119" s="269">
        <f ca="1">(TblMili[[#This Row],[Wizards]]+2*TblMili[[#This Row],[Archmages]])/TblConstr[[#This Row],[Land]]</f>
        <v>3.5714285714285712E-2</v>
      </c>
      <c r="DF119" s="269">
        <f ca="1">TblMili[[#This Row],[Raw (2)]]*(1+race_wizard_strength+IF(TblMili[[#This Row],[Hour]]&gt;72,tech_magical_weaponry_wiz*TblTech[[#This Row],[3-5]],0))</f>
        <v>3.5714285714285712E-2</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6504</v>
      </c>
      <c r="C120" s="160">
        <f ca="1">TblPop[[#This Row],[Military%]]</f>
        <v>0.50266635752376532</v>
      </c>
      <c r="D120" s="145"/>
      <c r="E120" s="45">
        <f ca="1">OFFSET(TblMili[[#This Row],[Unit 1]],-1,0) + OFFSET(TblMili[[#This Row],[Train Unit 1]],-9,0) - TblMili[[#This Row],[Release Unit 1]]</f>
        <v>0</v>
      </c>
      <c r="F120" s="45">
        <f ca="1">OFFSET(TblMili[[#This Row],[Unit 2]],-1,0) + OFFSET(TblMili[[#This Row],[Train Unit 2]],-9,0)-TblMili[[#This Row],[Release Unit 2]]</f>
        <v>1246</v>
      </c>
      <c r="G120" s="45">
        <f ca="1">OFFSET(TblMili[[#This Row],[Unit 3]],-1,0) + OFFSET(TblMili[[#This Row],[Train Unit 3]],-12,0)-TblMili[[#This Row],[Release Unit 3]]</f>
        <v>700</v>
      </c>
      <c r="H120" s="45">
        <f ca="1">OFFSET(TblMili[[#This Row],[Unit 4]],-1,0) + OFFSET(TblMili[[#This Row],[Train Unit 4]],-12,0)-TblMili[[#This Row],[Release Unit 4]]</f>
        <v>1228</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42359.8</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6140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6293.4999999999991</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0" s="262">
        <f ca="1">TblMili[[#This Row],[Non Draft]]+TblMili[[#This Row],[Draftees]]</f>
        <v>13852</v>
      </c>
      <c r="U120" s="263">
        <f ca="1">race_defense + TblImps[[#This Row],[Walls]] + ROUND( MIN(gt_bonus*TblConstr[[#This Row],[Tot GT]]/TblConstr[[#This Row],[Land]],gt_bonus_cap), 4) + IF(TblMagic[[#This Row],[Active Howling]]&gt;0,howling_dp_bonus,IF(TblMagic[[#This Row],[Active Ares Call]]&gt;0,ares_call_bonus))</f>
        <v>0.13750000000000001</v>
      </c>
      <c r="V120" s="264">
        <f ca="1">TblMili[[#This Row],[Non Draft]] * (1 + TblMili[[#This Row],[Mods_Def]])</f>
        <v>12025.65</v>
      </c>
      <c r="W120" s="262">
        <f ca="1">TblMili[[#This Row],[Draft]] * (1 + TblMili[[#This Row],[Mods_Def]])</f>
        <v>15756.65</v>
      </c>
      <c r="X120" s="262">
        <f ca="1">TblConstr[[#This Row],[Land]]</f>
        <v>700</v>
      </c>
      <c r="Y120" s="265"/>
      <c r="Z120" s="270">
        <f ca="1">IF(TblMili[[#This Row],[Set]]&lt;&gt;"",TblMili[[#This Row],[Set]],OFFSET(TblMili[[#This Row],[Draftrate]],-1,0))</f>
        <v>0.9</v>
      </c>
      <c r="AA120" s="97">
        <f ca="1">OFFSET(TblMili[[#This Row],[Draftees]],-1,0)+OFFSET(TblPop[[#This Row],[Draft Growth]],-1,0) - SUM(TblMili[[#This Row],[Train Unit 1]:[Train Spies]],TblMili[[#This Row],[Train Wiz]]) - TblMili[[#This Row],[Release Draft]] + SUM(TblMili[[#This Row],[Release Unit 1]:[Release AM]]) - TblExplore[[#This Row],[Draftees (2)]]</f>
        <v>3280</v>
      </c>
      <c r="AB120" s="157"/>
      <c r="AC120" s="183">
        <f ca="1">(TblConstr[[#This Row],[Tot Smi]]+TblConstr[[#This Row],[Dest Smi]])/(TblConstr[[#This Row],[Land]]-TblExplore[[#This Row],[Land Bonus]]*20)</f>
        <v>0.18</v>
      </c>
      <c r="AD120" s="140"/>
      <c r="AE120" s="261">
        <f>TblMili[[#This Row],[Hour]]</f>
        <v>117</v>
      </c>
      <c r="AF120" s="141">
        <f ca="1">TblExplore[[#This Row],[Time]]</f>
        <v>45434.583333333052</v>
      </c>
      <c r="AG120" s="182"/>
      <c r="AH120" s="182"/>
      <c r="AI120" s="182"/>
      <c r="AJ120" s="182"/>
      <c r="AK120" s="182"/>
      <c r="AL120" s="182"/>
      <c r="AM120" s="182"/>
      <c r="AN120" s="182"/>
      <c r="AO120" s="145"/>
      <c r="AP120" s="97">
        <f ca="1">TblProd[[#This Row],[Platinum]]</f>
        <v>1745314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45434.583333333052</v>
      </c>
      <c r="AV120" s="97">
        <f ca="1">TblMili[[#This Row],[Draftees]]</f>
        <v>3280</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192</v>
      </c>
      <c r="BJ120" s="97">
        <f ca="1">ROUNDUP(IF(race="Gnome",1,(1-MIN(TblMili[[#This Row],[Smithies]]*smithy_bonus,smithy_bonus_cap) + tech_3_5*TblTech[[#This Row],[3-5]] + tech_5_3*TblTech[[#This Row],[5-3]] + tech_5_5*TblTech[[#This Row],[5-5]]))*spec_op_ore,0)</f>
        <v>0</v>
      </c>
      <c r="BK120" s="97">
        <f ca="1">ROUNDUP((1-MIN(TblMili[[#This Row],[Smithies]]*smithy_bonus,smithy_bonus_cap) + tech_3_5*TblTech[[#This Row],[3-5]] + tech_5_3*TblTech[[#This Row],[5-3]] + tech_5_5*TblTech[[#This Row],[5-5]])*spec_dp_plat,0)</f>
        <v>192</v>
      </c>
      <c r="BL120" s="97">
        <f ca="1">ROUNDUP(IF(race="Gnome",1,(1-MIN(TblMili[[#This Row],[Smithies]]*smithy_bonus,smithy_bonus_cap) + tech_3_5*TblTech[[#This Row],[3-5]] + tech_5_3*TblTech[[#This Row],[5-3]] + tech_5_5*TblTech[[#This Row],[5-5]]))*spec_dp_ore,0)</f>
        <v>0</v>
      </c>
      <c r="BM120" s="97">
        <f ca="1">ROUNDUP((1-MIN(TblMili[[#This Row],[Smithies]]*smithy_bonus,smithy_bonus_cap) + tech_3_5*TblTech[[#This Row],[3-5]] + tech_5_3*TblTech[[#This Row],[5-3]] + tech_5_5*TblTech[[#This Row],[5-5]])*elite1_plat,0)</f>
        <v>592</v>
      </c>
      <c r="BN120" s="97">
        <f ca="1">ROUNDUP(IF(race="Gnome",1,(1-MIN(TblMili[[#This Row],[Smithies]]*smithy_bonus,smithy_bonus_cap) + tech_3_5*TblTech[[#This Row],[3-5]] + tech_5_3*TblTech[[#This Row],[5-3]] + tech_5_5*TblTech[[#This Row],[5-5]]))*elite1_ore,0)</f>
        <v>0</v>
      </c>
      <c r="BO120" s="97">
        <f ca="1">ROUNDUP((1-MIN(TblMili[[#This Row],[Smithies]]*smithy_bonus,smithy_bonus_cap) + tech_3_5*TblTech[[#This Row],[3-5]] + tech_5_3*TblTech[[#This Row],[5-3]] + tech_5_5*TblTech[[#This Row],[5-5]])*elite2_plat,0)</f>
        <v>608</v>
      </c>
      <c r="BP120" s="97">
        <f ca="1">ROUNDUP(IF(race="Gnome",1,(1-MIN(TblMili[[#This Row],[Smithies]]*smithy_bonus,smithy_bonus_cap) + tech_3_5*TblTech[[#This Row],[3-5]] + tech_5_3*TblTech[[#This Row],[5-3]] + tech_5_5*TblTech[[#This Row],[5-5]]))*elite2_ore,0)</f>
        <v>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5.7142857142857141E-2</v>
      </c>
      <c r="BW120" s="160">
        <f ca="1">TblMili[[#This Row],[WG''s]]</f>
        <v>0</v>
      </c>
      <c r="BX120" s="266">
        <f ca="1">IF(mystic_cap="none",TblMili[[#This Row],[Hill]]/mystic_bonus,MIN(mystic_cap,TblMili[[#This Row],[Hill]]/mystic_bonus))</f>
        <v>0.2857142857142857</v>
      </c>
      <c r="BY120" s="266">
        <f ca="1">IF(druid_op_cap="none",TblMili[[#This Row],[Hill]]/druid_op_bonus,MIN(druid_op_cap,TblMili[[#This Row],[Hill]]/druid_op_bonus))</f>
        <v>0.2857142857142857</v>
      </c>
      <c r="BZ120" s="266">
        <f ca="1">IF(druid_dp_cap="none",TblMili[[#This Row],[Hill]]/druid_dp_bonus,MIN(druid_dp_cap,TblMili[[#This Row],[Hill]]/druid_dp_bonus))</f>
        <v>0.2857142857142857</v>
      </c>
      <c r="CA120" s="266">
        <f ca="1">MIN(dryad_cap,TblMili[[#This Row],[Hill]]/dryad_bonus)</f>
        <v>0.2857142857142857</v>
      </c>
      <c r="CB120" s="266">
        <f ca="1">MIN(rocka_cap,TblMili[[#This Row],[Hill]]/rocka_bonus)</f>
        <v>0.2857142857142857</v>
      </c>
      <c r="CC120" s="266">
        <f ca="1">MIN(adept_op_cap,TblMili[[#This Row],[WG]]/adept_op_bonus)</f>
        <v>0</v>
      </c>
      <c r="CD120" s="266">
        <f ca="1">MIN(adept_dp_cap,TblMili[[#This Row],[WG]]/adept_dp_bonus)</f>
        <v>0</v>
      </c>
      <c r="CE120" s="97">
        <f ca="1">MIN(TblMili[[#This Row],[Unit 3]],TblMili[[#This Row],[Unit 2]])*2</f>
        <v>1400</v>
      </c>
      <c r="CF120" s="97">
        <f ca="1">MIN(TblMili[[#This Row],[Unit 1]],TblMili[[#This Row],[Unit 4]])*2</f>
        <v>0</v>
      </c>
      <c r="CG120" s="266">
        <f ca="1">MIN(frost_mage_cap,TblMili[[#This Row],[Hill]]/frost_mage_bonus)</f>
        <v>0.2857142857142857</v>
      </c>
      <c r="CH120" s="45">
        <f ca="1">MIN(ice_elem_cap,TblMili[[#This Row],[Raw (2)]]*ice_elem_bonus)</f>
        <v>3.5714285714285712E-2</v>
      </c>
      <c r="CI120" s="266">
        <f t="shared" si="4"/>
        <v>0.83333333333333337</v>
      </c>
      <c r="CJ120" s="266">
        <f ca="1">MIN(nox_nightshade_cap,TblConstr[[#This Row],[Homeland]]/TblConstr[[#This Row],[Land]]/nox_nightshade_swamp_bonus)</f>
        <v>0.5714285714285714</v>
      </c>
      <c r="CK120" s="267"/>
      <c r="CL120" s="267"/>
      <c r="CM120" s="267"/>
      <c r="CN120" s="266">
        <f ca="1">MIN(6,TblMili[[#This Row],[Mystic]]+Races!$F$19)*1.8 +  IF(TblMili[[#This Row],[Mystic]]+Races!$F$19&gt;6,(TblMili[[#This Row],[Mystic]]+Races!$F$19-6)*0.2,0) - Races!$I$19</f>
        <v>0.51428571428571423</v>
      </c>
      <c r="CO12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0" s="97">
        <f ca="1">TblMili[[#This Row],[Mystic bonus]]*TblMili[[#This Row],[Unit 3]]+TblMili[[#This Row],[Druid bonus]]*TblMili[[#This Row],[Unit 4]]</f>
        <v>1149.4285714285706</v>
      </c>
      <c r="CQ120" s="158">
        <f ca="1">MIN(6,TblMili[[#This Row],[Dryad]]+Races!$F$35)*1.8 +  IF(TblMili[[#This Row],[Dryad]]+Races!$F$35&gt;6,(TblMili[[#This Row],[Dryad]]+Races!$F$35-6)*0.2,0) - Races!$I$19</f>
        <v>-1.2857142857142856</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2.7642857142857133</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0.51428571428571423</v>
      </c>
      <c r="CX120" s="158">
        <f ca="1">1.8 * MIN(MAX(TblMili[[#This Row],[Ice Elemental]]+Races!$E$71,Races!$F$71),6)  +  0.45 * MIN(MIN(TblMili[[#This Row],[Ice Elemental]]+Races!$E$71,Races!$F$71),6)  +  0.2 * ( MAX(TblMili[[#This Row],[Ice Elemental]]+Races!$E$71-6,0) + MAX(Races!$F$71-6,0) )  -  Races!$I$71</f>
        <v>6.4285714285714946E-2</v>
      </c>
      <c r="CY120" s="97">
        <f ca="1">TblMili[[#This Row],[Frost Mage bonus]]*TblMili[[#This Row],[Unit 3]]+TblMili[[#This Row],[Ice Elemental bonus]]*TblMili[[#This Row],[Unit 4]]</f>
        <v>438.94285714285786</v>
      </c>
      <c r="CZ120" s="268"/>
      <c r="DA120" s="146">
        <f ca="1">MIN(SUM(TblConstr[[#This Row],[Plain]:[Water]])/TblMili[[#This Row],[Land]]/favorable_terrain_bonus/100,favorable_terrain_max)</f>
        <v>0</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0" s="145"/>
      <c r="DE120" s="269">
        <f ca="1">(TblMili[[#This Row],[Wizards]]+2*TblMili[[#This Row],[Archmages]])/TblConstr[[#This Row],[Land]]</f>
        <v>3.5714285714285712E-2</v>
      </c>
      <c r="DF120" s="269">
        <f ca="1">TblMili[[#This Row],[Raw (2)]]*(1+race_wizard_strength+IF(TblMili[[#This Row],[Hour]]&gt;72,tech_magical_weaponry_wiz*TblTech[[#This Row],[3-5]],0))</f>
        <v>3.5714285714285712E-2</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6568</v>
      </c>
      <c r="C121" s="160">
        <f ca="1">TblPop[[#This Row],[Military%]]</f>
        <v>0.50761264394466343</v>
      </c>
      <c r="D121" s="145"/>
      <c r="E121" s="45">
        <f ca="1">OFFSET(TblMili[[#This Row],[Unit 1]],-1,0) + OFFSET(TblMili[[#This Row],[Train Unit 1]],-9,0) - TblMili[[#This Row],[Release Unit 1]]</f>
        <v>0</v>
      </c>
      <c r="F121" s="45">
        <f ca="1">OFFSET(TblMili[[#This Row],[Unit 2]],-1,0) + OFFSET(TblMili[[#This Row],[Train Unit 2]],-9,0)-TblMili[[#This Row],[Release Unit 2]]</f>
        <v>1246</v>
      </c>
      <c r="G121" s="45">
        <f ca="1">OFFSET(TblMili[[#This Row],[Unit 3]],-1,0) + OFFSET(TblMili[[#This Row],[Train Unit 3]],-12,0)-TblMili[[#This Row],[Release Unit 3]]</f>
        <v>700</v>
      </c>
      <c r="H121" s="45">
        <f ca="1">OFFSET(TblMili[[#This Row],[Unit 4]],-1,0) + OFFSET(TblMili[[#This Row],[Train Unit 4]],-12,0)-TblMili[[#This Row],[Release Unit 4]]</f>
        <v>1228</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42359.8</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6140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6293.4999999999991</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1" s="262">
        <f ca="1">TblMili[[#This Row],[Non Draft]]+TblMili[[#This Row],[Draftees]]</f>
        <v>13916</v>
      </c>
      <c r="U121" s="263">
        <f ca="1">race_defense + TblImps[[#This Row],[Walls]] + ROUND( MIN(gt_bonus*TblConstr[[#This Row],[Tot GT]]/TblConstr[[#This Row],[Land]],gt_bonus_cap), 4) + IF(TblMagic[[#This Row],[Active Howling]]&gt;0,howling_dp_bonus,IF(TblMagic[[#This Row],[Active Ares Call]]&gt;0,ares_call_bonus))</f>
        <v>0.13750000000000001</v>
      </c>
      <c r="V121" s="264">
        <f ca="1">TblMili[[#This Row],[Non Draft]] * (1 + TblMili[[#This Row],[Mods_Def]])</f>
        <v>12025.65</v>
      </c>
      <c r="W121" s="262">
        <f ca="1">TblMili[[#This Row],[Draft]] * (1 + TblMili[[#This Row],[Mods_Def]])</f>
        <v>15829.449999999999</v>
      </c>
      <c r="X121" s="262">
        <f ca="1">TblConstr[[#This Row],[Land]]</f>
        <v>700</v>
      </c>
      <c r="Y121" s="265"/>
      <c r="Z121" s="270">
        <f ca="1">IF(TblMili[[#This Row],[Set]]&lt;&gt;"",TblMili[[#This Row],[Set]],OFFSET(TblMili[[#This Row],[Draftrate]],-1,0))</f>
        <v>0.9</v>
      </c>
      <c r="AA121" s="97">
        <f ca="1">OFFSET(TblMili[[#This Row],[Draftees]],-1,0)+OFFSET(TblPop[[#This Row],[Draft Growth]],-1,0) - SUM(TblMili[[#This Row],[Train Unit 1]:[Train Spies]],TblMili[[#This Row],[Train Wiz]]) - TblMili[[#This Row],[Release Draft]] + SUM(TblMili[[#This Row],[Release Unit 1]:[Release AM]]) - TblExplore[[#This Row],[Draftees (2)]]</f>
        <v>3344</v>
      </c>
      <c r="AB121" s="157"/>
      <c r="AC121" s="183">
        <f ca="1">(TblConstr[[#This Row],[Tot Smi]]+TblConstr[[#This Row],[Dest Smi]])/(TblConstr[[#This Row],[Land]]-TblExplore[[#This Row],[Land Bonus]]*20)</f>
        <v>0.18</v>
      </c>
      <c r="AD121" s="140"/>
      <c r="AE121" s="261">
        <f>TblMili[[#This Row],[Hour]]</f>
        <v>118</v>
      </c>
      <c r="AF121" s="141">
        <f ca="1">TblExplore[[#This Row],[Time]]</f>
        <v>45434.624999999716</v>
      </c>
      <c r="AG121" s="182"/>
      <c r="AH121" s="182"/>
      <c r="AI121" s="182"/>
      <c r="AJ121" s="182"/>
      <c r="AK121" s="182"/>
      <c r="AL121" s="182"/>
      <c r="AM121" s="182"/>
      <c r="AN121" s="182"/>
      <c r="AO121" s="145"/>
      <c r="AP121" s="97">
        <f ca="1">TblProd[[#This Row],[Platinum]]</f>
        <v>1775063</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45434.624999999716</v>
      </c>
      <c r="AV121" s="97">
        <f ca="1">TblMili[[#This Row],[Draftees]]</f>
        <v>3344</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192</v>
      </c>
      <c r="BJ121" s="97">
        <f ca="1">ROUNDUP(IF(race="Gnome",1,(1-MIN(TblMili[[#This Row],[Smithies]]*smithy_bonus,smithy_bonus_cap) + tech_3_5*TblTech[[#This Row],[3-5]] + tech_5_3*TblTech[[#This Row],[5-3]] + tech_5_5*TblTech[[#This Row],[5-5]]))*spec_op_ore,0)</f>
        <v>0</v>
      </c>
      <c r="BK121" s="97">
        <f ca="1">ROUNDUP((1-MIN(TblMili[[#This Row],[Smithies]]*smithy_bonus,smithy_bonus_cap) + tech_3_5*TblTech[[#This Row],[3-5]] + tech_5_3*TblTech[[#This Row],[5-3]] + tech_5_5*TblTech[[#This Row],[5-5]])*spec_dp_plat,0)</f>
        <v>192</v>
      </c>
      <c r="BL121" s="97">
        <f ca="1">ROUNDUP(IF(race="Gnome",1,(1-MIN(TblMili[[#This Row],[Smithies]]*smithy_bonus,smithy_bonus_cap) + tech_3_5*TblTech[[#This Row],[3-5]] + tech_5_3*TblTech[[#This Row],[5-3]] + tech_5_5*TblTech[[#This Row],[5-5]]))*spec_dp_ore,0)</f>
        <v>0</v>
      </c>
      <c r="BM121" s="97">
        <f ca="1">ROUNDUP((1-MIN(TblMili[[#This Row],[Smithies]]*smithy_bonus,smithy_bonus_cap) + tech_3_5*TblTech[[#This Row],[3-5]] + tech_5_3*TblTech[[#This Row],[5-3]] + tech_5_5*TblTech[[#This Row],[5-5]])*elite1_plat,0)</f>
        <v>592</v>
      </c>
      <c r="BN121" s="97">
        <f ca="1">ROUNDUP(IF(race="Gnome",1,(1-MIN(TblMili[[#This Row],[Smithies]]*smithy_bonus,smithy_bonus_cap) + tech_3_5*TblTech[[#This Row],[3-5]] + tech_5_3*TblTech[[#This Row],[5-3]] + tech_5_5*TblTech[[#This Row],[5-5]]))*elite1_ore,0)</f>
        <v>0</v>
      </c>
      <c r="BO121" s="97">
        <f ca="1">ROUNDUP((1-MIN(TblMili[[#This Row],[Smithies]]*smithy_bonus,smithy_bonus_cap) + tech_3_5*TblTech[[#This Row],[3-5]] + tech_5_3*TblTech[[#This Row],[5-3]] + tech_5_5*TblTech[[#This Row],[5-5]])*elite2_plat,0)</f>
        <v>608</v>
      </c>
      <c r="BP121" s="97">
        <f ca="1">ROUNDUP(IF(race="Gnome",1,(1-MIN(TblMili[[#This Row],[Smithies]]*smithy_bonus,smithy_bonus_cap) + tech_3_5*TblTech[[#This Row],[3-5]] + tech_5_3*TblTech[[#This Row],[5-3]] + tech_5_5*TblTech[[#This Row],[5-5]]))*elite2_ore,0)</f>
        <v>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5.7142857142857141E-2</v>
      </c>
      <c r="BW121" s="160">
        <f ca="1">TblMili[[#This Row],[WG''s]]</f>
        <v>0</v>
      </c>
      <c r="BX121" s="266">
        <f ca="1">IF(mystic_cap="none",TblMili[[#This Row],[Hill]]/mystic_bonus,MIN(mystic_cap,TblMili[[#This Row],[Hill]]/mystic_bonus))</f>
        <v>0.2857142857142857</v>
      </c>
      <c r="BY121" s="266">
        <f ca="1">IF(druid_op_cap="none",TblMili[[#This Row],[Hill]]/druid_op_bonus,MIN(druid_op_cap,TblMili[[#This Row],[Hill]]/druid_op_bonus))</f>
        <v>0.2857142857142857</v>
      </c>
      <c r="BZ121" s="266">
        <f ca="1">IF(druid_dp_cap="none",TblMili[[#This Row],[Hill]]/druid_dp_bonus,MIN(druid_dp_cap,TblMili[[#This Row],[Hill]]/druid_dp_bonus))</f>
        <v>0.2857142857142857</v>
      </c>
      <c r="CA121" s="266">
        <f ca="1">MIN(dryad_cap,TblMili[[#This Row],[Hill]]/dryad_bonus)</f>
        <v>0.2857142857142857</v>
      </c>
      <c r="CB121" s="266">
        <f ca="1">MIN(rocka_cap,TblMili[[#This Row],[Hill]]/rocka_bonus)</f>
        <v>0.2857142857142857</v>
      </c>
      <c r="CC121" s="266">
        <f ca="1">MIN(adept_op_cap,TblMili[[#This Row],[WG]]/adept_op_bonus)</f>
        <v>0</v>
      </c>
      <c r="CD121" s="266">
        <f ca="1">MIN(adept_dp_cap,TblMili[[#This Row],[WG]]/adept_dp_bonus)</f>
        <v>0</v>
      </c>
      <c r="CE121" s="97">
        <f ca="1">MIN(TblMili[[#This Row],[Unit 3]],TblMili[[#This Row],[Unit 2]])*2</f>
        <v>1400</v>
      </c>
      <c r="CF121" s="97">
        <f ca="1">MIN(TblMili[[#This Row],[Unit 1]],TblMili[[#This Row],[Unit 4]])*2</f>
        <v>0</v>
      </c>
      <c r="CG121" s="266">
        <f ca="1">MIN(frost_mage_cap,TblMili[[#This Row],[Hill]]/frost_mage_bonus)</f>
        <v>0.2857142857142857</v>
      </c>
      <c r="CH121" s="45">
        <f ca="1">MIN(ice_elem_cap,TblMili[[#This Row],[Raw (2)]]*ice_elem_bonus)</f>
        <v>3.5714285714285712E-2</v>
      </c>
      <c r="CI121" s="266">
        <f t="shared" si="4"/>
        <v>0.83333333333333337</v>
      </c>
      <c r="CJ121" s="266">
        <f ca="1">MIN(nox_nightshade_cap,TblConstr[[#This Row],[Homeland]]/TblConstr[[#This Row],[Land]]/nox_nightshade_swamp_bonus)</f>
        <v>0.5714285714285714</v>
      </c>
      <c r="CK121" s="267"/>
      <c r="CL121" s="267"/>
      <c r="CM121" s="267"/>
      <c r="CN121" s="266">
        <f ca="1">MIN(6,TblMili[[#This Row],[Mystic]]+Races!$F$19)*1.8 +  IF(TblMili[[#This Row],[Mystic]]+Races!$F$19&gt;6,(TblMili[[#This Row],[Mystic]]+Races!$F$19-6)*0.2,0) - Races!$I$19</f>
        <v>0.51428571428571423</v>
      </c>
      <c r="CO12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1" s="97">
        <f ca="1">TblMili[[#This Row],[Mystic bonus]]*TblMili[[#This Row],[Unit 3]]+TblMili[[#This Row],[Druid bonus]]*TblMili[[#This Row],[Unit 4]]</f>
        <v>1149.4285714285706</v>
      </c>
      <c r="CQ121" s="158">
        <f ca="1">MIN(6,TblMili[[#This Row],[Dryad]]+Races!$F$35)*1.8 +  IF(TblMili[[#This Row],[Dryad]]+Races!$F$35&gt;6,(TblMili[[#This Row],[Dryad]]+Races!$F$35-6)*0.2,0) - Races!$I$19</f>
        <v>-1.2857142857142856</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2.7642857142857133</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0.51428571428571423</v>
      </c>
      <c r="CX121" s="158">
        <f ca="1">1.8 * MIN(MAX(TblMili[[#This Row],[Ice Elemental]]+Races!$E$71,Races!$F$71),6)  +  0.45 * MIN(MIN(TblMili[[#This Row],[Ice Elemental]]+Races!$E$71,Races!$F$71),6)  +  0.2 * ( MAX(TblMili[[#This Row],[Ice Elemental]]+Races!$E$71-6,0) + MAX(Races!$F$71-6,0) )  -  Races!$I$71</f>
        <v>6.4285714285714946E-2</v>
      </c>
      <c r="CY121" s="97">
        <f ca="1">TblMili[[#This Row],[Frost Mage bonus]]*TblMili[[#This Row],[Unit 3]]+TblMili[[#This Row],[Ice Elemental bonus]]*TblMili[[#This Row],[Unit 4]]</f>
        <v>438.94285714285786</v>
      </c>
      <c r="CZ121" s="268"/>
      <c r="DA121" s="146">
        <f ca="1">MIN(SUM(TblConstr[[#This Row],[Plain]:[Water]])/TblMili[[#This Row],[Land]]/favorable_terrain_bonus/100,favorable_terrain_max)</f>
        <v>0</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1" s="145"/>
      <c r="DE121" s="269">
        <f ca="1">(TblMili[[#This Row],[Wizards]]+2*TblMili[[#This Row],[Archmages]])/TblConstr[[#This Row],[Land]]</f>
        <v>3.5714285714285712E-2</v>
      </c>
      <c r="DF121" s="269">
        <f ca="1">TblMili[[#This Row],[Raw (2)]]*(1+race_wizard_strength+IF(TblMili[[#This Row],[Hour]]&gt;72,tech_magical_weaponry_wiz*TblTech[[#This Row],[3-5]],0))</f>
        <v>3.5714285714285712E-2</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6632</v>
      </c>
      <c r="C122" s="160">
        <f ca="1">TblPop[[#This Row],[Military%]]</f>
        <v>0.51255893036556144</v>
      </c>
      <c r="D122" s="145"/>
      <c r="E122" s="45">
        <f ca="1">OFFSET(TblMili[[#This Row],[Unit 1]],-1,0) + OFFSET(TblMili[[#This Row],[Train Unit 1]],-9,0) - TblMili[[#This Row],[Release Unit 1]]</f>
        <v>0</v>
      </c>
      <c r="F122" s="45">
        <f ca="1">OFFSET(TblMili[[#This Row],[Unit 2]],-1,0) + OFFSET(TblMili[[#This Row],[Train Unit 2]],-9,0)-TblMili[[#This Row],[Release Unit 2]]</f>
        <v>1246</v>
      </c>
      <c r="G122" s="45">
        <f ca="1">OFFSET(TblMili[[#This Row],[Unit 3]],-1,0) + OFFSET(TblMili[[#This Row],[Train Unit 3]],-12,0)-TblMili[[#This Row],[Release Unit 3]]</f>
        <v>700</v>
      </c>
      <c r="H122" s="45">
        <f ca="1">OFFSET(TblMili[[#This Row],[Unit 4]],-1,0) + OFFSET(TblMili[[#This Row],[Train Unit 4]],-12,0)-TblMili[[#This Row],[Release Unit 4]]</f>
        <v>1228</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42359.8</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6140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6293.4999999999991</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2" s="262">
        <f ca="1">TblMili[[#This Row],[Non Draft]]+TblMili[[#This Row],[Draftees]]</f>
        <v>13980</v>
      </c>
      <c r="U122" s="263">
        <f ca="1">race_defense + TblImps[[#This Row],[Walls]] + ROUND( MIN(gt_bonus*TblConstr[[#This Row],[Tot GT]]/TblConstr[[#This Row],[Land]],gt_bonus_cap), 4) + IF(TblMagic[[#This Row],[Active Howling]]&gt;0,howling_dp_bonus,IF(TblMagic[[#This Row],[Active Ares Call]]&gt;0,ares_call_bonus))</f>
        <v>0.13750000000000001</v>
      </c>
      <c r="V122" s="264">
        <f ca="1">TblMili[[#This Row],[Non Draft]] * (1 + TblMili[[#This Row],[Mods_Def]])</f>
        <v>12025.65</v>
      </c>
      <c r="W122" s="262">
        <f ca="1">TblMili[[#This Row],[Draft]] * (1 + TblMili[[#This Row],[Mods_Def]])</f>
        <v>15902.25</v>
      </c>
      <c r="X122" s="262">
        <f ca="1">TblConstr[[#This Row],[Land]]</f>
        <v>700</v>
      </c>
      <c r="Y122" s="265"/>
      <c r="Z122" s="270">
        <f ca="1">IF(TblMili[[#This Row],[Set]]&lt;&gt;"",TblMili[[#This Row],[Set]],OFFSET(TblMili[[#This Row],[Draftrate]],-1,0))</f>
        <v>0.9</v>
      </c>
      <c r="AA122" s="97">
        <f ca="1">OFFSET(TblMili[[#This Row],[Draftees]],-1,0)+OFFSET(TblPop[[#This Row],[Draft Growth]],-1,0) - SUM(TblMili[[#This Row],[Train Unit 1]:[Train Spies]],TblMili[[#This Row],[Train Wiz]]) - TblMili[[#This Row],[Release Draft]] + SUM(TblMili[[#This Row],[Release Unit 1]:[Release AM]]) - TblExplore[[#This Row],[Draftees (2)]]</f>
        <v>3408</v>
      </c>
      <c r="AB122" s="157"/>
      <c r="AC122" s="183">
        <f ca="1">(TblConstr[[#This Row],[Tot Smi]]+TblConstr[[#This Row],[Dest Smi]])/(TblConstr[[#This Row],[Land]]-TblExplore[[#This Row],[Land Bonus]]*20)</f>
        <v>0.18</v>
      </c>
      <c r="AD122" s="140"/>
      <c r="AE122" s="261">
        <f>TblMili[[#This Row],[Hour]]</f>
        <v>119</v>
      </c>
      <c r="AF122" s="141">
        <f ca="1">TblExplore[[#This Row],[Time]]</f>
        <v>45434.66666666638</v>
      </c>
      <c r="AG122" s="182"/>
      <c r="AH122" s="182"/>
      <c r="AI122" s="182"/>
      <c r="AJ122" s="182"/>
      <c r="AK122" s="182"/>
      <c r="AL122" s="182"/>
      <c r="AM122" s="182"/>
      <c r="AN122" s="182"/>
      <c r="AO122" s="145"/>
      <c r="AP122" s="97">
        <f ca="1">TblProd[[#This Row],[Platinum]]</f>
        <v>1804639</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45434.66666666638</v>
      </c>
      <c r="AV122" s="97">
        <f ca="1">TblMili[[#This Row],[Draftees]]</f>
        <v>3408</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192</v>
      </c>
      <c r="BJ122" s="97">
        <f ca="1">ROUNDUP(IF(race="Gnome",1,(1-MIN(TblMili[[#This Row],[Smithies]]*smithy_bonus,smithy_bonus_cap) + tech_3_5*TblTech[[#This Row],[3-5]] + tech_5_3*TblTech[[#This Row],[5-3]] + tech_5_5*TblTech[[#This Row],[5-5]]))*spec_op_ore,0)</f>
        <v>0</v>
      </c>
      <c r="BK122" s="97">
        <f ca="1">ROUNDUP((1-MIN(TblMili[[#This Row],[Smithies]]*smithy_bonus,smithy_bonus_cap) + tech_3_5*TblTech[[#This Row],[3-5]] + tech_5_3*TblTech[[#This Row],[5-3]] + tech_5_5*TblTech[[#This Row],[5-5]])*spec_dp_plat,0)</f>
        <v>192</v>
      </c>
      <c r="BL122" s="97">
        <f ca="1">ROUNDUP(IF(race="Gnome",1,(1-MIN(TblMili[[#This Row],[Smithies]]*smithy_bonus,smithy_bonus_cap) + tech_3_5*TblTech[[#This Row],[3-5]] + tech_5_3*TblTech[[#This Row],[5-3]] + tech_5_5*TblTech[[#This Row],[5-5]]))*spec_dp_ore,0)</f>
        <v>0</v>
      </c>
      <c r="BM122" s="97">
        <f ca="1">ROUNDUP((1-MIN(TblMili[[#This Row],[Smithies]]*smithy_bonus,smithy_bonus_cap) + tech_3_5*TblTech[[#This Row],[3-5]] + tech_5_3*TblTech[[#This Row],[5-3]] + tech_5_5*TblTech[[#This Row],[5-5]])*elite1_plat,0)</f>
        <v>592</v>
      </c>
      <c r="BN122" s="97">
        <f ca="1">ROUNDUP(IF(race="Gnome",1,(1-MIN(TblMili[[#This Row],[Smithies]]*smithy_bonus,smithy_bonus_cap) + tech_3_5*TblTech[[#This Row],[3-5]] + tech_5_3*TblTech[[#This Row],[5-3]] + tech_5_5*TblTech[[#This Row],[5-5]]))*elite1_ore,0)</f>
        <v>0</v>
      </c>
      <c r="BO122" s="97">
        <f ca="1">ROUNDUP((1-MIN(TblMili[[#This Row],[Smithies]]*smithy_bonus,smithy_bonus_cap) + tech_3_5*TblTech[[#This Row],[3-5]] + tech_5_3*TblTech[[#This Row],[5-3]] + tech_5_5*TblTech[[#This Row],[5-5]])*elite2_plat,0)</f>
        <v>608</v>
      </c>
      <c r="BP122" s="97">
        <f ca="1">ROUNDUP(IF(race="Gnome",1,(1-MIN(TblMili[[#This Row],[Smithies]]*smithy_bonus,smithy_bonus_cap) + tech_3_5*TblTech[[#This Row],[3-5]] + tech_5_3*TblTech[[#This Row],[5-3]] + tech_5_5*TblTech[[#This Row],[5-5]]))*elite2_ore,0)</f>
        <v>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5.7142857142857141E-2</v>
      </c>
      <c r="BW122" s="160">
        <f ca="1">TblMili[[#This Row],[WG''s]]</f>
        <v>0</v>
      </c>
      <c r="BX122" s="266">
        <f ca="1">IF(mystic_cap="none",TblMili[[#This Row],[Hill]]/mystic_bonus,MIN(mystic_cap,TblMili[[#This Row],[Hill]]/mystic_bonus))</f>
        <v>0.2857142857142857</v>
      </c>
      <c r="BY122" s="266">
        <f ca="1">IF(druid_op_cap="none",TblMili[[#This Row],[Hill]]/druid_op_bonus,MIN(druid_op_cap,TblMili[[#This Row],[Hill]]/druid_op_bonus))</f>
        <v>0.2857142857142857</v>
      </c>
      <c r="BZ122" s="266">
        <f ca="1">IF(druid_dp_cap="none",TblMili[[#This Row],[Hill]]/druid_dp_bonus,MIN(druid_dp_cap,TblMili[[#This Row],[Hill]]/druid_dp_bonus))</f>
        <v>0.2857142857142857</v>
      </c>
      <c r="CA122" s="266">
        <f ca="1">MIN(dryad_cap,TblMili[[#This Row],[Hill]]/dryad_bonus)</f>
        <v>0.2857142857142857</v>
      </c>
      <c r="CB122" s="266">
        <f ca="1">MIN(rocka_cap,TblMili[[#This Row],[Hill]]/rocka_bonus)</f>
        <v>0.2857142857142857</v>
      </c>
      <c r="CC122" s="266">
        <f ca="1">MIN(adept_op_cap,TblMili[[#This Row],[WG]]/adept_op_bonus)</f>
        <v>0</v>
      </c>
      <c r="CD122" s="266">
        <f ca="1">MIN(adept_dp_cap,TblMili[[#This Row],[WG]]/adept_dp_bonus)</f>
        <v>0</v>
      </c>
      <c r="CE122" s="97">
        <f ca="1">MIN(TblMili[[#This Row],[Unit 3]],TblMili[[#This Row],[Unit 2]])*2</f>
        <v>1400</v>
      </c>
      <c r="CF122" s="97">
        <f ca="1">MIN(TblMili[[#This Row],[Unit 1]],TblMili[[#This Row],[Unit 4]])*2</f>
        <v>0</v>
      </c>
      <c r="CG122" s="266">
        <f ca="1">MIN(frost_mage_cap,TblMili[[#This Row],[Hill]]/frost_mage_bonus)</f>
        <v>0.2857142857142857</v>
      </c>
      <c r="CH122" s="45">
        <f ca="1">MIN(ice_elem_cap,TblMili[[#This Row],[Raw (2)]]*ice_elem_bonus)</f>
        <v>3.5714285714285712E-2</v>
      </c>
      <c r="CI122" s="266">
        <f t="shared" si="4"/>
        <v>0.83333333333333337</v>
      </c>
      <c r="CJ122" s="266">
        <f ca="1">MIN(nox_nightshade_cap,TblConstr[[#This Row],[Homeland]]/TblConstr[[#This Row],[Land]]/nox_nightshade_swamp_bonus)</f>
        <v>0.5714285714285714</v>
      </c>
      <c r="CK122" s="267"/>
      <c r="CL122" s="267"/>
      <c r="CM122" s="267"/>
      <c r="CN122" s="266">
        <f ca="1">MIN(6,TblMili[[#This Row],[Mystic]]+Races!$F$19)*1.8 +  IF(TblMili[[#This Row],[Mystic]]+Races!$F$19&gt;6,(TblMili[[#This Row],[Mystic]]+Races!$F$19-6)*0.2,0) - Races!$I$19</f>
        <v>0.51428571428571423</v>
      </c>
      <c r="CO12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2" s="97">
        <f ca="1">TblMili[[#This Row],[Mystic bonus]]*TblMili[[#This Row],[Unit 3]]+TblMili[[#This Row],[Druid bonus]]*TblMili[[#This Row],[Unit 4]]</f>
        <v>1149.4285714285706</v>
      </c>
      <c r="CQ122" s="158">
        <f ca="1">MIN(6,TblMili[[#This Row],[Dryad]]+Races!$F$35)*1.8 +  IF(TblMili[[#This Row],[Dryad]]+Races!$F$35&gt;6,(TblMili[[#This Row],[Dryad]]+Races!$F$35-6)*0.2,0) - Races!$I$19</f>
        <v>-1.2857142857142856</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2.7642857142857133</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0.51428571428571423</v>
      </c>
      <c r="CX122" s="158">
        <f ca="1">1.8 * MIN(MAX(TblMili[[#This Row],[Ice Elemental]]+Races!$E$71,Races!$F$71),6)  +  0.45 * MIN(MIN(TblMili[[#This Row],[Ice Elemental]]+Races!$E$71,Races!$F$71),6)  +  0.2 * ( MAX(TblMili[[#This Row],[Ice Elemental]]+Races!$E$71-6,0) + MAX(Races!$F$71-6,0) )  -  Races!$I$71</f>
        <v>6.4285714285714946E-2</v>
      </c>
      <c r="CY122" s="97">
        <f ca="1">TblMili[[#This Row],[Frost Mage bonus]]*TblMili[[#This Row],[Unit 3]]+TblMili[[#This Row],[Ice Elemental bonus]]*TblMili[[#This Row],[Unit 4]]</f>
        <v>438.94285714285786</v>
      </c>
      <c r="CZ122" s="268"/>
      <c r="DA122" s="146">
        <f ca="1">MIN(SUM(TblConstr[[#This Row],[Plain]:[Water]])/TblMili[[#This Row],[Land]]/favorable_terrain_bonus/100,favorable_terrain_max)</f>
        <v>0</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2" s="145"/>
      <c r="DE122" s="269">
        <f ca="1">(TblMili[[#This Row],[Wizards]]+2*TblMili[[#This Row],[Archmages]])/TblConstr[[#This Row],[Land]]</f>
        <v>3.5714285714285712E-2</v>
      </c>
      <c r="DF122" s="269">
        <f ca="1">TblMili[[#This Row],[Raw (2)]]*(1+race_wizard_strength+IF(TblMili[[#This Row],[Hour]]&gt;72,tech_magical_weaponry_wiz*TblTech[[#This Row],[3-5]],0))</f>
        <v>3.5714285714285712E-2</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6695</v>
      </c>
      <c r="C123" s="160">
        <f ca="1">TblPop[[#This Row],[Military%]]</f>
        <v>0.51742793106113305</v>
      </c>
      <c r="D123" s="145"/>
      <c r="E123" s="45">
        <f ca="1">OFFSET(TblMili[[#This Row],[Unit 1]],-1,0) + OFFSET(TblMili[[#This Row],[Train Unit 1]],-9,0) - TblMili[[#This Row],[Release Unit 1]]</f>
        <v>0</v>
      </c>
      <c r="F123" s="45">
        <f ca="1">OFFSET(TblMili[[#This Row],[Unit 2]],-1,0) + OFFSET(TblMili[[#This Row],[Train Unit 2]],-9,0)-TblMili[[#This Row],[Release Unit 2]]</f>
        <v>1246</v>
      </c>
      <c r="G123" s="45">
        <f ca="1">OFFSET(TblMili[[#This Row],[Unit 3]],-1,0) + OFFSET(TblMili[[#This Row],[Train Unit 3]],-12,0)-TblMili[[#This Row],[Release Unit 3]]</f>
        <v>700</v>
      </c>
      <c r="H123" s="45">
        <f ca="1">OFFSET(TblMili[[#This Row],[Unit 4]],-1,0) + OFFSET(TblMili[[#This Row],[Train Unit 4]],-12,0)-TblMili[[#This Row],[Release Unit 4]]</f>
        <v>1228</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42359.8</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6140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6293.4999999999991</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3" s="262">
        <f ca="1">TblMili[[#This Row],[Non Draft]]+TblMili[[#This Row],[Draftees]]</f>
        <v>14043</v>
      </c>
      <c r="U123" s="263">
        <f ca="1">race_defense + TblImps[[#This Row],[Walls]] + ROUND( MIN(gt_bonus*TblConstr[[#This Row],[Tot GT]]/TblConstr[[#This Row],[Land]],gt_bonus_cap), 4) + IF(TblMagic[[#This Row],[Active Howling]]&gt;0,howling_dp_bonus,IF(TblMagic[[#This Row],[Active Ares Call]]&gt;0,ares_call_bonus))</f>
        <v>0.13750000000000001</v>
      </c>
      <c r="V123" s="264">
        <f ca="1">TblMili[[#This Row],[Non Draft]] * (1 + TblMili[[#This Row],[Mods_Def]])</f>
        <v>12025.65</v>
      </c>
      <c r="W123" s="262">
        <f ca="1">TblMili[[#This Row],[Draft]] * (1 + TblMili[[#This Row],[Mods_Def]])</f>
        <v>15973.912499999999</v>
      </c>
      <c r="X123" s="262">
        <f ca="1">TblConstr[[#This Row],[Land]]</f>
        <v>700</v>
      </c>
      <c r="Y123" s="265"/>
      <c r="Z123" s="270">
        <f ca="1">IF(TblMili[[#This Row],[Set]]&lt;&gt;"",TblMili[[#This Row],[Set]],OFFSET(TblMili[[#This Row],[Draftrate]],-1,0))</f>
        <v>0.9</v>
      </c>
      <c r="AA123" s="97">
        <f ca="1">OFFSET(TblMili[[#This Row],[Draftees]],-1,0)+OFFSET(TblPop[[#This Row],[Draft Growth]],-1,0) - SUM(TblMili[[#This Row],[Train Unit 1]:[Train Spies]],TblMili[[#This Row],[Train Wiz]]) - TblMili[[#This Row],[Release Draft]] + SUM(TblMili[[#This Row],[Release Unit 1]:[Release AM]]) - TblExplore[[#This Row],[Draftees (2)]]</f>
        <v>3471</v>
      </c>
      <c r="AB123" s="157"/>
      <c r="AC123" s="183">
        <f ca="1">(TblConstr[[#This Row],[Tot Smi]]+TblConstr[[#This Row],[Dest Smi]])/(TblConstr[[#This Row],[Land]]-TblExplore[[#This Row],[Land Bonus]]*20)</f>
        <v>0.18</v>
      </c>
      <c r="AD123" s="140"/>
      <c r="AE123" s="261">
        <f>TblMili[[#This Row],[Hour]]</f>
        <v>120</v>
      </c>
      <c r="AF123" s="141">
        <f ca="1">TblExplore[[#This Row],[Time]]</f>
        <v>45434.708333333045</v>
      </c>
      <c r="AG123" s="182"/>
      <c r="AH123" s="182"/>
      <c r="AI123" s="182"/>
      <c r="AJ123" s="182"/>
      <c r="AK123" s="182"/>
      <c r="AL123" s="182"/>
      <c r="AM123" s="182"/>
      <c r="AN123" s="182"/>
      <c r="AO123" s="145"/>
      <c r="AP123" s="97">
        <f ca="1">TblProd[[#This Row],[Platinum]]</f>
        <v>1834042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45434.708333333045</v>
      </c>
      <c r="AV123" s="97">
        <f ca="1">TblMili[[#This Row],[Draftees]]</f>
        <v>3471</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192</v>
      </c>
      <c r="BJ123" s="97">
        <f ca="1">ROUNDUP(IF(race="Gnome",1,(1-MIN(TblMili[[#This Row],[Smithies]]*smithy_bonus,smithy_bonus_cap) + tech_3_5*TblTech[[#This Row],[3-5]] + tech_5_3*TblTech[[#This Row],[5-3]] + tech_5_5*TblTech[[#This Row],[5-5]]))*spec_op_ore,0)</f>
        <v>0</v>
      </c>
      <c r="BK123" s="97">
        <f ca="1">ROUNDUP((1-MIN(TblMili[[#This Row],[Smithies]]*smithy_bonus,smithy_bonus_cap) + tech_3_5*TblTech[[#This Row],[3-5]] + tech_5_3*TblTech[[#This Row],[5-3]] + tech_5_5*TblTech[[#This Row],[5-5]])*spec_dp_plat,0)</f>
        <v>192</v>
      </c>
      <c r="BL123" s="97">
        <f ca="1">ROUNDUP(IF(race="Gnome",1,(1-MIN(TblMili[[#This Row],[Smithies]]*smithy_bonus,smithy_bonus_cap) + tech_3_5*TblTech[[#This Row],[3-5]] + tech_5_3*TblTech[[#This Row],[5-3]] + tech_5_5*TblTech[[#This Row],[5-5]]))*spec_dp_ore,0)</f>
        <v>0</v>
      </c>
      <c r="BM123" s="97">
        <f ca="1">ROUNDUP((1-MIN(TblMili[[#This Row],[Smithies]]*smithy_bonus,smithy_bonus_cap) + tech_3_5*TblTech[[#This Row],[3-5]] + tech_5_3*TblTech[[#This Row],[5-3]] + tech_5_5*TblTech[[#This Row],[5-5]])*elite1_plat,0)</f>
        <v>592</v>
      </c>
      <c r="BN123" s="97">
        <f ca="1">ROUNDUP(IF(race="Gnome",1,(1-MIN(TblMili[[#This Row],[Smithies]]*smithy_bonus,smithy_bonus_cap) + tech_3_5*TblTech[[#This Row],[3-5]] + tech_5_3*TblTech[[#This Row],[5-3]] + tech_5_5*TblTech[[#This Row],[5-5]]))*elite1_ore,0)</f>
        <v>0</v>
      </c>
      <c r="BO123" s="97">
        <f ca="1">ROUNDUP((1-MIN(TblMili[[#This Row],[Smithies]]*smithy_bonus,smithy_bonus_cap) + tech_3_5*TblTech[[#This Row],[3-5]] + tech_5_3*TblTech[[#This Row],[5-3]] + tech_5_5*TblTech[[#This Row],[5-5]])*elite2_plat,0)</f>
        <v>608</v>
      </c>
      <c r="BP123" s="97">
        <f ca="1">ROUNDUP(IF(race="Gnome",1,(1-MIN(TblMili[[#This Row],[Smithies]]*smithy_bonus,smithy_bonus_cap) + tech_3_5*TblTech[[#This Row],[3-5]] + tech_5_3*TblTech[[#This Row],[5-3]] + tech_5_5*TblTech[[#This Row],[5-5]]))*elite2_ore,0)</f>
        <v>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5.7142857142857141E-2</v>
      </c>
      <c r="BW123" s="160">
        <f ca="1">TblMili[[#This Row],[WG''s]]</f>
        <v>0</v>
      </c>
      <c r="BX123" s="266">
        <f ca="1">IF(mystic_cap="none",TblMili[[#This Row],[Hill]]/mystic_bonus,MIN(mystic_cap,TblMili[[#This Row],[Hill]]/mystic_bonus))</f>
        <v>0.2857142857142857</v>
      </c>
      <c r="BY123" s="266">
        <f ca="1">IF(druid_op_cap="none",TblMili[[#This Row],[Hill]]/druid_op_bonus,MIN(druid_op_cap,TblMili[[#This Row],[Hill]]/druid_op_bonus))</f>
        <v>0.2857142857142857</v>
      </c>
      <c r="BZ123" s="266">
        <f ca="1">IF(druid_dp_cap="none",TblMili[[#This Row],[Hill]]/druid_dp_bonus,MIN(druid_dp_cap,TblMili[[#This Row],[Hill]]/druid_dp_bonus))</f>
        <v>0.2857142857142857</v>
      </c>
      <c r="CA123" s="266">
        <f ca="1">MIN(dryad_cap,TblMili[[#This Row],[Hill]]/dryad_bonus)</f>
        <v>0.2857142857142857</v>
      </c>
      <c r="CB123" s="266">
        <f ca="1">MIN(rocka_cap,TblMili[[#This Row],[Hill]]/rocka_bonus)</f>
        <v>0.2857142857142857</v>
      </c>
      <c r="CC123" s="266">
        <f ca="1">MIN(adept_op_cap,TblMili[[#This Row],[WG]]/adept_op_bonus)</f>
        <v>0</v>
      </c>
      <c r="CD123" s="266">
        <f ca="1">MIN(adept_dp_cap,TblMili[[#This Row],[WG]]/adept_dp_bonus)</f>
        <v>0</v>
      </c>
      <c r="CE123" s="97">
        <f ca="1">MIN(TblMili[[#This Row],[Unit 3]],TblMili[[#This Row],[Unit 2]])*2</f>
        <v>1400</v>
      </c>
      <c r="CF123" s="97">
        <f ca="1">MIN(TblMili[[#This Row],[Unit 1]],TblMili[[#This Row],[Unit 4]])*2</f>
        <v>0</v>
      </c>
      <c r="CG123" s="266">
        <f ca="1">MIN(frost_mage_cap,TblMili[[#This Row],[Hill]]/frost_mage_bonus)</f>
        <v>0.2857142857142857</v>
      </c>
      <c r="CH123" s="45">
        <f ca="1">MIN(ice_elem_cap,TblMili[[#This Row],[Raw (2)]]*ice_elem_bonus)</f>
        <v>3.5714285714285712E-2</v>
      </c>
      <c r="CI123" s="266">
        <f t="shared" si="4"/>
        <v>0.83333333333333337</v>
      </c>
      <c r="CJ123" s="266">
        <f ca="1">MIN(nox_nightshade_cap,TblConstr[[#This Row],[Homeland]]/TblConstr[[#This Row],[Land]]/nox_nightshade_swamp_bonus)</f>
        <v>0.5714285714285714</v>
      </c>
      <c r="CK123" s="267"/>
      <c r="CL123" s="267"/>
      <c r="CM123" s="267"/>
      <c r="CN123" s="266">
        <f ca="1">MIN(6,TblMili[[#This Row],[Mystic]]+Races!$F$19)*1.8 +  IF(TblMili[[#This Row],[Mystic]]+Races!$F$19&gt;6,(TblMili[[#This Row],[Mystic]]+Races!$F$19-6)*0.2,0) - Races!$I$19</f>
        <v>0.51428571428571423</v>
      </c>
      <c r="CO12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3" s="97">
        <f ca="1">TblMili[[#This Row],[Mystic bonus]]*TblMili[[#This Row],[Unit 3]]+TblMili[[#This Row],[Druid bonus]]*TblMili[[#This Row],[Unit 4]]</f>
        <v>1149.4285714285706</v>
      </c>
      <c r="CQ123" s="158">
        <f ca="1">MIN(6,TblMili[[#This Row],[Dryad]]+Races!$F$35)*1.8 +  IF(TblMili[[#This Row],[Dryad]]+Races!$F$35&gt;6,(TblMili[[#This Row],[Dryad]]+Races!$F$35-6)*0.2,0) - Races!$I$19</f>
        <v>-1.2857142857142856</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2.7642857142857133</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0.51428571428571423</v>
      </c>
      <c r="CX123" s="158">
        <f ca="1">1.8 * MIN(MAX(TblMili[[#This Row],[Ice Elemental]]+Races!$E$71,Races!$F$71),6)  +  0.45 * MIN(MIN(TblMili[[#This Row],[Ice Elemental]]+Races!$E$71,Races!$F$71),6)  +  0.2 * ( MAX(TblMili[[#This Row],[Ice Elemental]]+Races!$E$71-6,0) + MAX(Races!$F$71-6,0) )  -  Races!$I$71</f>
        <v>6.4285714285714946E-2</v>
      </c>
      <c r="CY123" s="97">
        <f ca="1">TblMili[[#This Row],[Frost Mage bonus]]*TblMili[[#This Row],[Unit 3]]+TblMili[[#This Row],[Ice Elemental bonus]]*TblMili[[#This Row],[Unit 4]]</f>
        <v>438.94285714285786</v>
      </c>
      <c r="CZ123" s="268"/>
      <c r="DA123" s="146">
        <f ca="1">MIN(SUM(TblConstr[[#This Row],[Plain]:[Water]])/TblMili[[#This Row],[Land]]/favorable_terrain_bonus/100,favorable_terrain_max)</f>
        <v>0</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3" s="145"/>
      <c r="DE123" s="269">
        <f ca="1">(TblMili[[#This Row],[Wizards]]+2*TblMili[[#This Row],[Archmages]])/TblConstr[[#This Row],[Land]]</f>
        <v>3.5714285714285712E-2</v>
      </c>
      <c r="DF123" s="269">
        <f ca="1">TblMili[[#This Row],[Raw (2)]]*(1+race_wizard_strength+IF(TblMili[[#This Row],[Hour]]&gt;72,tech_magical_weaponry_wiz*TblTech[[#This Row],[3-5]],0))</f>
        <v>3.5714285714285712E-2</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6757</v>
      </c>
      <c r="C124" s="160">
        <f ca="1">TblPop[[#This Row],[Military%]]</f>
        <v>0.52221964603137805</v>
      </c>
      <c r="D124" s="145"/>
      <c r="E124" s="45">
        <f ca="1">OFFSET(TblMili[[#This Row],[Unit 1]],-1,0) + OFFSET(TblMili[[#This Row],[Train Unit 1]],-9,0) - TblMili[[#This Row],[Release Unit 1]]</f>
        <v>0</v>
      </c>
      <c r="F124" s="45">
        <f ca="1">OFFSET(TblMili[[#This Row],[Unit 2]],-1,0) + OFFSET(TblMili[[#This Row],[Train Unit 2]],-9,0)-TblMili[[#This Row],[Release Unit 2]]</f>
        <v>1246</v>
      </c>
      <c r="G124" s="45">
        <f ca="1">OFFSET(TblMili[[#This Row],[Unit 3]],-1,0) + OFFSET(TblMili[[#This Row],[Train Unit 3]],-12,0)-TblMili[[#This Row],[Release Unit 3]]</f>
        <v>700</v>
      </c>
      <c r="H124" s="45">
        <f ca="1">OFFSET(TblMili[[#This Row],[Unit 4]],-1,0) + OFFSET(TblMili[[#This Row],[Train Unit 4]],-12,0)-TblMili[[#This Row],[Release Unit 4]]</f>
        <v>1228</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42359.8</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6140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6293.4999999999991</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4" s="262">
        <f ca="1">TblMili[[#This Row],[Non Draft]]+TblMili[[#This Row],[Draftees]]</f>
        <v>14105</v>
      </c>
      <c r="U124" s="263">
        <f ca="1">race_defense + TblImps[[#This Row],[Walls]] + ROUND( MIN(gt_bonus*TblConstr[[#This Row],[Tot GT]]/TblConstr[[#This Row],[Land]],gt_bonus_cap), 4) + IF(TblMagic[[#This Row],[Active Howling]]&gt;0,howling_dp_bonus,IF(TblMagic[[#This Row],[Active Ares Call]]&gt;0,ares_call_bonus))</f>
        <v>0.13750000000000001</v>
      </c>
      <c r="V124" s="264">
        <f ca="1">TblMili[[#This Row],[Non Draft]] * (1 + TblMili[[#This Row],[Mods_Def]])</f>
        <v>12025.65</v>
      </c>
      <c r="W124" s="262">
        <f ca="1">TblMili[[#This Row],[Draft]] * (1 + TblMili[[#This Row],[Mods_Def]])</f>
        <v>16044.4375</v>
      </c>
      <c r="X124" s="262">
        <f ca="1">TblConstr[[#This Row],[Land]]</f>
        <v>700</v>
      </c>
      <c r="Y124" s="265"/>
      <c r="Z124" s="270">
        <f ca="1">IF(TblMili[[#This Row],[Set]]&lt;&gt;"",TblMili[[#This Row],[Set]],OFFSET(TblMili[[#This Row],[Draftrate]],-1,0))</f>
        <v>0.9</v>
      </c>
      <c r="AA124" s="97">
        <f ca="1">OFFSET(TblMili[[#This Row],[Draftees]],-1,0)+OFFSET(TblPop[[#This Row],[Draft Growth]],-1,0) - SUM(TblMili[[#This Row],[Train Unit 1]:[Train Spies]],TblMili[[#This Row],[Train Wiz]]) - TblMili[[#This Row],[Release Draft]] + SUM(TblMili[[#This Row],[Release Unit 1]:[Release AM]]) - TblExplore[[#This Row],[Draftees (2)]]</f>
        <v>3533</v>
      </c>
      <c r="AB124" s="157"/>
      <c r="AC124" s="183">
        <f ca="1">(TblConstr[[#This Row],[Tot Smi]]+TblConstr[[#This Row],[Dest Smi]])/(TblConstr[[#This Row],[Land]]-TblExplore[[#This Row],[Land Bonus]]*20)</f>
        <v>0.18</v>
      </c>
      <c r="AD124" s="271"/>
      <c r="AE124" s="272">
        <f>TblMili[[#This Row],[Hour]]</f>
        <v>121</v>
      </c>
      <c r="AF124" s="141">
        <f ca="1">TblExplore[[#This Row],[Time]]</f>
        <v>45434.749999999709</v>
      </c>
      <c r="AG124" s="182"/>
      <c r="AH124" s="182"/>
      <c r="AI124" s="182"/>
      <c r="AJ124" s="182"/>
      <c r="AK124" s="182"/>
      <c r="AL124" s="182"/>
      <c r="AM124" s="182"/>
      <c r="AN124" s="182"/>
      <c r="AO124" s="145"/>
      <c r="AP124" s="97">
        <f ca="1">TblProd[[#This Row],[Platinum]]</f>
        <v>1863275</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45434.749999999709</v>
      </c>
      <c r="AV124" s="97">
        <f ca="1">TblMili[[#This Row],[Draftees]]</f>
        <v>3533</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192</v>
      </c>
      <c r="BJ124" s="97">
        <f ca="1">ROUNDUP(IF(race="Gnome",1,(1-MIN(TblMili[[#This Row],[Smithies]]*smithy_bonus,smithy_bonus_cap) + tech_3_5*TblTech[[#This Row],[3-5]] + tech_5_3*TblTech[[#This Row],[5-3]] + tech_5_5*TblTech[[#This Row],[5-5]]))*spec_op_ore,0)</f>
        <v>0</v>
      </c>
      <c r="BK124" s="97">
        <f ca="1">ROUNDUP((1-MIN(TblMili[[#This Row],[Smithies]]*smithy_bonus,smithy_bonus_cap) + tech_3_5*TblTech[[#This Row],[3-5]] + tech_5_3*TblTech[[#This Row],[5-3]] + tech_5_5*TblTech[[#This Row],[5-5]])*spec_dp_plat,0)</f>
        <v>192</v>
      </c>
      <c r="BL124" s="97">
        <f ca="1">ROUNDUP(IF(race="Gnome",1,(1-MIN(TblMili[[#This Row],[Smithies]]*smithy_bonus,smithy_bonus_cap) + tech_3_5*TblTech[[#This Row],[3-5]] + tech_5_3*TblTech[[#This Row],[5-3]] + tech_5_5*TblTech[[#This Row],[5-5]]))*spec_dp_ore,0)</f>
        <v>0</v>
      </c>
      <c r="BM124" s="97">
        <f ca="1">ROUNDUP((1-MIN(TblMili[[#This Row],[Smithies]]*smithy_bonus,smithy_bonus_cap) + tech_3_5*TblTech[[#This Row],[3-5]] + tech_5_3*TblTech[[#This Row],[5-3]] + tech_5_5*TblTech[[#This Row],[5-5]])*elite1_plat,0)</f>
        <v>592</v>
      </c>
      <c r="BN124" s="97">
        <f ca="1">ROUNDUP(IF(race="Gnome",1,(1-MIN(TblMili[[#This Row],[Smithies]]*smithy_bonus,smithy_bonus_cap) + tech_3_5*TblTech[[#This Row],[3-5]] + tech_5_3*TblTech[[#This Row],[5-3]] + tech_5_5*TblTech[[#This Row],[5-5]]))*elite1_ore,0)</f>
        <v>0</v>
      </c>
      <c r="BO124" s="97">
        <f ca="1">ROUNDUP((1-MIN(TblMili[[#This Row],[Smithies]]*smithy_bonus,smithy_bonus_cap) + tech_3_5*TblTech[[#This Row],[3-5]] + tech_5_3*TblTech[[#This Row],[5-3]] + tech_5_5*TblTech[[#This Row],[5-5]])*elite2_plat,0)</f>
        <v>608</v>
      </c>
      <c r="BP124" s="97">
        <f ca="1">ROUNDUP(IF(race="Gnome",1,(1-MIN(TblMili[[#This Row],[Smithies]]*smithy_bonus,smithy_bonus_cap) + tech_3_5*TblTech[[#This Row],[3-5]] + tech_5_3*TblTech[[#This Row],[5-3]] + tech_5_5*TblTech[[#This Row],[5-5]]))*elite2_ore,0)</f>
        <v>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5.7142857142857141E-2</v>
      </c>
      <c r="BW124" s="160">
        <f ca="1">TblMili[[#This Row],[WG''s]]</f>
        <v>0</v>
      </c>
      <c r="BX124" s="266">
        <f ca="1">IF(mystic_cap="none",TblMili[[#This Row],[Hill]]/mystic_bonus,MIN(mystic_cap,TblMili[[#This Row],[Hill]]/mystic_bonus))</f>
        <v>0.2857142857142857</v>
      </c>
      <c r="BY124" s="266">
        <f ca="1">IF(druid_op_cap="none",TblMili[[#This Row],[Hill]]/druid_op_bonus,MIN(druid_op_cap,TblMili[[#This Row],[Hill]]/druid_op_bonus))</f>
        <v>0.2857142857142857</v>
      </c>
      <c r="BZ124" s="266">
        <f ca="1">IF(druid_dp_cap="none",TblMili[[#This Row],[Hill]]/druid_dp_bonus,MIN(druid_dp_cap,TblMili[[#This Row],[Hill]]/druid_dp_bonus))</f>
        <v>0.2857142857142857</v>
      </c>
      <c r="CA124" s="266">
        <f ca="1">MIN(dryad_cap,TblMili[[#This Row],[Hill]]/dryad_bonus)</f>
        <v>0.2857142857142857</v>
      </c>
      <c r="CB124" s="266">
        <f ca="1">MIN(rocka_cap,TblMili[[#This Row],[Hill]]/rocka_bonus)</f>
        <v>0.2857142857142857</v>
      </c>
      <c r="CC124" s="266">
        <f ca="1">MIN(adept_op_cap,TblMili[[#This Row],[WG]]/adept_op_bonus)</f>
        <v>0</v>
      </c>
      <c r="CD124" s="266">
        <f ca="1">MIN(adept_dp_cap,TblMili[[#This Row],[WG]]/adept_dp_bonus)</f>
        <v>0</v>
      </c>
      <c r="CE124" s="97">
        <f ca="1">MIN(TblMili[[#This Row],[Unit 3]],TblMili[[#This Row],[Unit 2]])*2</f>
        <v>1400</v>
      </c>
      <c r="CF124" s="97">
        <f ca="1">MIN(TblMili[[#This Row],[Unit 1]],TblMili[[#This Row],[Unit 4]])*2</f>
        <v>0</v>
      </c>
      <c r="CG124" s="266">
        <f ca="1">MIN(frost_mage_cap,TblMili[[#This Row],[Hill]]/frost_mage_bonus)</f>
        <v>0.2857142857142857</v>
      </c>
      <c r="CH124" s="45">
        <f ca="1">MIN(ice_elem_cap,TblMili[[#This Row],[Raw (2)]]*ice_elem_bonus)</f>
        <v>3.5714285714285712E-2</v>
      </c>
      <c r="CI124" s="266">
        <f t="shared" si="4"/>
        <v>0.83333333333333337</v>
      </c>
      <c r="CJ124" s="266">
        <f ca="1">MIN(nox_nightshade_cap,TblConstr[[#This Row],[Homeland]]/TblConstr[[#This Row],[Land]]/nox_nightshade_swamp_bonus)</f>
        <v>0.5714285714285714</v>
      </c>
      <c r="CK124" s="267"/>
      <c r="CL124" s="267"/>
      <c r="CM124" s="267"/>
      <c r="CN124" s="266">
        <f ca="1">MIN(6,TblMili[[#This Row],[Mystic]]+Races!$F$19)*1.8 +  IF(TblMili[[#This Row],[Mystic]]+Races!$F$19&gt;6,(TblMili[[#This Row],[Mystic]]+Races!$F$19-6)*0.2,0) - Races!$I$19</f>
        <v>0.51428571428571423</v>
      </c>
      <c r="CO12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4" s="97">
        <f ca="1">TblMili[[#This Row],[Mystic bonus]]*TblMili[[#This Row],[Unit 3]]+TblMili[[#This Row],[Druid bonus]]*TblMili[[#This Row],[Unit 4]]</f>
        <v>1149.4285714285706</v>
      </c>
      <c r="CQ124" s="158">
        <f ca="1">MIN(6,TblMili[[#This Row],[Dryad]]+Races!$F$35)*1.8 +  IF(TblMili[[#This Row],[Dryad]]+Races!$F$35&gt;6,(TblMili[[#This Row],[Dryad]]+Races!$F$35-6)*0.2,0) - Races!$I$19</f>
        <v>-1.2857142857142856</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2.7642857142857133</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0.51428571428571423</v>
      </c>
      <c r="CX124" s="158">
        <f ca="1">1.8 * MIN(MAX(TblMili[[#This Row],[Ice Elemental]]+Races!$E$71,Races!$F$71),6)  +  0.45 * MIN(MIN(TblMili[[#This Row],[Ice Elemental]]+Races!$E$71,Races!$F$71),6)  +  0.2 * ( MAX(TblMili[[#This Row],[Ice Elemental]]+Races!$E$71-6,0) + MAX(Races!$F$71-6,0) )  -  Races!$I$71</f>
        <v>6.4285714285714946E-2</v>
      </c>
      <c r="CY124" s="97">
        <f ca="1">TblMili[[#This Row],[Frost Mage bonus]]*TblMili[[#This Row],[Unit 3]]+TblMili[[#This Row],[Ice Elemental bonus]]*TblMili[[#This Row],[Unit 4]]</f>
        <v>438.94285714285786</v>
      </c>
      <c r="CZ124" s="268"/>
      <c r="DA124" s="146">
        <f ca="1">MIN(SUM(TblConstr[[#This Row],[Plain]:[Water]])/TblMili[[#This Row],[Land]]/favorable_terrain_bonus/100,favorable_terrain_max)</f>
        <v>0</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4" s="145"/>
      <c r="DE124" s="269">
        <f ca="1">(TblMili[[#This Row],[Wizards]]+2*TblMili[[#This Row],[Archmages]])/TblConstr[[#This Row],[Land]]</f>
        <v>3.5714285714285712E-2</v>
      </c>
      <c r="DF124" s="269">
        <f ca="1">TblMili[[#This Row],[Raw (2)]]*(1+race_wizard_strength+IF(TblMili[[#This Row],[Hour]]&gt;72,tech_magical_weaponry_wiz*TblTech[[#This Row],[3-5]],0))</f>
        <v>3.5714285714285712E-2</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6819</v>
      </c>
      <c r="C125" s="160">
        <f ca="1">TblPop[[#This Row],[Military%]]</f>
        <v>0.52701136100162305</v>
      </c>
      <c r="D125" s="145"/>
      <c r="E125" s="45">
        <f ca="1">OFFSET(TblMili[[#This Row],[Unit 1]],-1,0) + OFFSET(TblMili[[#This Row],[Train Unit 1]],-9,0) - TblMili[[#This Row],[Release Unit 1]]</f>
        <v>0</v>
      </c>
      <c r="F125" s="45">
        <f ca="1">OFFSET(TblMili[[#This Row],[Unit 2]],-1,0) + OFFSET(TblMili[[#This Row],[Train Unit 2]],-9,0)-TblMili[[#This Row],[Release Unit 2]]</f>
        <v>1246</v>
      </c>
      <c r="G125" s="45">
        <f ca="1">OFFSET(TblMili[[#This Row],[Unit 3]],-1,0) + OFFSET(TblMili[[#This Row],[Train Unit 3]],-12,0)-TblMili[[#This Row],[Release Unit 3]]</f>
        <v>700</v>
      </c>
      <c r="H125" s="45">
        <f ca="1">OFFSET(TblMili[[#This Row],[Unit 4]],-1,0) + OFFSET(TblMili[[#This Row],[Train Unit 4]],-12,0)-TblMili[[#This Row],[Release Unit 4]]</f>
        <v>1228</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42359.8</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6140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6293.4999999999991</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5" s="262">
        <f ca="1">TblMili[[#This Row],[Non Draft]]+TblMili[[#This Row],[Draftees]]</f>
        <v>14167</v>
      </c>
      <c r="U125" s="263">
        <f ca="1">race_defense + TblImps[[#This Row],[Walls]] + ROUND( MIN(gt_bonus*TblConstr[[#This Row],[Tot GT]]/TblConstr[[#This Row],[Land]],gt_bonus_cap), 4) + IF(TblMagic[[#This Row],[Active Howling]]&gt;0,howling_dp_bonus,IF(TblMagic[[#This Row],[Active Ares Call]]&gt;0,ares_call_bonus))</f>
        <v>0.13750000000000001</v>
      </c>
      <c r="V125" s="264">
        <f ca="1">TblMili[[#This Row],[Non Draft]] * (1 + TblMili[[#This Row],[Mods_Def]])</f>
        <v>12025.65</v>
      </c>
      <c r="W125" s="262">
        <f ca="1">TblMili[[#This Row],[Draft]] * (1 + TblMili[[#This Row],[Mods_Def]])</f>
        <v>16114.9625</v>
      </c>
      <c r="X125" s="262">
        <f ca="1">TblConstr[[#This Row],[Land]]</f>
        <v>700</v>
      </c>
      <c r="Y125" s="265"/>
      <c r="Z125" s="270">
        <f ca="1">IF(TblMili[[#This Row],[Set]]&lt;&gt;"",TblMili[[#This Row],[Set]],OFFSET(TblMili[[#This Row],[Draftrate]],-1,0))</f>
        <v>0.9</v>
      </c>
      <c r="AA125" s="97">
        <f ca="1">OFFSET(TblMili[[#This Row],[Draftees]],-1,0)+OFFSET(TblPop[[#This Row],[Draft Growth]],-1,0) - SUM(TblMili[[#This Row],[Train Unit 1]:[Train Spies]],TblMili[[#This Row],[Train Wiz]]) - TblMili[[#This Row],[Release Draft]] + SUM(TblMili[[#This Row],[Release Unit 1]:[Release AM]]) - TblExplore[[#This Row],[Draftees (2)]]</f>
        <v>3595</v>
      </c>
      <c r="AB125" s="157"/>
      <c r="AC125" s="183">
        <f ca="1">(TblConstr[[#This Row],[Tot Smi]]+TblConstr[[#This Row],[Dest Smi]])/(TblConstr[[#This Row],[Land]]-TblExplore[[#This Row],[Land Bonus]]*20)</f>
        <v>0.18</v>
      </c>
      <c r="AD125" s="140"/>
      <c r="AE125" s="261">
        <f>TblMili[[#This Row],[Hour]]</f>
        <v>122</v>
      </c>
      <c r="AF125" s="141">
        <f ca="1">TblExplore[[#This Row],[Time]]</f>
        <v>45434.791666666373</v>
      </c>
      <c r="AG125" s="161"/>
      <c r="AH125" s="182"/>
      <c r="AI125" s="161"/>
      <c r="AJ125" s="182"/>
      <c r="AK125" s="182"/>
      <c r="AL125" s="182"/>
      <c r="AM125" s="182"/>
      <c r="AN125" s="182"/>
      <c r="AO125" s="145"/>
      <c r="AP125" s="97">
        <f ca="1">TblProd[[#This Row],[Platinum]]</f>
        <v>1892341</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45434.791666666373</v>
      </c>
      <c r="AV125" s="97">
        <f ca="1">TblMili[[#This Row],[Draftees]]</f>
        <v>3595</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192</v>
      </c>
      <c r="BJ125" s="97">
        <f ca="1">ROUNDUP(IF(race="Gnome",1,(1-MIN(TblMili[[#This Row],[Smithies]]*smithy_bonus,smithy_bonus_cap) + tech_3_5*TblTech[[#This Row],[3-5]] + tech_5_3*TblTech[[#This Row],[5-3]] + tech_5_5*TblTech[[#This Row],[5-5]]))*spec_op_ore,0)</f>
        <v>0</v>
      </c>
      <c r="BK125" s="97">
        <f ca="1">ROUNDUP((1-MIN(TblMili[[#This Row],[Smithies]]*smithy_bonus,smithy_bonus_cap) + tech_3_5*TblTech[[#This Row],[3-5]] + tech_5_3*TblTech[[#This Row],[5-3]] + tech_5_5*TblTech[[#This Row],[5-5]])*spec_dp_plat,0)</f>
        <v>192</v>
      </c>
      <c r="BL125" s="97">
        <f ca="1">ROUNDUP(IF(race="Gnome",1,(1-MIN(TblMili[[#This Row],[Smithies]]*smithy_bonus,smithy_bonus_cap) + tech_3_5*TblTech[[#This Row],[3-5]] + tech_5_3*TblTech[[#This Row],[5-3]] + tech_5_5*TblTech[[#This Row],[5-5]]))*spec_dp_ore,0)</f>
        <v>0</v>
      </c>
      <c r="BM125" s="97">
        <f ca="1">ROUNDUP((1-MIN(TblMili[[#This Row],[Smithies]]*smithy_bonus,smithy_bonus_cap) + tech_3_5*TblTech[[#This Row],[3-5]] + tech_5_3*TblTech[[#This Row],[5-3]] + tech_5_5*TblTech[[#This Row],[5-5]])*elite1_plat,0)</f>
        <v>592</v>
      </c>
      <c r="BN125" s="97">
        <f ca="1">ROUNDUP(IF(race="Gnome",1,(1-MIN(TblMili[[#This Row],[Smithies]]*smithy_bonus,smithy_bonus_cap) + tech_3_5*TblTech[[#This Row],[3-5]] + tech_5_3*TblTech[[#This Row],[5-3]] + tech_5_5*TblTech[[#This Row],[5-5]]))*elite1_ore,0)</f>
        <v>0</v>
      </c>
      <c r="BO125" s="97">
        <f ca="1">ROUNDUP((1-MIN(TblMili[[#This Row],[Smithies]]*smithy_bonus,smithy_bonus_cap) + tech_3_5*TblTech[[#This Row],[3-5]] + tech_5_3*TblTech[[#This Row],[5-3]] + tech_5_5*TblTech[[#This Row],[5-5]])*elite2_plat,0)</f>
        <v>608</v>
      </c>
      <c r="BP125" s="97">
        <f ca="1">ROUNDUP(IF(race="Gnome",1,(1-MIN(TblMili[[#This Row],[Smithies]]*smithy_bonus,smithy_bonus_cap) + tech_3_5*TblTech[[#This Row],[3-5]] + tech_5_3*TblTech[[#This Row],[5-3]] + tech_5_5*TblTech[[#This Row],[5-5]]))*elite2_ore,0)</f>
        <v>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5.7142857142857141E-2</v>
      </c>
      <c r="BW125" s="160">
        <f ca="1">TblMili[[#This Row],[WG''s]]</f>
        <v>0</v>
      </c>
      <c r="BX125" s="266">
        <f ca="1">IF(mystic_cap="none",TblMili[[#This Row],[Hill]]/mystic_bonus,MIN(mystic_cap,TblMili[[#This Row],[Hill]]/mystic_bonus))</f>
        <v>0.2857142857142857</v>
      </c>
      <c r="BY125" s="266">
        <f ca="1">IF(druid_op_cap="none",TblMili[[#This Row],[Hill]]/druid_op_bonus,MIN(druid_op_cap,TblMili[[#This Row],[Hill]]/druid_op_bonus))</f>
        <v>0.2857142857142857</v>
      </c>
      <c r="BZ125" s="266">
        <f ca="1">IF(druid_dp_cap="none",TblMili[[#This Row],[Hill]]/druid_dp_bonus,MIN(druid_dp_cap,TblMili[[#This Row],[Hill]]/druid_dp_bonus))</f>
        <v>0.2857142857142857</v>
      </c>
      <c r="CA125" s="266">
        <f ca="1">MIN(dryad_cap,TblMili[[#This Row],[Hill]]/dryad_bonus)</f>
        <v>0.2857142857142857</v>
      </c>
      <c r="CB125" s="266">
        <f ca="1">MIN(rocka_cap,TblMili[[#This Row],[Hill]]/rocka_bonus)</f>
        <v>0.2857142857142857</v>
      </c>
      <c r="CC125" s="266">
        <f ca="1">MIN(adept_op_cap,TblMili[[#This Row],[WG]]/adept_op_bonus)</f>
        <v>0</v>
      </c>
      <c r="CD125" s="266">
        <f ca="1">MIN(adept_dp_cap,TblMili[[#This Row],[WG]]/adept_dp_bonus)</f>
        <v>0</v>
      </c>
      <c r="CE125" s="97">
        <f ca="1">MIN(TblMili[[#This Row],[Unit 3]],TblMili[[#This Row],[Unit 2]])*2</f>
        <v>1400</v>
      </c>
      <c r="CF125" s="97">
        <f ca="1">MIN(TblMili[[#This Row],[Unit 1]],TblMili[[#This Row],[Unit 4]])*2</f>
        <v>0</v>
      </c>
      <c r="CG125" s="266">
        <f ca="1">MIN(frost_mage_cap,TblMili[[#This Row],[Hill]]/frost_mage_bonus)</f>
        <v>0.2857142857142857</v>
      </c>
      <c r="CH125" s="45">
        <f ca="1">MIN(ice_elem_cap,TblMili[[#This Row],[Raw (2)]]*ice_elem_bonus)</f>
        <v>3.5714285714285712E-2</v>
      </c>
      <c r="CI125" s="266">
        <f t="shared" si="4"/>
        <v>0.83333333333333337</v>
      </c>
      <c r="CJ125" s="266">
        <f ca="1">MIN(nox_nightshade_cap,TblConstr[[#This Row],[Homeland]]/TblConstr[[#This Row],[Land]]/nox_nightshade_swamp_bonus)</f>
        <v>0.5714285714285714</v>
      </c>
      <c r="CK125" s="267"/>
      <c r="CL125" s="267"/>
      <c r="CM125" s="267"/>
      <c r="CN125" s="266">
        <f ca="1">MIN(6,TblMili[[#This Row],[Mystic]]+Races!$F$19)*1.8 +  IF(TblMili[[#This Row],[Mystic]]+Races!$F$19&gt;6,(TblMili[[#This Row],[Mystic]]+Races!$F$19-6)*0.2,0) - Races!$I$19</f>
        <v>0.51428571428571423</v>
      </c>
      <c r="CO12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5" s="97">
        <f ca="1">TblMili[[#This Row],[Mystic bonus]]*TblMili[[#This Row],[Unit 3]]+TblMili[[#This Row],[Druid bonus]]*TblMili[[#This Row],[Unit 4]]</f>
        <v>1149.4285714285706</v>
      </c>
      <c r="CQ125" s="158">
        <f ca="1">MIN(6,TblMili[[#This Row],[Dryad]]+Races!$F$35)*1.8 +  IF(TblMili[[#This Row],[Dryad]]+Races!$F$35&gt;6,(TblMili[[#This Row],[Dryad]]+Races!$F$35-6)*0.2,0) - Races!$I$19</f>
        <v>-1.2857142857142856</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2.7642857142857133</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0.51428571428571423</v>
      </c>
      <c r="CX125" s="158">
        <f ca="1">1.8 * MIN(MAX(TblMili[[#This Row],[Ice Elemental]]+Races!$E$71,Races!$F$71),6)  +  0.45 * MIN(MIN(TblMili[[#This Row],[Ice Elemental]]+Races!$E$71,Races!$F$71),6)  +  0.2 * ( MAX(TblMili[[#This Row],[Ice Elemental]]+Races!$E$71-6,0) + MAX(Races!$F$71-6,0) )  -  Races!$I$71</f>
        <v>6.4285714285714946E-2</v>
      </c>
      <c r="CY125" s="97">
        <f ca="1">TblMili[[#This Row],[Frost Mage bonus]]*TblMili[[#This Row],[Unit 3]]+TblMili[[#This Row],[Ice Elemental bonus]]*TblMili[[#This Row],[Unit 4]]</f>
        <v>438.94285714285786</v>
      </c>
      <c r="CZ125" s="268"/>
      <c r="DA125" s="146">
        <f ca="1">MIN(SUM(TblConstr[[#This Row],[Plain]:[Water]])/TblMili[[#This Row],[Land]]/favorable_terrain_bonus/100,favorable_terrain_max)</f>
        <v>0</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5" s="145"/>
      <c r="DE125" s="269">
        <f ca="1">(TblMili[[#This Row],[Wizards]]+2*TblMili[[#This Row],[Archmages]])/TblConstr[[#This Row],[Land]]</f>
        <v>3.5714285714285712E-2</v>
      </c>
      <c r="DF125" s="269">
        <f ca="1">TblMili[[#This Row],[Raw (2)]]*(1+race_wizard_strength+IF(TblMili[[#This Row],[Hour]]&gt;72,tech_magical_weaponry_wiz*TblTech[[#This Row],[3-5]],0))</f>
        <v>3.5714285714285712E-2</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6880</v>
      </c>
      <c r="C126" s="160">
        <f ca="1">TblPop[[#This Row],[Military%]]</f>
        <v>0.53172579024654143</v>
      </c>
      <c r="D126" s="145"/>
      <c r="E126" s="45">
        <f ca="1">OFFSET(TblMili[[#This Row],[Unit 1]],-1,0) + OFFSET(TblMili[[#This Row],[Train Unit 1]],-9,0) - TblMili[[#This Row],[Release Unit 1]]</f>
        <v>0</v>
      </c>
      <c r="F126" s="45">
        <f ca="1">OFFSET(TblMili[[#This Row],[Unit 2]],-1,0) + OFFSET(TblMili[[#This Row],[Train Unit 2]],-9,0)-TblMili[[#This Row],[Release Unit 2]]</f>
        <v>1246</v>
      </c>
      <c r="G126" s="45">
        <f ca="1">OFFSET(TblMili[[#This Row],[Unit 3]],-1,0) + OFFSET(TblMili[[#This Row],[Train Unit 3]],-12,0)-TblMili[[#This Row],[Release Unit 3]]</f>
        <v>700</v>
      </c>
      <c r="H126" s="45">
        <f ca="1">OFFSET(TblMili[[#This Row],[Unit 4]],-1,0) + OFFSET(TblMili[[#This Row],[Train Unit 4]],-12,0)-TblMili[[#This Row],[Release Unit 4]]</f>
        <v>1228</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42359.8</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6140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6293.4999999999991</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6" s="262">
        <f ca="1">TblMili[[#This Row],[Non Draft]]+TblMili[[#This Row],[Draftees]]</f>
        <v>14228</v>
      </c>
      <c r="U126" s="263">
        <f ca="1">race_defense + TblImps[[#This Row],[Walls]] + ROUND( MIN(gt_bonus*TblConstr[[#This Row],[Tot GT]]/TblConstr[[#This Row],[Land]],gt_bonus_cap), 4) + IF(TblMagic[[#This Row],[Active Howling]]&gt;0,howling_dp_bonus,IF(TblMagic[[#This Row],[Active Ares Call]]&gt;0,ares_call_bonus))</f>
        <v>0.13750000000000001</v>
      </c>
      <c r="V126" s="264">
        <f ca="1">TblMili[[#This Row],[Non Draft]] * (1 + TblMili[[#This Row],[Mods_Def]])</f>
        <v>12025.65</v>
      </c>
      <c r="W126" s="262">
        <f ca="1">TblMili[[#This Row],[Draft]] * (1 + TblMili[[#This Row],[Mods_Def]])</f>
        <v>16184.349999999999</v>
      </c>
      <c r="X126" s="262">
        <f ca="1">TblConstr[[#This Row],[Land]]</f>
        <v>700</v>
      </c>
      <c r="Y126" s="265"/>
      <c r="Z126" s="270">
        <f ca="1">IF(TblMili[[#This Row],[Set]]&lt;&gt;"",TblMili[[#This Row],[Set]],OFFSET(TblMili[[#This Row],[Draftrate]],-1,0))</f>
        <v>0.9</v>
      </c>
      <c r="AA126" s="97">
        <f ca="1">OFFSET(TblMili[[#This Row],[Draftees]],-1,0)+OFFSET(TblPop[[#This Row],[Draft Growth]],-1,0) - SUM(TblMili[[#This Row],[Train Unit 1]:[Train Spies]],TblMili[[#This Row],[Train Wiz]]) - TblMili[[#This Row],[Release Draft]] + SUM(TblMili[[#This Row],[Release Unit 1]:[Release AM]]) - TblExplore[[#This Row],[Draftees (2)]]</f>
        <v>3656</v>
      </c>
      <c r="AB126" s="157"/>
      <c r="AC126" s="183">
        <f ca="1">(TblConstr[[#This Row],[Tot Smi]]+TblConstr[[#This Row],[Dest Smi]])/(TblConstr[[#This Row],[Land]]-TblExplore[[#This Row],[Land Bonus]]*20)</f>
        <v>0.18</v>
      </c>
      <c r="AD126" s="140"/>
      <c r="AE126" s="261">
        <f>TblMili[[#This Row],[Hour]]</f>
        <v>123</v>
      </c>
      <c r="AF126" s="141">
        <f ca="1">TblExplore[[#This Row],[Time]]</f>
        <v>45434.833333333037</v>
      </c>
      <c r="AG126" s="182"/>
      <c r="AH126" s="182"/>
      <c r="AI126" s="182"/>
      <c r="AJ126" s="182"/>
      <c r="AK126" s="182"/>
      <c r="AL126" s="182"/>
      <c r="AM126" s="182"/>
      <c r="AN126" s="182"/>
      <c r="AO126" s="145"/>
      <c r="AP126" s="97">
        <f ca="1">TblProd[[#This Row],[Platinum]]</f>
        <v>1921240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45434.833333333037</v>
      </c>
      <c r="AV126" s="97">
        <f ca="1">TblMili[[#This Row],[Draftees]]</f>
        <v>3656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192</v>
      </c>
      <c r="BJ126" s="97">
        <f ca="1">ROUNDUP(IF(race="Gnome",1,(1-MIN(TblMili[[#This Row],[Smithies]]*smithy_bonus,smithy_bonus_cap) + tech_3_5*TblTech[[#This Row],[3-5]] + tech_5_3*TblTech[[#This Row],[5-3]] + tech_5_5*TblTech[[#This Row],[5-5]]))*spec_op_ore,0)</f>
        <v>0</v>
      </c>
      <c r="BK126" s="97">
        <f ca="1">ROUNDUP((1-MIN(TblMili[[#This Row],[Smithies]]*smithy_bonus,smithy_bonus_cap) + tech_3_5*TblTech[[#This Row],[3-5]] + tech_5_3*TblTech[[#This Row],[5-3]] + tech_5_5*TblTech[[#This Row],[5-5]])*spec_dp_plat,0)</f>
        <v>192</v>
      </c>
      <c r="BL126" s="97">
        <f ca="1">ROUNDUP(IF(race="Gnome",1,(1-MIN(TblMili[[#This Row],[Smithies]]*smithy_bonus,smithy_bonus_cap) + tech_3_5*TblTech[[#This Row],[3-5]] + tech_5_3*TblTech[[#This Row],[5-3]] + tech_5_5*TblTech[[#This Row],[5-5]]))*spec_dp_ore,0)</f>
        <v>0</v>
      </c>
      <c r="BM126" s="97">
        <f ca="1">ROUNDUP((1-MIN(TblMili[[#This Row],[Smithies]]*smithy_bonus,smithy_bonus_cap) + tech_3_5*TblTech[[#This Row],[3-5]] + tech_5_3*TblTech[[#This Row],[5-3]] + tech_5_5*TblTech[[#This Row],[5-5]])*elite1_plat,0)</f>
        <v>592</v>
      </c>
      <c r="BN126" s="97">
        <f ca="1">ROUNDUP(IF(race="Gnome",1,(1-MIN(TblMili[[#This Row],[Smithies]]*smithy_bonus,smithy_bonus_cap) + tech_3_5*TblTech[[#This Row],[3-5]] + tech_5_3*TblTech[[#This Row],[5-3]] + tech_5_5*TblTech[[#This Row],[5-5]]))*elite1_ore,0)</f>
        <v>0</v>
      </c>
      <c r="BO126" s="97">
        <f ca="1">ROUNDUP((1-MIN(TblMili[[#This Row],[Smithies]]*smithy_bonus,smithy_bonus_cap) + tech_3_5*TblTech[[#This Row],[3-5]] + tech_5_3*TblTech[[#This Row],[5-3]] + tech_5_5*TblTech[[#This Row],[5-5]])*elite2_plat,0)</f>
        <v>608</v>
      </c>
      <c r="BP126" s="97">
        <f ca="1">ROUNDUP(IF(race="Gnome",1,(1-MIN(TblMili[[#This Row],[Smithies]]*smithy_bonus,smithy_bonus_cap) + tech_3_5*TblTech[[#This Row],[3-5]] + tech_5_3*TblTech[[#This Row],[5-3]] + tech_5_5*TblTech[[#This Row],[5-5]]))*elite2_ore,0)</f>
        <v>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5.7142857142857141E-2</v>
      </c>
      <c r="BW126" s="160">
        <f ca="1">TblMili[[#This Row],[WG''s]]</f>
        <v>0</v>
      </c>
      <c r="BX126" s="266">
        <f ca="1">IF(mystic_cap="none",TblMili[[#This Row],[Hill]]/mystic_bonus,MIN(mystic_cap,TblMili[[#This Row],[Hill]]/mystic_bonus))</f>
        <v>0.2857142857142857</v>
      </c>
      <c r="BY126" s="266">
        <f ca="1">IF(druid_op_cap="none",TblMili[[#This Row],[Hill]]/druid_op_bonus,MIN(druid_op_cap,TblMili[[#This Row],[Hill]]/druid_op_bonus))</f>
        <v>0.2857142857142857</v>
      </c>
      <c r="BZ126" s="266">
        <f ca="1">IF(druid_dp_cap="none",TblMili[[#This Row],[Hill]]/druid_dp_bonus,MIN(druid_dp_cap,TblMili[[#This Row],[Hill]]/druid_dp_bonus))</f>
        <v>0.2857142857142857</v>
      </c>
      <c r="CA126" s="266">
        <f ca="1">MIN(dryad_cap,TblMili[[#This Row],[Hill]]/dryad_bonus)</f>
        <v>0.2857142857142857</v>
      </c>
      <c r="CB126" s="266">
        <f ca="1">MIN(rocka_cap,TblMili[[#This Row],[Hill]]/rocka_bonus)</f>
        <v>0.2857142857142857</v>
      </c>
      <c r="CC126" s="266">
        <f ca="1">MIN(adept_op_cap,TblMili[[#This Row],[WG]]/adept_op_bonus)</f>
        <v>0</v>
      </c>
      <c r="CD126" s="266">
        <f ca="1">MIN(adept_dp_cap,TblMili[[#This Row],[WG]]/adept_dp_bonus)</f>
        <v>0</v>
      </c>
      <c r="CE126" s="97">
        <f ca="1">MIN(TblMili[[#This Row],[Unit 3]],TblMili[[#This Row],[Unit 2]])*2</f>
        <v>1400</v>
      </c>
      <c r="CF126" s="97">
        <f ca="1">MIN(TblMili[[#This Row],[Unit 1]],TblMili[[#This Row],[Unit 4]])*2</f>
        <v>0</v>
      </c>
      <c r="CG126" s="266">
        <f ca="1">MIN(frost_mage_cap,TblMili[[#This Row],[Hill]]/frost_mage_bonus)</f>
        <v>0.2857142857142857</v>
      </c>
      <c r="CH126" s="45">
        <f ca="1">MIN(ice_elem_cap,TblMili[[#This Row],[Raw (2)]]*ice_elem_bonus)</f>
        <v>3.5714285714285712E-2</v>
      </c>
      <c r="CI126" s="266">
        <f t="shared" si="4"/>
        <v>0.83333333333333337</v>
      </c>
      <c r="CJ126" s="266">
        <f ca="1">MIN(nox_nightshade_cap,TblConstr[[#This Row],[Homeland]]/TblConstr[[#This Row],[Land]]/nox_nightshade_swamp_bonus)</f>
        <v>0.5714285714285714</v>
      </c>
      <c r="CK126" s="267"/>
      <c r="CL126" s="267"/>
      <c r="CM126" s="267"/>
      <c r="CN126" s="266">
        <f ca="1">MIN(6,TblMili[[#This Row],[Mystic]]+Races!$F$19)*1.8 +  IF(TblMili[[#This Row],[Mystic]]+Races!$F$19&gt;6,(TblMili[[#This Row],[Mystic]]+Races!$F$19-6)*0.2,0) - Races!$I$19</f>
        <v>0.51428571428571423</v>
      </c>
      <c r="CO12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6" s="97">
        <f ca="1">TblMili[[#This Row],[Mystic bonus]]*TblMili[[#This Row],[Unit 3]]+TblMili[[#This Row],[Druid bonus]]*TblMili[[#This Row],[Unit 4]]</f>
        <v>1149.4285714285706</v>
      </c>
      <c r="CQ126" s="158">
        <f ca="1">MIN(6,TblMili[[#This Row],[Dryad]]+Races!$F$35)*1.8 +  IF(TblMili[[#This Row],[Dryad]]+Races!$F$35&gt;6,(TblMili[[#This Row],[Dryad]]+Races!$F$35-6)*0.2,0) - Races!$I$19</f>
        <v>-1.2857142857142856</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2.7642857142857133</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0.51428571428571423</v>
      </c>
      <c r="CX126" s="158">
        <f ca="1">1.8 * MIN(MAX(TblMili[[#This Row],[Ice Elemental]]+Races!$E$71,Races!$F$71),6)  +  0.45 * MIN(MIN(TblMili[[#This Row],[Ice Elemental]]+Races!$E$71,Races!$F$71),6)  +  0.2 * ( MAX(TblMili[[#This Row],[Ice Elemental]]+Races!$E$71-6,0) + MAX(Races!$F$71-6,0) )  -  Races!$I$71</f>
        <v>6.4285714285714946E-2</v>
      </c>
      <c r="CY126" s="97">
        <f ca="1">TblMili[[#This Row],[Frost Mage bonus]]*TblMili[[#This Row],[Unit 3]]+TblMili[[#This Row],[Ice Elemental bonus]]*TblMili[[#This Row],[Unit 4]]</f>
        <v>438.94285714285786</v>
      </c>
      <c r="CZ126" s="268"/>
      <c r="DA126" s="146">
        <f ca="1">MIN(SUM(TblConstr[[#This Row],[Plain]:[Water]])/TblMili[[#This Row],[Land]]/favorable_terrain_bonus/100,favorable_terrain_max)</f>
        <v>0</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6" s="145"/>
      <c r="DE126" s="269">
        <f ca="1">(TblMili[[#This Row],[Wizards]]+2*TblMili[[#This Row],[Archmages]])/TblConstr[[#This Row],[Land]]</f>
        <v>3.5714285714285712E-2</v>
      </c>
      <c r="DF126" s="269">
        <f ca="1">TblMili[[#This Row],[Raw (2)]]*(1+race_wizard_strength+IF(TblMili[[#This Row],[Hour]]&gt;72,tech_magical_weaponry_wiz*TblTech[[#This Row],[3-5]],0))</f>
        <v>3.5714285714285712E-2</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6941</v>
      </c>
      <c r="C127" s="160">
        <f ca="1">TblPop[[#This Row],[Military%]]</f>
        <v>0.53644021949145992</v>
      </c>
      <c r="D127" s="145"/>
      <c r="E127" s="45">
        <f ca="1">OFFSET(TblMili[[#This Row],[Unit 1]],-1,0) + OFFSET(TblMili[[#This Row],[Train Unit 1]],-9,0) - TblMili[[#This Row],[Release Unit 1]]</f>
        <v>0</v>
      </c>
      <c r="F127" s="45">
        <f ca="1">OFFSET(TblMili[[#This Row],[Unit 2]],-1,0) + OFFSET(TblMili[[#This Row],[Train Unit 2]],-9,0)-TblMili[[#This Row],[Release Unit 2]]</f>
        <v>1246</v>
      </c>
      <c r="G127" s="45">
        <f ca="1">OFFSET(TblMili[[#This Row],[Unit 3]],-1,0) + OFFSET(TblMili[[#This Row],[Train Unit 3]],-12,0)-TblMili[[#This Row],[Release Unit 3]]</f>
        <v>700</v>
      </c>
      <c r="H127" s="45">
        <f ca="1">OFFSET(TblMili[[#This Row],[Unit 4]],-1,0) + OFFSET(TblMili[[#This Row],[Train Unit 4]],-12,0)-TblMili[[#This Row],[Release Unit 4]]</f>
        <v>1228</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42359.8</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6140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6293.4999999999991</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7" s="262">
        <f ca="1">TblMili[[#This Row],[Non Draft]]+TblMili[[#This Row],[Draftees]]</f>
        <v>14289</v>
      </c>
      <c r="U127" s="263">
        <f ca="1">race_defense + TblImps[[#This Row],[Walls]] + ROUND( MIN(gt_bonus*TblConstr[[#This Row],[Tot GT]]/TblConstr[[#This Row],[Land]],gt_bonus_cap), 4) + IF(TblMagic[[#This Row],[Active Howling]]&gt;0,howling_dp_bonus,IF(TblMagic[[#This Row],[Active Ares Call]]&gt;0,ares_call_bonus))</f>
        <v>0.13750000000000001</v>
      </c>
      <c r="V127" s="264">
        <f ca="1">TblMili[[#This Row],[Non Draft]] * (1 + TblMili[[#This Row],[Mods_Def]])</f>
        <v>12025.65</v>
      </c>
      <c r="W127" s="262">
        <f ca="1">TblMili[[#This Row],[Draft]] * (1 + TblMili[[#This Row],[Mods_Def]])</f>
        <v>16253.737499999999</v>
      </c>
      <c r="X127" s="262">
        <f ca="1">TblConstr[[#This Row],[Land]]</f>
        <v>700</v>
      </c>
      <c r="Y127" s="265"/>
      <c r="Z127" s="270">
        <f ca="1">IF(TblMili[[#This Row],[Set]]&lt;&gt;"",TblMili[[#This Row],[Set]],OFFSET(TblMili[[#This Row],[Draftrate]],-1,0))</f>
        <v>0.9</v>
      </c>
      <c r="AA127" s="97">
        <f ca="1">OFFSET(TblMili[[#This Row],[Draftees]],-1,0)+OFFSET(TblPop[[#This Row],[Draft Growth]],-1,0) - SUM(TblMili[[#This Row],[Train Unit 1]:[Train Spies]],TblMili[[#This Row],[Train Wiz]]) - TblMili[[#This Row],[Release Draft]] + SUM(TblMili[[#This Row],[Release Unit 1]:[Release AM]]) - TblExplore[[#This Row],[Draftees (2)]]</f>
        <v>3717</v>
      </c>
      <c r="AB127" s="157"/>
      <c r="AC127" s="183">
        <f ca="1">(TblConstr[[#This Row],[Tot Smi]]+TblConstr[[#This Row],[Dest Smi]])/(TblConstr[[#This Row],[Land]]-TblExplore[[#This Row],[Land Bonus]]*20)</f>
        <v>0.18</v>
      </c>
      <c r="AD127" s="140"/>
      <c r="AE127" s="261">
        <f>TblMili[[#This Row],[Hour]]</f>
        <v>124</v>
      </c>
      <c r="AF127" s="141">
        <f ca="1">TblExplore[[#This Row],[Time]]</f>
        <v>45434.874999999702</v>
      </c>
      <c r="AG127" s="182"/>
      <c r="AH127" s="182"/>
      <c r="AI127" s="182"/>
      <c r="AJ127" s="182"/>
      <c r="AK127" s="182"/>
      <c r="AL127" s="182"/>
      <c r="AM127" s="182"/>
      <c r="AN127" s="182"/>
      <c r="AO127" s="145"/>
      <c r="AP127" s="97">
        <f ca="1">TblProd[[#This Row],[Platinum]]</f>
        <v>1949974</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45434.874999999702</v>
      </c>
      <c r="AV127" s="97">
        <f ca="1">TblMili[[#This Row],[Draftees]]</f>
        <v>3717</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192</v>
      </c>
      <c r="BJ127" s="97">
        <f ca="1">ROUNDUP(IF(race="Gnome",1,(1-MIN(TblMili[[#This Row],[Smithies]]*smithy_bonus,smithy_bonus_cap) + tech_3_5*TblTech[[#This Row],[3-5]] + tech_5_3*TblTech[[#This Row],[5-3]] + tech_5_5*TblTech[[#This Row],[5-5]]))*spec_op_ore,0)</f>
        <v>0</v>
      </c>
      <c r="BK127" s="97">
        <f ca="1">ROUNDUP((1-MIN(TblMili[[#This Row],[Smithies]]*smithy_bonus,smithy_bonus_cap) + tech_3_5*TblTech[[#This Row],[3-5]] + tech_5_3*TblTech[[#This Row],[5-3]] + tech_5_5*TblTech[[#This Row],[5-5]])*spec_dp_plat,0)</f>
        <v>192</v>
      </c>
      <c r="BL127" s="97">
        <f ca="1">ROUNDUP(IF(race="Gnome",1,(1-MIN(TblMili[[#This Row],[Smithies]]*smithy_bonus,smithy_bonus_cap) + tech_3_5*TblTech[[#This Row],[3-5]] + tech_5_3*TblTech[[#This Row],[5-3]] + tech_5_5*TblTech[[#This Row],[5-5]]))*spec_dp_ore,0)</f>
        <v>0</v>
      </c>
      <c r="BM127" s="97">
        <f ca="1">ROUNDUP((1-MIN(TblMili[[#This Row],[Smithies]]*smithy_bonus,smithy_bonus_cap) + tech_3_5*TblTech[[#This Row],[3-5]] + tech_5_3*TblTech[[#This Row],[5-3]] + tech_5_5*TblTech[[#This Row],[5-5]])*elite1_plat,0)</f>
        <v>592</v>
      </c>
      <c r="BN127" s="97">
        <f ca="1">ROUNDUP(IF(race="Gnome",1,(1-MIN(TblMili[[#This Row],[Smithies]]*smithy_bonus,smithy_bonus_cap) + tech_3_5*TblTech[[#This Row],[3-5]] + tech_5_3*TblTech[[#This Row],[5-3]] + tech_5_5*TblTech[[#This Row],[5-5]]))*elite1_ore,0)</f>
        <v>0</v>
      </c>
      <c r="BO127" s="97">
        <f ca="1">ROUNDUP((1-MIN(TblMili[[#This Row],[Smithies]]*smithy_bonus,smithy_bonus_cap) + tech_3_5*TblTech[[#This Row],[3-5]] + tech_5_3*TblTech[[#This Row],[5-3]] + tech_5_5*TblTech[[#This Row],[5-5]])*elite2_plat,0)</f>
        <v>608</v>
      </c>
      <c r="BP127" s="97">
        <f ca="1">ROUNDUP(IF(race="Gnome",1,(1-MIN(TblMili[[#This Row],[Smithies]]*smithy_bonus,smithy_bonus_cap) + tech_3_5*TblTech[[#This Row],[3-5]] + tech_5_3*TblTech[[#This Row],[5-3]] + tech_5_5*TblTech[[#This Row],[5-5]]))*elite2_ore,0)</f>
        <v>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5.7142857142857141E-2</v>
      </c>
      <c r="BW127" s="160">
        <f ca="1">TblMili[[#This Row],[WG''s]]</f>
        <v>0</v>
      </c>
      <c r="BX127" s="266">
        <f ca="1">IF(mystic_cap="none",TblMili[[#This Row],[Hill]]/mystic_bonus,MIN(mystic_cap,TblMili[[#This Row],[Hill]]/mystic_bonus))</f>
        <v>0.2857142857142857</v>
      </c>
      <c r="BY127" s="266">
        <f ca="1">IF(druid_op_cap="none",TblMili[[#This Row],[Hill]]/druid_op_bonus,MIN(druid_op_cap,TblMili[[#This Row],[Hill]]/druid_op_bonus))</f>
        <v>0.2857142857142857</v>
      </c>
      <c r="BZ127" s="266">
        <f ca="1">IF(druid_dp_cap="none",TblMili[[#This Row],[Hill]]/druid_dp_bonus,MIN(druid_dp_cap,TblMili[[#This Row],[Hill]]/druid_dp_bonus))</f>
        <v>0.2857142857142857</v>
      </c>
      <c r="CA127" s="266">
        <f ca="1">MIN(dryad_cap,TblMili[[#This Row],[Hill]]/dryad_bonus)</f>
        <v>0.2857142857142857</v>
      </c>
      <c r="CB127" s="266">
        <f ca="1">MIN(rocka_cap,TblMili[[#This Row],[Hill]]/rocka_bonus)</f>
        <v>0.2857142857142857</v>
      </c>
      <c r="CC127" s="266">
        <f ca="1">MIN(adept_op_cap,TblMili[[#This Row],[WG]]/adept_op_bonus)</f>
        <v>0</v>
      </c>
      <c r="CD127" s="266">
        <f ca="1">MIN(adept_dp_cap,TblMili[[#This Row],[WG]]/adept_dp_bonus)</f>
        <v>0</v>
      </c>
      <c r="CE127" s="97">
        <f ca="1">MIN(TblMili[[#This Row],[Unit 3]],TblMili[[#This Row],[Unit 2]])*2</f>
        <v>1400</v>
      </c>
      <c r="CF127" s="97">
        <f ca="1">MIN(TblMili[[#This Row],[Unit 1]],TblMili[[#This Row],[Unit 4]])*2</f>
        <v>0</v>
      </c>
      <c r="CG127" s="266">
        <f ca="1">MIN(frost_mage_cap,TblMili[[#This Row],[Hill]]/frost_mage_bonus)</f>
        <v>0.2857142857142857</v>
      </c>
      <c r="CH127" s="45">
        <f ca="1">MIN(ice_elem_cap,TblMili[[#This Row],[Raw (2)]]*ice_elem_bonus)</f>
        <v>3.5714285714285712E-2</v>
      </c>
      <c r="CI127" s="266">
        <f t="shared" si="4"/>
        <v>0.83333333333333337</v>
      </c>
      <c r="CJ127" s="266">
        <f ca="1">MIN(nox_nightshade_cap,TblConstr[[#This Row],[Homeland]]/TblConstr[[#This Row],[Land]]/nox_nightshade_swamp_bonus)</f>
        <v>0.5714285714285714</v>
      </c>
      <c r="CK127" s="267"/>
      <c r="CL127" s="267"/>
      <c r="CM127" s="267"/>
      <c r="CN127" s="266">
        <f ca="1">MIN(6,TblMili[[#This Row],[Mystic]]+Races!$F$19)*1.8 +  IF(TblMili[[#This Row],[Mystic]]+Races!$F$19&gt;6,(TblMili[[#This Row],[Mystic]]+Races!$F$19-6)*0.2,0) - Races!$I$19</f>
        <v>0.51428571428571423</v>
      </c>
      <c r="CO127"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7" s="97">
        <f ca="1">TblMili[[#This Row],[Mystic bonus]]*TblMili[[#This Row],[Unit 3]]+TblMili[[#This Row],[Druid bonus]]*TblMili[[#This Row],[Unit 4]]</f>
        <v>1149.4285714285706</v>
      </c>
      <c r="CQ127" s="158">
        <f ca="1">MIN(6,TblMili[[#This Row],[Dryad]]+Races!$F$35)*1.8 +  IF(TblMili[[#This Row],[Dryad]]+Races!$F$35&gt;6,(TblMili[[#This Row],[Dryad]]+Races!$F$35-6)*0.2,0) - Races!$I$19</f>
        <v>-1.2857142857142856</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2.7642857142857133</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0.51428571428571423</v>
      </c>
      <c r="CX127" s="158">
        <f ca="1">1.8 * MIN(MAX(TblMili[[#This Row],[Ice Elemental]]+Races!$E$71,Races!$F$71),6)  +  0.45 * MIN(MIN(TblMili[[#This Row],[Ice Elemental]]+Races!$E$71,Races!$F$71),6)  +  0.2 * ( MAX(TblMili[[#This Row],[Ice Elemental]]+Races!$E$71-6,0) + MAX(Races!$F$71-6,0) )  -  Races!$I$71</f>
        <v>6.4285714285714946E-2</v>
      </c>
      <c r="CY127" s="97">
        <f ca="1">TblMili[[#This Row],[Frost Mage bonus]]*TblMili[[#This Row],[Unit 3]]+TblMili[[#This Row],[Ice Elemental bonus]]*TblMili[[#This Row],[Unit 4]]</f>
        <v>438.94285714285786</v>
      </c>
      <c r="CZ127" s="268"/>
      <c r="DA127" s="146">
        <f ca="1">MIN(SUM(TblConstr[[#This Row],[Plain]:[Water]])/TblMili[[#This Row],[Land]]/favorable_terrain_bonus/100,favorable_terrain_max)</f>
        <v>0</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7" s="145"/>
      <c r="DE127" s="269">
        <f ca="1">(TblMili[[#This Row],[Wizards]]+2*TblMili[[#This Row],[Archmages]])/TblConstr[[#This Row],[Land]]</f>
        <v>3.5714285714285712E-2</v>
      </c>
      <c r="DF127" s="269">
        <f ca="1">TblMili[[#This Row],[Raw (2)]]*(1+race_wizard_strength+IF(TblMili[[#This Row],[Hour]]&gt;72,tech_magical_weaponry_wiz*TblTech[[#This Row],[3-5]],0))</f>
        <v>3.5714285714285712E-2</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7001</v>
      </c>
      <c r="C128" s="160">
        <f ca="1">TblPop[[#This Row],[Military%]]</f>
        <v>0.5410773630110518</v>
      </c>
      <c r="D128" s="145"/>
      <c r="E128" s="45">
        <f ca="1">OFFSET(TblMili[[#This Row],[Unit 1]],-1,0) + OFFSET(TblMili[[#This Row],[Train Unit 1]],-9,0) - TblMili[[#This Row],[Release Unit 1]]</f>
        <v>0</v>
      </c>
      <c r="F128" s="45">
        <f ca="1">OFFSET(TblMili[[#This Row],[Unit 2]],-1,0) + OFFSET(TblMili[[#This Row],[Train Unit 2]],-9,0)-TblMili[[#This Row],[Release Unit 2]]</f>
        <v>1246</v>
      </c>
      <c r="G128" s="45">
        <f ca="1">OFFSET(TblMili[[#This Row],[Unit 3]],-1,0) + OFFSET(TblMili[[#This Row],[Train Unit 3]],-12,0)-TblMili[[#This Row],[Release Unit 3]]</f>
        <v>700</v>
      </c>
      <c r="H128" s="45">
        <f ca="1">OFFSET(TblMili[[#This Row],[Unit 4]],-1,0) + OFFSET(TblMili[[#This Row],[Train Unit 4]],-12,0)-TblMili[[#This Row],[Release Unit 4]]</f>
        <v>1228</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42359.8</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6140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6293.4999999999991</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8" s="262">
        <f ca="1">TblMili[[#This Row],[Non Draft]]+TblMili[[#This Row],[Draftees]]</f>
        <v>14349</v>
      </c>
      <c r="U128" s="263">
        <f ca="1">race_defense + TblImps[[#This Row],[Walls]] + ROUND( MIN(gt_bonus*TblConstr[[#This Row],[Tot GT]]/TblConstr[[#This Row],[Land]],gt_bonus_cap), 4) + IF(TblMagic[[#This Row],[Active Howling]]&gt;0,howling_dp_bonus,IF(TblMagic[[#This Row],[Active Ares Call]]&gt;0,ares_call_bonus))</f>
        <v>0.13750000000000001</v>
      </c>
      <c r="V128" s="264">
        <f ca="1">TblMili[[#This Row],[Non Draft]] * (1 + TblMili[[#This Row],[Mods_Def]])</f>
        <v>12025.65</v>
      </c>
      <c r="W128" s="262">
        <f ca="1">TblMili[[#This Row],[Draft]] * (1 + TblMili[[#This Row],[Mods_Def]])</f>
        <v>16321.987499999999</v>
      </c>
      <c r="X128" s="262">
        <f ca="1">TblConstr[[#This Row],[Land]]</f>
        <v>700</v>
      </c>
      <c r="Y128" s="265"/>
      <c r="Z128" s="270">
        <f ca="1">IF(TblMili[[#This Row],[Set]]&lt;&gt;"",TblMili[[#This Row],[Set]],OFFSET(TblMili[[#This Row],[Draftrate]],-1,0))</f>
        <v>0.9</v>
      </c>
      <c r="AA128" s="97">
        <f ca="1">OFFSET(TblMili[[#This Row],[Draftees]],-1,0)+OFFSET(TblPop[[#This Row],[Draft Growth]],-1,0) - SUM(TblMili[[#This Row],[Train Unit 1]:[Train Spies]],TblMili[[#This Row],[Train Wiz]]) - TblMili[[#This Row],[Release Draft]] + SUM(TblMili[[#This Row],[Release Unit 1]:[Release AM]]) - TblExplore[[#This Row],[Draftees (2)]]</f>
        <v>3777</v>
      </c>
      <c r="AB128" s="157"/>
      <c r="AC128" s="183">
        <f ca="1">(TblConstr[[#This Row],[Tot Smi]]+TblConstr[[#This Row],[Dest Smi]])/(TblConstr[[#This Row],[Land]]-TblExplore[[#This Row],[Land Bonus]]*20)</f>
        <v>0.18</v>
      </c>
      <c r="AD128" s="140"/>
      <c r="AE128" s="261">
        <f>TblMili[[#This Row],[Hour]]</f>
        <v>125</v>
      </c>
      <c r="AF128" s="141">
        <f ca="1">TblExplore[[#This Row],[Time]]</f>
        <v>45434.916666666366</v>
      </c>
      <c r="AG128" s="182"/>
      <c r="AH128" s="182"/>
      <c r="AI128" s="182"/>
      <c r="AJ128" s="182"/>
      <c r="AK128" s="182"/>
      <c r="AL128" s="182"/>
      <c r="AM128" s="182"/>
      <c r="AN128" s="182"/>
      <c r="AO128" s="145"/>
      <c r="AP128" s="97">
        <f ca="1">TblProd[[#This Row],[Platinum]]</f>
        <v>1978543</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45434.916666666366</v>
      </c>
      <c r="AV128" s="97">
        <f ca="1">TblMili[[#This Row],[Draftees]]</f>
        <v>3777</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192</v>
      </c>
      <c r="BJ128" s="97">
        <f ca="1">ROUNDUP(IF(race="Gnome",1,(1-MIN(TblMili[[#This Row],[Smithies]]*smithy_bonus,smithy_bonus_cap) + tech_3_5*TblTech[[#This Row],[3-5]] + tech_5_3*TblTech[[#This Row],[5-3]] + tech_5_5*TblTech[[#This Row],[5-5]]))*spec_op_ore,0)</f>
        <v>0</v>
      </c>
      <c r="BK128" s="97">
        <f ca="1">ROUNDUP((1-MIN(TblMili[[#This Row],[Smithies]]*smithy_bonus,smithy_bonus_cap) + tech_3_5*TblTech[[#This Row],[3-5]] + tech_5_3*TblTech[[#This Row],[5-3]] + tech_5_5*TblTech[[#This Row],[5-5]])*spec_dp_plat,0)</f>
        <v>192</v>
      </c>
      <c r="BL128" s="97">
        <f ca="1">ROUNDUP(IF(race="Gnome",1,(1-MIN(TblMili[[#This Row],[Smithies]]*smithy_bonus,smithy_bonus_cap) + tech_3_5*TblTech[[#This Row],[3-5]] + tech_5_3*TblTech[[#This Row],[5-3]] + tech_5_5*TblTech[[#This Row],[5-5]]))*spec_dp_ore,0)</f>
        <v>0</v>
      </c>
      <c r="BM128" s="97">
        <f ca="1">ROUNDUP((1-MIN(TblMili[[#This Row],[Smithies]]*smithy_bonus,smithy_bonus_cap) + tech_3_5*TblTech[[#This Row],[3-5]] + tech_5_3*TblTech[[#This Row],[5-3]] + tech_5_5*TblTech[[#This Row],[5-5]])*elite1_plat,0)</f>
        <v>592</v>
      </c>
      <c r="BN128" s="97">
        <f ca="1">ROUNDUP(IF(race="Gnome",1,(1-MIN(TblMili[[#This Row],[Smithies]]*smithy_bonus,smithy_bonus_cap) + tech_3_5*TblTech[[#This Row],[3-5]] + tech_5_3*TblTech[[#This Row],[5-3]] + tech_5_5*TblTech[[#This Row],[5-5]]))*elite1_ore,0)</f>
        <v>0</v>
      </c>
      <c r="BO128" s="97">
        <f ca="1">ROUNDUP((1-MIN(TblMili[[#This Row],[Smithies]]*smithy_bonus,smithy_bonus_cap) + tech_3_5*TblTech[[#This Row],[3-5]] + tech_5_3*TblTech[[#This Row],[5-3]] + tech_5_5*TblTech[[#This Row],[5-5]])*elite2_plat,0)</f>
        <v>608</v>
      </c>
      <c r="BP128" s="97">
        <f ca="1">ROUNDUP(IF(race="Gnome",1,(1-MIN(TblMili[[#This Row],[Smithies]]*smithy_bonus,smithy_bonus_cap) + tech_3_5*TblTech[[#This Row],[3-5]] + tech_5_3*TblTech[[#This Row],[5-3]] + tech_5_5*TblTech[[#This Row],[5-5]]))*elite2_ore,0)</f>
        <v>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5.7142857142857141E-2</v>
      </c>
      <c r="BW128" s="160">
        <f ca="1">TblMili[[#This Row],[WG''s]]</f>
        <v>0</v>
      </c>
      <c r="BX128" s="266">
        <f ca="1">IF(mystic_cap="none",TblMili[[#This Row],[Hill]]/mystic_bonus,MIN(mystic_cap,TblMili[[#This Row],[Hill]]/mystic_bonus))</f>
        <v>0.2857142857142857</v>
      </c>
      <c r="BY128" s="266">
        <f ca="1">IF(druid_op_cap="none",TblMili[[#This Row],[Hill]]/druid_op_bonus,MIN(druid_op_cap,TblMili[[#This Row],[Hill]]/druid_op_bonus))</f>
        <v>0.2857142857142857</v>
      </c>
      <c r="BZ128" s="266">
        <f ca="1">IF(druid_dp_cap="none",TblMili[[#This Row],[Hill]]/druid_dp_bonus,MIN(druid_dp_cap,TblMili[[#This Row],[Hill]]/druid_dp_bonus))</f>
        <v>0.2857142857142857</v>
      </c>
      <c r="CA128" s="266">
        <f ca="1">MIN(dryad_cap,TblMili[[#This Row],[Hill]]/dryad_bonus)</f>
        <v>0.2857142857142857</v>
      </c>
      <c r="CB128" s="266">
        <f ca="1">MIN(rocka_cap,TblMili[[#This Row],[Hill]]/rocka_bonus)</f>
        <v>0.2857142857142857</v>
      </c>
      <c r="CC128" s="266">
        <f ca="1">MIN(adept_op_cap,TblMili[[#This Row],[WG]]/adept_op_bonus)</f>
        <v>0</v>
      </c>
      <c r="CD128" s="266">
        <f ca="1">MIN(adept_dp_cap,TblMili[[#This Row],[WG]]/adept_dp_bonus)</f>
        <v>0</v>
      </c>
      <c r="CE128" s="97">
        <f ca="1">MIN(TblMili[[#This Row],[Unit 3]],TblMili[[#This Row],[Unit 2]])*2</f>
        <v>1400</v>
      </c>
      <c r="CF128" s="97">
        <f ca="1">MIN(TblMili[[#This Row],[Unit 1]],TblMili[[#This Row],[Unit 4]])*2</f>
        <v>0</v>
      </c>
      <c r="CG128" s="266">
        <f ca="1">MIN(frost_mage_cap,TblMili[[#This Row],[Hill]]/frost_mage_bonus)</f>
        <v>0.2857142857142857</v>
      </c>
      <c r="CH128" s="45">
        <f ca="1">MIN(ice_elem_cap,TblMili[[#This Row],[Raw (2)]]*ice_elem_bonus)</f>
        <v>3.5714285714285712E-2</v>
      </c>
      <c r="CI128" s="266">
        <f t="shared" si="4"/>
        <v>0.83333333333333337</v>
      </c>
      <c r="CJ128" s="266">
        <f ca="1">MIN(nox_nightshade_cap,TblConstr[[#This Row],[Homeland]]/TblConstr[[#This Row],[Land]]/nox_nightshade_swamp_bonus)</f>
        <v>0.5714285714285714</v>
      </c>
      <c r="CK128" s="267"/>
      <c r="CL128" s="267"/>
      <c r="CM128" s="267"/>
      <c r="CN128" s="266">
        <f ca="1">MIN(6,TblMili[[#This Row],[Mystic]]+Races!$F$19)*1.8 +  IF(TblMili[[#This Row],[Mystic]]+Races!$F$19&gt;6,(TblMili[[#This Row],[Mystic]]+Races!$F$19-6)*0.2,0) - Races!$I$19</f>
        <v>0.51428571428571423</v>
      </c>
      <c r="CO128"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8" s="97">
        <f ca="1">TblMili[[#This Row],[Mystic bonus]]*TblMili[[#This Row],[Unit 3]]+TblMili[[#This Row],[Druid bonus]]*TblMili[[#This Row],[Unit 4]]</f>
        <v>1149.4285714285706</v>
      </c>
      <c r="CQ128" s="158">
        <f ca="1">MIN(6,TblMili[[#This Row],[Dryad]]+Races!$F$35)*1.8 +  IF(TblMili[[#This Row],[Dryad]]+Races!$F$35&gt;6,(TblMili[[#This Row],[Dryad]]+Races!$F$35-6)*0.2,0) - Races!$I$19</f>
        <v>-1.2857142857142856</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2.7642857142857133</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0.51428571428571423</v>
      </c>
      <c r="CX128" s="158">
        <f ca="1">1.8 * MIN(MAX(TblMili[[#This Row],[Ice Elemental]]+Races!$E$71,Races!$F$71),6)  +  0.45 * MIN(MIN(TblMili[[#This Row],[Ice Elemental]]+Races!$E$71,Races!$F$71),6)  +  0.2 * ( MAX(TblMili[[#This Row],[Ice Elemental]]+Races!$E$71-6,0) + MAX(Races!$F$71-6,0) )  -  Races!$I$71</f>
        <v>6.4285714285714946E-2</v>
      </c>
      <c r="CY128" s="97">
        <f ca="1">TblMili[[#This Row],[Frost Mage bonus]]*TblMili[[#This Row],[Unit 3]]+TblMili[[#This Row],[Ice Elemental bonus]]*TblMili[[#This Row],[Unit 4]]</f>
        <v>438.94285714285786</v>
      </c>
      <c r="CZ128" s="268"/>
      <c r="DA128" s="146">
        <f ca="1">MIN(SUM(TblConstr[[#This Row],[Plain]:[Water]])/TblMili[[#This Row],[Land]]/favorable_terrain_bonus/100,favorable_terrain_max)</f>
        <v>0</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8" s="145"/>
      <c r="DE128" s="269">
        <f ca="1">(TblMili[[#This Row],[Wizards]]+2*TblMili[[#This Row],[Archmages]])/TblConstr[[#This Row],[Land]]</f>
        <v>3.5714285714285712E-2</v>
      </c>
      <c r="DF128" s="269">
        <f ca="1">TblMili[[#This Row],[Raw (2)]]*(1+race_wizard_strength+IF(TblMili[[#This Row],[Hour]]&gt;72,tech_magical_weaponry_wiz*TblTech[[#This Row],[3-5]],0))</f>
        <v>3.5714285714285712E-2</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7060</v>
      </c>
      <c r="C129" s="160">
        <f ca="1">TblPop[[#This Row],[Military%]]</f>
        <v>0.54563722080531729</v>
      </c>
      <c r="D129" s="145"/>
      <c r="E129" s="45">
        <f ca="1">OFFSET(TblMili[[#This Row],[Unit 1]],-1,0) + OFFSET(TblMili[[#This Row],[Train Unit 1]],-9,0) - TblMili[[#This Row],[Release Unit 1]]</f>
        <v>0</v>
      </c>
      <c r="F129" s="45">
        <f ca="1">OFFSET(TblMili[[#This Row],[Unit 2]],-1,0) + OFFSET(TblMili[[#This Row],[Train Unit 2]],-9,0)-TblMili[[#This Row],[Release Unit 2]]</f>
        <v>1246</v>
      </c>
      <c r="G129" s="45">
        <f ca="1">OFFSET(TblMili[[#This Row],[Unit 3]],-1,0) + OFFSET(TblMili[[#This Row],[Train Unit 3]],-12,0)-TblMili[[#This Row],[Release Unit 3]]</f>
        <v>700</v>
      </c>
      <c r="H129" s="45">
        <f ca="1">OFFSET(TblMili[[#This Row],[Unit 4]],-1,0) + OFFSET(TblMili[[#This Row],[Train Unit 4]],-12,0)-TblMili[[#This Row],[Release Unit 4]]</f>
        <v>1228</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42359.8</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6140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6293.4999999999991</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29" s="262">
        <f ca="1">TblMili[[#This Row],[Non Draft]]+TblMili[[#This Row],[Draftees]]</f>
        <v>14408</v>
      </c>
      <c r="U129" s="263">
        <f ca="1">race_defense + TblImps[[#This Row],[Walls]] + ROUND( MIN(gt_bonus*TblConstr[[#This Row],[Tot GT]]/TblConstr[[#This Row],[Land]],gt_bonus_cap), 4) + IF(TblMagic[[#This Row],[Active Howling]]&gt;0,howling_dp_bonus,IF(TblMagic[[#This Row],[Active Ares Call]]&gt;0,ares_call_bonus))</f>
        <v>0.13750000000000001</v>
      </c>
      <c r="V129" s="264">
        <f ca="1">TblMili[[#This Row],[Non Draft]] * (1 + TblMili[[#This Row],[Mods_Def]])</f>
        <v>12025.65</v>
      </c>
      <c r="W129" s="262">
        <f ca="1">TblMili[[#This Row],[Draft]] * (1 + TblMili[[#This Row],[Mods_Def]])</f>
        <v>16389.099999999999</v>
      </c>
      <c r="X129" s="262">
        <f ca="1">TblConstr[[#This Row],[Land]]</f>
        <v>700</v>
      </c>
      <c r="Y129" s="265"/>
      <c r="Z129" s="270">
        <f ca="1">IF(TblMili[[#This Row],[Set]]&lt;&gt;"",TblMili[[#This Row],[Set]],OFFSET(TblMili[[#This Row],[Draftrate]],-1,0))</f>
        <v>0.9</v>
      </c>
      <c r="AA129" s="97">
        <f ca="1">OFFSET(TblMili[[#This Row],[Draftees]],-1,0)+OFFSET(TblPop[[#This Row],[Draft Growth]],-1,0) - SUM(TblMili[[#This Row],[Train Unit 1]:[Train Spies]],TblMili[[#This Row],[Train Wiz]]) - TblMili[[#This Row],[Release Draft]] + SUM(TblMili[[#This Row],[Release Unit 1]:[Release AM]]) - TblExplore[[#This Row],[Draftees (2)]]</f>
        <v>3836</v>
      </c>
      <c r="AB129" s="157"/>
      <c r="AC129" s="183">
        <f ca="1">(TblConstr[[#This Row],[Tot Smi]]+TblConstr[[#This Row],[Dest Smi]])/(TblConstr[[#This Row],[Land]]-TblExplore[[#This Row],[Land Bonus]]*20)</f>
        <v>0.18</v>
      </c>
      <c r="AD129" s="140"/>
      <c r="AE129" s="261">
        <f>TblMili[[#This Row],[Hour]]</f>
        <v>126</v>
      </c>
      <c r="AF129" s="141">
        <f ca="1">TblExplore[[#This Row],[Time]]</f>
        <v>45434.95833333303</v>
      </c>
      <c r="AG129" s="182"/>
      <c r="AH129" s="182"/>
      <c r="AI129" s="182"/>
      <c r="AJ129" s="182"/>
      <c r="AK129" s="182"/>
      <c r="AL129" s="182"/>
      <c r="AM129" s="182"/>
      <c r="AN129" s="182"/>
      <c r="AO129" s="145"/>
      <c r="AP129" s="97">
        <f ca="1">TblProd[[#This Row],[Platinum]]</f>
        <v>2006950</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45434.95833333303</v>
      </c>
      <c r="AV129" s="97">
        <f ca="1">TblMili[[#This Row],[Draftees]]</f>
        <v>3836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192</v>
      </c>
      <c r="BJ129" s="97">
        <f ca="1">ROUNDUP(IF(race="Gnome",1,(1-MIN(TblMili[[#This Row],[Smithies]]*smithy_bonus,smithy_bonus_cap) + tech_3_5*TblTech[[#This Row],[3-5]] + tech_5_3*TblTech[[#This Row],[5-3]] + tech_5_5*TblTech[[#This Row],[5-5]]))*spec_op_ore,0)</f>
        <v>0</v>
      </c>
      <c r="BK129" s="97">
        <f ca="1">ROUNDUP((1-MIN(TblMili[[#This Row],[Smithies]]*smithy_bonus,smithy_bonus_cap) + tech_3_5*TblTech[[#This Row],[3-5]] + tech_5_3*TblTech[[#This Row],[5-3]] + tech_5_5*TblTech[[#This Row],[5-5]])*spec_dp_plat,0)</f>
        <v>192</v>
      </c>
      <c r="BL129" s="97">
        <f ca="1">ROUNDUP(IF(race="Gnome",1,(1-MIN(TblMili[[#This Row],[Smithies]]*smithy_bonus,smithy_bonus_cap) + tech_3_5*TblTech[[#This Row],[3-5]] + tech_5_3*TblTech[[#This Row],[5-3]] + tech_5_5*TblTech[[#This Row],[5-5]]))*spec_dp_ore,0)</f>
        <v>0</v>
      </c>
      <c r="BM129" s="97">
        <f ca="1">ROUNDUP((1-MIN(TblMili[[#This Row],[Smithies]]*smithy_bonus,smithy_bonus_cap) + tech_3_5*TblTech[[#This Row],[3-5]] + tech_5_3*TblTech[[#This Row],[5-3]] + tech_5_5*TblTech[[#This Row],[5-5]])*elite1_plat,0)</f>
        <v>592</v>
      </c>
      <c r="BN129" s="97">
        <f ca="1">ROUNDUP(IF(race="Gnome",1,(1-MIN(TblMili[[#This Row],[Smithies]]*smithy_bonus,smithy_bonus_cap) + tech_3_5*TblTech[[#This Row],[3-5]] + tech_5_3*TblTech[[#This Row],[5-3]] + tech_5_5*TblTech[[#This Row],[5-5]]))*elite1_ore,0)</f>
        <v>0</v>
      </c>
      <c r="BO129" s="97">
        <f ca="1">ROUNDUP((1-MIN(TblMili[[#This Row],[Smithies]]*smithy_bonus,smithy_bonus_cap) + tech_3_5*TblTech[[#This Row],[3-5]] + tech_5_3*TblTech[[#This Row],[5-3]] + tech_5_5*TblTech[[#This Row],[5-5]])*elite2_plat,0)</f>
        <v>608</v>
      </c>
      <c r="BP129" s="97">
        <f ca="1">ROUNDUP(IF(race="Gnome",1,(1-MIN(TblMili[[#This Row],[Smithies]]*smithy_bonus,smithy_bonus_cap) + tech_3_5*TblTech[[#This Row],[3-5]] + tech_5_3*TblTech[[#This Row],[5-3]] + tech_5_5*TblTech[[#This Row],[5-5]]))*elite2_ore,0)</f>
        <v>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5.7142857142857141E-2</v>
      </c>
      <c r="BW129" s="160">
        <f ca="1">TblMili[[#This Row],[WG''s]]</f>
        <v>0</v>
      </c>
      <c r="BX129" s="266">
        <f ca="1">IF(mystic_cap="none",TblMili[[#This Row],[Hill]]/mystic_bonus,MIN(mystic_cap,TblMili[[#This Row],[Hill]]/mystic_bonus))</f>
        <v>0.2857142857142857</v>
      </c>
      <c r="BY129" s="266">
        <f ca="1">IF(druid_op_cap="none",TblMili[[#This Row],[Hill]]/druid_op_bonus,MIN(druid_op_cap,TblMili[[#This Row],[Hill]]/druid_op_bonus))</f>
        <v>0.2857142857142857</v>
      </c>
      <c r="BZ129" s="266">
        <f ca="1">IF(druid_dp_cap="none",TblMili[[#This Row],[Hill]]/druid_dp_bonus,MIN(druid_dp_cap,TblMili[[#This Row],[Hill]]/druid_dp_bonus))</f>
        <v>0.2857142857142857</v>
      </c>
      <c r="CA129" s="266">
        <f ca="1">MIN(dryad_cap,TblMili[[#This Row],[Hill]]/dryad_bonus)</f>
        <v>0.2857142857142857</v>
      </c>
      <c r="CB129" s="266">
        <f ca="1">MIN(rocka_cap,TblMili[[#This Row],[Hill]]/rocka_bonus)</f>
        <v>0.2857142857142857</v>
      </c>
      <c r="CC129" s="266">
        <f ca="1">MIN(adept_op_cap,TblMili[[#This Row],[WG]]/adept_op_bonus)</f>
        <v>0</v>
      </c>
      <c r="CD129" s="266">
        <f ca="1">MIN(adept_dp_cap,TblMili[[#This Row],[WG]]/adept_dp_bonus)</f>
        <v>0</v>
      </c>
      <c r="CE129" s="97">
        <f ca="1">MIN(TblMili[[#This Row],[Unit 3]],TblMili[[#This Row],[Unit 2]])*2</f>
        <v>1400</v>
      </c>
      <c r="CF129" s="97">
        <f ca="1">MIN(TblMili[[#This Row],[Unit 1]],TblMili[[#This Row],[Unit 4]])*2</f>
        <v>0</v>
      </c>
      <c r="CG129" s="266">
        <f ca="1">MIN(frost_mage_cap,TblMili[[#This Row],[Hill]]/frost_mage_bonus)</f>
        <v>0.2857142857142857</v>
      </c>
      <c r="CH129" s="45">
        <f ca="1">MIN(ice_elem_cap,TblMili[[#This Row],[Raw (2)]]*ice_elem_bonus)</f>
        <v>3.5714285714285712E-2</v>
      </c>
      <c r="CI129" s="266">
        <f t="shared" si="4"/>
        <v>0.83333333333333337</v>
      </c>
      <c r="CJ129" s="266">
        <f ca="1">MIN(nox_nightshade_cap,TblConstr[[#This Row],[Homeland]]/TblConstr[[#This Row],[Land]]/nox_nightshade_swamp_bonus)</f>
        <v>0.5714285714285714</v>
      </c>
      <c r="CK129" s="267"/>
      <c r="CL129" s="267"/>
      <c r="CM129" s="267"/>
      <c r="CN129" s="266">
        <f ca="1">MIN(6,TblMili[[#This Row],[Mystic]]+Races!$F$19)*1.8 +  IF(TblMili[[#This Row],[Mystic]]+Races!$F$19&gt;6,(TblMili[[#This Row],[Mystic]]+Races!$F$19-6)*0.2,0) - Races!$I$19</f>
        <v>0.51428571428571423</v>
      </c>
      <c r="CO129"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29" s="97">
        <f ca="1">TblMili[[#This Row],[Mystic bonus]]*TblMili[[#This Row],[Unit 3]]+TblMili[[#This Row],[Druid bonus]]*TblMili[[#This Row],[Unit 4]]</f>
        <v>1149.4285714285706</v>
      </c>
      <c r="CQ129" s="158">
        <f ca="1">MIN(6,TblMili[[#This Row],[Dryad]]+Races!$F$35)*1.8 +  IF(TblMili[[#This Row],[Dryad]]+Races!$F$35&gt;6,(TblMili[[#This Row],[Dryad]]+Races!$F$35-6)*0.2,0) - Races!$I$19</f>
        <v>-1.2857142857142856</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2.7642857142857133</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0.51428571428571423</v>
      </c>
      <c r="CX129" s="158">
        <f ca="1">1.8 * MIN(MAX(TblMili[[#This Row],[Ice Elemental]]+Races!$E$71,Races!$F$71),6)  +  0.45 * MIN(MIN(TblMili[[#This Row],[Ice Elemental]]+Races!$E$71,Races!$F$71),6)  +  0.2 * ( MAX(TblMili[[#This Row],[Ice Elemental]]+Races!$E$71-6,0) + MAX(Races!$F$71-6,0) )  -  Races!$I$71</f>
        <v>6.4285714285714946E-2</v>
      </c>
      <c r="CY129" s="97">
        <f ca="1">TblMili[[#This Row],[Frost Mage bonus]]*TblMili[[#This Row],[Unit 3]]+TblMili[[#This Row],[Ice Elemental bonus]]*TblMili[[#This Row],[Unit 4]]</f>
        <v>438.94285714285786</v>
      </c>
      <c r="CZ129" s="268"/>
      <c r="DA129" s="146">
        <f ca="1">MIN(SUM(TblConstr[[#This Row],[Plain]:[Water]])/TblMili[[#This Row],[Land]]/favorable_terrain_bonus/100,favorable_terrain_max)</f>
        <v>0</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29" s="145"/>
      <c r="DE129" s="269">
        <f ca="1">(TblMili[[#This Row],[Wizards]]+2*TblMili[[#This Row],[Archmages]])/TblConstr[[#This Row],[Land]]</f>
        <v>3.5714285714285712E-2</v>
      </c>
      <c r="DF129" s="269">
        <f ca="1">TblMili[[#This Row],[Raw (2)]]*(1+race_wizard_strength+IF(TblMili[[#This Row],[Hour]]&gt;72,tech_magical_weaponry_wiz*TblTech[[#This Row],[3-5]],0))</f>
        <v>3.5714285714285712E-2</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7119</v>
      </c>
      <c r="C130" s="160">
        <f ca="1">TblPop[[#This Row],[Military%]]</f>
        <v>0.55019707859958267</v>
      </c>
      <c r="D130" s="145"/>
      <c r="E130" s="45">
        <f ca="1">OFFSET(TblMili[[#This Row],[Unit 1]],-1,0) + OFFSET(TblMili[[#This Row],[Train Unit 1]],-9,0) - TblMili[[#This Row],[Release Unit 1]]</f>
        <v>0</v>
      </c>
      <c r="F130" s="45">
        <f ca="1">OFFSET(TblMili[[#This Row],[Unit 2]],-1,0) + OFFSET(TblMili[[#This Row],[Train Unit 2]],-9,0)-TblMili[[#This Row],[Release Unit 2]]</f>
        <v>1246</v>
      </c>
      <c r="G130" s="45">
        <f ca="1">OFFSET(TblMili[[#This Row],[Unit 3]],-1,0) + OFFSET(TblMili[[#This Row],[Train Unit 3]],-12,0)-TblMili[[#This Row],[Release Unit 3]]</f>
        <v>700</v>
      </c>
      <c r="H130" s="45">
        <f ca="1">OFFSET(TblMili[[#This Row],[Unit 4]],-1,0) + OFFSET(TblMili[[#This Row],[Train Unit 4]],-12,0)-TblMili[[#This Row],[Release Unit 4]]</f>
        <v>1228</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42359.8</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6140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6293.4999999999991</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0" s="262">
        <f ca="1">TblMili[[#This Row],[Non Draft]]+TblMili[[#This Row],[Draftees]]</f>
        <v>14467</v>
      </c>
      <c r="U130" s="263">
        <f ca="1">race_defense + TblImps[[#This Row],[Walls]] + ROUND( MIN(gt_bonus*TblConstr[[#This Row],[Tot GT]]/TblConstr[[#This Row],[Land]],gt_bonus_cap), 4) + IF(TblMagic[[#This Row],[Active Howling]]&gt;0,howling_dp_bonus,IF(TblMagic[[#This Row],[Active Ares Call]]&gt;0,ares_call_bonus))</f>
        <v>0.13750000000000001</v>
      </c>
      <c r="V130" s="264">
        <f ca="1">TblMili[[#This Row],[Non Draft]] * (1 + TblMili[[#This Row],[Mods_Def]])</f>
        <v>12025.65</v>
      </c>
      <c r="W130" s="262">
        <f ca="1">TblMili[[#This Row],[Draft]] * (1 + TblMili[[#This Row],[Mods_Def]])</f>
        <v>16456.212499999998</v>
      </c>
      <c r="X130" s="262">
        <f ca="1">TblConstr[[#This Row],[Land]]</f>
        <v>700</v>
      </c>
      <c r="Y130" s="265"/>
      <c r="Z130" s="270">
        <f ca="1">IF(TblMili[[#This Row],[Set]]&lt;&gt;"",TblMili[[#This Row],[Set]],OFFSET(TblMili[[#This Row],[Draftrate]],-1,0))</f>
        <v>0.9</v>
      </c>
      <c r="AA130" s="97">
        <f ca="1">OFFSET(TblMili[[#This Row],[Draftees]],-1,0)+OFFSET(TblPop[[#This Row],[Draft Growth]],-1,0) - SUM(TblMili[[#This Row],[Train Unit 1]:[Train Spies]],TblMili[[#This Row],[Train Wiz]]) - TblMili[[#This Row],[Release Draft]] + SUM(TblMili[[#This Row],[Release Unit 1]:[Release AM]]) - TblExplore[[#This Row],[Draftees (2)]]</f>
        <v>3895</v>
      </c>
      <c r="AB130" s="157"/>
      <c r="AC130" s="183">
        <f ca="1">(TblConstr[[#This Row],[Tot Smi]]+TblConstr[[#This Row],[Dest Smi]])/(TblConstr[[#This Row],[Land]]-TblExplore[[#This Row],[Land Bonus]]*20)</f>
        <v>0.18</v>
      </c>
      <c r="AD130" s="140"/>
      <c r="AE130" s="261">
        <f>TblMili[[#This Row],[Hour]]</f>
        <v>127</v>
      </c>
      <c r="AF130" s="141">
        <f ca="1">TblExplore[[#This Row],[Time]]</f>
        <v>45434.999999999694</v>
      </c>
      <c r="AG130" s="182"/>
      <c r="AH130" s="182"/>
      <c r="AI130" s="182"/>
      <c r="AJ130" s="182"/>
      <c r="AK130" s="182"/>
      <c r="AL130" s="182"/>
      <c r="AM130" s="182"/>
      <c r="AN130" s="182"/>
      <c r="AO130" s="145"/>
      <c r="AP130" s="97">
        <f ca="1">TblProd[[#This Row],[Platinum]]</f>
        <v>2035198</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45434.999999999694</v>
      </c>
      <c r="AV130" s="97">
        <f ca="1">TblMili[[#This Row],[Draftees]]</f>
        <v>3895</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192</v>
      </c>
      <c r="BJ130" s="97">
        <f ca="1">ROUNDUP(IF(race="Gnome",1,(1-MIN(TblMili[[#This Row],[Smithies]]*smithy_bonus,smithy_bonus_cap) + tech_3_5*TblTech[[#This Row],[3-5]] + tech_5_3*TblTech[[#This Row],[5-3]] + tech_5_5*TblTech[[#This Row],[5-5]]))*spec_op_ore,0)</f>
        <v>0</v>
      </c>
      <c r="BK130" s="97">
        <f ca="1">ROUNDUP((1-MIN(TblMili[[#This Row],[Smithies]]*smithy_bonus,smithy_bonus_cap) + tech_3_5*TblTech[[#This Row],[3-5]] + tech_5_3*TblTech[[#This Row],[5-3]] + tech_5_5*TblTech[[#This Row],[5-5]])*spec_dp_plat,0)</f>
        <v>192</v>
      </c>
      <c r="BL130" s="97">
        <f ca="1">ROUNDUP(IF(race="Gnome",1,(1-MIN(TblMili[[#This Row],[Smithies]]*smithy_bonus,smithy_bonus_cap) + tech_3_5*TblTech[[#This Row],[3-5]] + tech_5_3*TblTech[[#This Row],[5-3]] + tech_5_5*TblTech[[#This Row],[5-5]]))*spec_dp_ore,0)</f>
        <v>0</v>
      </c>
      <c r="BM130" s="97">
        <f ca="1">ROUNDUP((1-MIN(TblMili[[#This Row],[Smithies]]*smithy_bonus,smithy_bonus_cap) + tech_3_5*TblTech[[#This Row],[3-5]] + tech_5_3*TblTech[[#This Row],[5-3]] + tech_5_5*TblTech[[#This Row],[5-5]])*elite1_plat,0)</f>
        <v>592</v>
      </c>
      <c r="BN130" s="97">
        <f ca="1">ROUNDUP(IF(race="Gnome",1,(1-MIN(TblMili[[#This Row],[Smithies]]*smithy_bonus,smithy_bonus_cap) + tech_3_5*TblTech[[#This Row],[3-5]] + tech_5_3*TblTech[[#This Row],[5-3]] + tech_5_5*TblTech[[#This Row],[5-5]]))*elite1_ore,0)</f>
        <v>0</v>
      </c>
      <c r="BO130" s="97">
        <f ca="1">ROUNDUP((1-MIN(TblMili[[#This Row],[Smithies]]*smithy_bonus,smithy_bonus_cap) + tech_3_5*TblTech[[#This Row],[3-5]] + tech_5_3*TblTech[[#This Row],[5-3]] + tech_5_5*TblTech[[#This Row],[5-5]])*elite2_plat,0)</f>
        <v>608</v>
      </c>
      <c r="BP130" s="97">
        <f ca="1">ROUNDUP(IF(race="Gnome",1,(1-MIN(TblMili[[#This Row],[Smithies]]*smithy_bonus,smithy_bonus_cap) + tech_3_5*TblTech[[#This Row],[3-5]] + tech_5_3*TblTech[[#This Row],[5-3]] + tech_5_5*TblTech[[#This Row],[5-5]]))*elite2_ore,0)</f>
        <v>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5.7142857142857141E-2</v>
      </c>
      <c r="BW130" s="160">
        <f ca="1">TblMili[[#This Row],[WG''s]]</f>
        <v>0</v>
      </c>
      <c r="BX130" s="266">
        <f ca="1">IF(mystic_cap="none",TblMili[[#This Row],[Hill]]/mystic_bonus,MIN(mystic_cap,TblMili[[#This Row],[Hill]]/mystic_bonus))</f>
        <v>0.2857142857142857</v>
      </c>
      <c r="BY130" s="266">
        <f ca="1">IF(druid_op_cap="none",TblMili[[#This Row],[Hill]]/druid_op_bonus,MIN(druid_op_cap,TblMili[[#This Row],[Hill]]/druid_op_bonus))</f>
        <v>0.2857142857142857</v>
      </c>
      <c r="BZ130" s="266">
        <f ca="1">IF(druid_dp_cap="none",TblMili[[#This Row],[Hill]]/druid_dp_bonus,MIN(druid_dp_cap,TblMili[[#This Row],[Hill]]/druid_dp_bonus))</f>
        <v>0.2857142857142857</v>
      </c>
      <c r="CA130" s="266">
        <f ca="1">MIN(dryad_cap,TblMili[[#This Row],[Hill]]/dryad_bonus)</f>
        <v>0.2857142857142857</v>
      </c>
      <c r="CB130" s="266">
        <f ca="1">MIN(rocka_cap,TblMili[[#This Row],[Hill]]/rocka_bonus)</f>
        <v>0.2857142857142857</v>
      </c>
      <c r="CC130" s="266">
        <f ca="1">MIN(adept_op_cap,TblMili[[#This Row],[WG]]/adept_op_bonus)</f>
        <v>0</v>
      </c>
      <c r="CD130" s="266">
        <f ca="1">MIN(adept_dp_cap,TblMili[[#This Row],[WG]]/adept_dp_bonus)</f>
        <v>0</v>
      </c>
      <c r="CE130" s="97">
        <f ca="1">MIN(TblMili[[#This Row],[Unit 3]],TblMili[[#This Row],[Unit 2]])*2</f>
        <v>1400</v>
      </c>
      <c r="CF130" s="97">
        <f ca="1">MIN(TblMili[[#This Row],[Unit 1]],TblMili[[#This Row],[Unit 4]])*2</f>
        <v>0</v>
      </c>
      <c r="CG130" s="266">
        <f ca="1">MIN(frost_mage_cap,TblMili[[#This Row],[Hill]]/frost_mage_bonus)</f>
        <v>0.2857142857142857</v>
      </c>
      <c r="CH130" s="45">
        <f ca="1">MIN(ice_elem_cap,TblMili[[#This Row],[Raw (2)]]*ice_elem_bonus)</f>
        <v>3.5714285714285712E-2</v>
      </c>
      <c r="CI130" s="266">
        <f t="shared" si="4"/>
        <v>0.83333333333333337</v>
      </c>
      <c r="CJ130" s="266">
        <f ca="1">MIN(nox_nightshade_cap,TblConstr[[#This Row],[Homeland]]/TblConstr[[#This Row],[Land]]/nox_nightshade_swamp_bonus)</f>
        <v>0.5714285714285714</v>
      </c>
      <c r="CK130" s="267"/>
      <c r="CL130" s="267"/>
      <c r="CM130" s="267"/>
      <c r="CN130" s="266">
        <f ca="1">MIN(6,TblMili[[#This Row],[Mystic]]+Races!$F$19)*1.8 +  IF(TblMili[[#This Row],[Mystic]]+Races!$F$19&gt;6,(TblMili[[#This Row],[Mystic]]+Races!$F$19-6)*0.2,0) - Races!$I$19</f>
        <v>0.51428571428571423</v>
      </c>
      <c r="CO130"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0" s="97">
        <f ca="1">TblMili[[#This Row],[Mystic bonus]]*TblMili[[#This Row],[Unit 3]]+TblMili[[#This Row],[Druid bonus]]*TblMili[[#This Row],[Unit 4]]</f>
        <v>1149.4285714285706</v>
      </c>
      <c r="CQ130" s="158">
        <f ca="1">MIN(6,TblMili[[#This Row],[Dryad]]+Races!$F$35)*1.8 +  IF(TblMili[[#This Row],[Dryad]]+Races!$F$35&gt;6,(TblMili[[#This Row],[Dryad]]+Races!$F$35-6)*0.2,0) - Races!$I$19</f>
        <v>-1.2857142857142856</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2.7642857142857133</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0.51428571428571423</v>
      </c>
      <c r="CX130" s="158">
        <f ca="1">1.8 * MIN(MAX(TblMili[[#This Row],[Ice Elemental]]+Races!$E$71,Races!$F$71),6)  +  0.45 * MIN(MIN(TblMili[[#This Row],[Ice Elemental]]+Races!$E$71,Races!$F$71),6)  +  0.2 * ( MAX(TblMili[[#This Row],[Ice Elemental]]+Races!$E$71-6,0) + MAX(Races!$F$71-6,0) )  -  Races!$I$71</f>
        <v>6.4285714285714946E-2</v>
      </c>
      <c r="CY130" s="97">
        <f ca="1">TblMili[[#This Row],[Frost Mage bonus]]*TblMili[[#This Row],[Unit 3]]+TblMili[[#This Row],[Ice Elemental bonus]]*TblMili[[#This Row],[Unit 4]]</f>
        <v>438.94285714285786</v>
      </c>
      <c r="CZ130" s="268"/>
      <c r="DA130" s="146">
        <f ca="1">MIN(SUM(TblConstr[[#This Row],[Plain]:[Water]])/TblMili[[#This Row],[Land]]/favorable_terrain_bonus/100,favorable_terrain_max)</f>
        <v>0</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0" s="145"/>
      <c r="DE130" s="269">
        <f ca="1">(TblMili[[#This Row],[Wizards]]+2*TblMili[[#This Row],[Archmages]])/TblConstr[[#This Row],[Land]]</f>
        <v>3.5714285714285712E-2</v>
      </c>
      <c r="DF130" s="269">
        <f ca="1">TblMili[[#This Row],[Raw (2)]]*(1+race_wizard_strength+IF(TblMili[[#This Row],[Hour]]&gt;72,tech_magical_weaponry_wiz*TblTech[[#This Row],[3-5]],0))</f>
        <v>3.5714285714285712E-2</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7177</v>
      </c>
      <c r="C131" s="160">
        <f ca="1">TblPop[[#This Row],[Military%]]</f>
        <v>0.55467965066852154</v>
      </c>
      <c r="D131" s="145"/>
      <c r="E131" s="45">
        <f ca="1">OFFSET(TblMili[[#This Row],[Unit 1]],-1,0) + OFFSET(TblMili[[#This Row],[Train Unit 1]],-9,0) - TblMili[[#This Row],[Release Unit 1]]</f>
        <v>0</v>
      </c>
      <c r="F131" s="45">
        <f ca="1">OFFSET(TblMili[[#This Row],[Unit 2]],-1,0) + OFFSET(TblMili[[#This Row],[Train Unit 2]],-9,0)-TblMili[[#This Row],[Release Unit 2]]</f>
        <v>1246</v>
      </c>
      <c r="G131" s="45">
        <f ca="1">OFFSET(TblMili[[#This Row],[Unit 3]],-1,0) + OFFSET(TblMili[[#This Row],[Train Unit 3]],-12,0)-TblMili[[#This Row],[Release Unit 3]]</f>
        <v>700</v>
      </c>
      <c r="H131" s="45">
        <f ca="1">OFFSET(TblMili[[#This Row],[Unit 4]],-1,0) + OFFSET(TblMili[[#This Row],[Train Unit 4]],-12,0)-TblMili[[#This Row],[Release Unit 4]]</f>
        <v>1228</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42359.8</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6140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6293.4999999999991</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1" s="262">
        <f ca="1">TblMili[[#This Row],[Non Draft]]+TblMili[[#This Row],[Draftees]]</f>
        <v>14525</v>
      </c>
      <c r="U131" s="263">
        <f ca="1">race_defense + TblImps[[#This Row],[Walls]] + ROUND( MIN(gt_bonus*TblConstr[[#This Row],[Tot GT]]/TblConstr[[#This Row],[Land]],gt_bonus_cap), 4) + IF(TblMagic[[#This Row],[Active Howling]]&gt;0,howling_dp_bonus,IF(TblMagic[[#This Row],[Active Ares Call]]&gt;0,ares_call_bonus))</f>
        <v>0.13750000000000001</v>
      </c>
      <c r="V131" s="264">
        <f ca="1">TblMili[[#This Row],[Non Draft]] * (1 + TblMili[[#This Row],[Mods_Def]])</f>
        <v>12025.65</v>
      </c>
      <c r="W131" s="262">
        <f ca="1">TblMili[[#This Row],[Draft]] * (1 + TblMili[[#This Row],[Mods_Def]])</f>
        <v>16522.1875</v>
      </c>
      <c r="X131" s="262">
        <f ca="1">TblConstr[[#This Row],[Land]]</f>
        <v>700</v>
      </c>
      <c r="Y131" s="265"/>
      <c r="Z131" s="270">
        <f ca="1">IF(TblMili[[#This Row],[Set]]&lt;&gt;"",TblMili[[#This Row],[Set]],OFFSET(TblMili[[#This Row],[Draftrate]],-1,0))</f>
        <v>0.9</v>
      </c>
      <c r="AA131" s="97">
        <f ca="1">OFFSET(TblMili[[#This Row],[Draftees]],-1,0)+OFFSET(TblPop[[#This Row],[Draft Growth]],-1,0) - SUM(TblMili[[#This Row],[Train Unit 1]:[Train Spies]],TblMili[[#This Row],[Train Wiz]]) - TblMili[[#This Row],[Release Draft]] + SUM(TblMili[[#This Row],[Release Unit 1]:[Release AM]]) - TblExplore[[#This Row],[Draftees (2)]]</f>
        <v>3953</v>
      </c>
      <c r="AB131" s="157"/>
      <c r="AC131" s="183">
        <f ca="1">(TblConstr[[#This Row],[Tot Smi]]+TblConstr[[#This Row],[Dest Smi]])/(TblConstr[[#This Row],[Land]]-TblExplore[[#This Row],[Land Bonus]]*20)</f>
        <v>0.18</v>
      </c>
      <c r="AD131" s="140"/>
      <c r="AE131" s="261">
        <f>TblMili[[#This Row],[Hour]]</f>
        <v>128</v>
      </c>
      <c r="AF131" s="141">
        <f ca="1">TblExplore[[#This Row],[Time]]</f>
        <v>45435.041666666359</v>
      </c>
      <c r="AG131" s="182"/>
      <c r="AH131" s="182"/>
      <c r="AI131" s="182"/>
      <c r="AJ131" s="182"/>
      <c r="AK131" s="182"/>
      <c r="AL131" s="182"/>
      <c r="AM131" s="182"/>
      <c r="AN131" s="182"/>
      <c r="AO131" s="145"/>
      <c r="AP131" s="97">
        <f ca="1">TblProd[[#This Row],[Platinum]]</f>
        <v>2063287</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45435.041666666359</v>
      </c>
      <c r="AV131" s="97">
        <f ca="1">TblMili[[#This Row],[Draftees]]</f>
        <v>3953</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192</v>
      </c>
      <c r="BJ131" s="97">
        <f ca="1">ROUNDUP(IF(race="Gnome",1,(1-MIN(TblMili[[#This Row],[Smithies]]*smithy_bonus,smithy_bonus_cap) + tech_3_5*TblTech[[#This Row],[3-5]] + tech_5_3*TblTech[[#This Row],[5-3]] + tech_5_5*TblTech[[#This Row],[5-5]]))*spec_op_ore,0)</f>
        <v>0</v>
      </c>
      <c r="BK131" s="97">
        <f ca="1">ROUNDUP((1-MIN(TblMili[[#This Row],[Smithies]]*smithy_bonus,smithy_bonus_cap) + tech_3_5*TblTech[[#This Row],[3-5]] + tech_5_3*TblTech[[#This Row],[5-3]] + tech_5_5*TblTech[[#This Row],[5-5]])*spec_dp_plat,0)</f>
        <v>192</v>
      </c>
      <c r="BL131" s="97">
        <f ca="1">ROUNDUP(IF(race="Gnome",1,(1-MIN(TblMili[[#This Row],[Smithies]]*smithy_bonus,smithy_bonus_cap) + tech_3_5*TblTech[[#This Row],[3-5]] + tech_5_3*TblTech[[#This Row],[5-3]] + tech_5_5*TblTech[[#This Row],[5-5]]))*spec_dp_ore,0)</f>
        <v>0</v>
      </c>
      <c r="BM131" s="97">
        <f ca="1">ROUNDUP((1-MIN(TblMili[[#This Row],[Smithies]]*smithy_bonus,smithy_bonus_cap) + tech_3_5*TblTech[[#This Row],[3-5]] + tech_5_3*TblTech[[#This Row],[5-3]] + tech_5_5*TblTech[[#This Row],[5-5]])*elite1_plat,0)</f>
        <v>592</v>
      </c>
      <c r="BN131" s="97">
        <f ca="1">ROUNDUP(IF(race="Gnome",1,(1-MIN(TblMili[[#This Row],[Smithies]]*smithy_bonus,smithy_bonus_cap) + tech_3_5*TblTech[[#This Row],[3-5]] + tech_5_3*TblTech[[#This Row],[5-3]] + tech_5_5*TblTech[[#This Row],[5-5]]))*elite1_ore,0)</f>
        <v>0</v>
      </c>
      <c r="BO131" s="97">
        <f ca="1">ROUNDUP((1-MIN(TblMili[[#This Row],[Smithies]]*smithy_bonus,smithy_bonus_cap) + tech_3_5*TblTech[[#This Row],[3-5]] + tech_5_3*TblTech[[#This Row],[5-3]] + tech_5_5*TblTech[[#This Row],[5-5]])*elite2_plat,0)</f>
        <v>608</v>
      </c>
      <c r="BP131" s="97">
        <f ca="1">ROUNDUP(IF(race="Gnome",1,(1-MIN(TblMili[[#This Row],[Smithies]]*smithy_bonus,smithy_bonus_cap) + tech_3_5*TblTech[[#This Row],[3-5]] + tech_5_3*TblTech[[#This Row],[5-3]] + tech_5_5*TblTech[[#This Row],[5-5]]))*elite2_ore,0)</f>
        <v>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5.7142857142857141E-2</v>
      </c>
      <c r="BW131" s="160">
        <f ca="1">TblMili[[#This Row],[WG''s]]</f>
        <v>0</v>
      </c>
      <c r="BX131" s="266">
        <f ca="1">IF(mystic_cap="none",TblMili[[#This Row],[Hill]]/mystic_bonus,MIN(mystic_cap,TblMili[[#This Row],[Hill]]/mystic_bonus))</f>
        <v>0.2857142857142857</v>
      </c>
      <c r="BY131" s="266">
        <f ca="1">IF(druid_op_cap="none",TblMili[[#This Row],[Hill]]/druid_op_bonus,MIN(druid_op_cap,TblMili[[#This Row],[Hill]]/druid_op_bonus))</f>
        <v>0.2857142857142857</v>
      </c>
      <c r="BZ131" s="266">
        <f ca="1">IF(druid_dp_cap="none",TblMili[[#This Row],[Hill]]/druid_dp_bonus,MIN(druid_dp_cap,TblMili[[#This Row],[Hill]]/druid_dp_bonus))</f>
        <v>0.2857142857142857</v>
      </c>
      <c r="CA131" s="266">
        <f ca="1">MIN(dryad_cap,TblMili[[#This Row],[Hill]]/dryad_bonus)</f>
        <v>0.2857142857142857</v>
      </c>
      <c r="CB131" s="266">
        <f ca="1">MIN(rocka_cap,TblMili[[#This Row],[Hill]]/rocka_bonus)</f>
        <v>0.2857142857142857</v>
      </c>
      <c r="CC131" s="266">
        <f ca="1">MIN(adept_op_cap,TblMili[[#This Row],[WG]]/adept_op_bonus)</f>
        <v>0</v>
      </c>
      <c r="CD131" s="266">
        <f ca="1">MIN(adept_dp_cap,TblMili[[#This Row],[WG]]/adept_dp_bonus)</f>
        <v>0</v>
      </c>
      <c r="CE131" s="97">
        <f ca="1">MIN(TblMili[[#This Row],[Unit 3]],TblMili[[#This Row],[Unit 2]])*2</f>
        <v>1400</v>
      </c>
      <c r="CF131" s="97">
        <f ca="1">MIN(TblMili[[#This Row],[Unit 1]],TblMili[[#This Row],[Unit 4]])*2</f>
        <v>0</v>
      </c>
      <c r="CG131" s="266">
        <f ca="1">MIN(frost_mage_cap,TblMili[[#This Row],[Hill]]/frost_mage_bonus)</f>
        <v>0.2857142857142857</v>
      </c>
      <c r="CH131" s="45">
        <f ca="1">MIN(ice_elem_cap,TblMili[[#This Row],[Raw (2)]]*ice_elem_bonus)</f>
        <v>3.5714285714285712E-2</v>
      </c>
      <c r="CI131" s="266">
        <f t="shared" si="4"/>
        <v>0.83333333333333337</v>
      </c>
      <c r="CJ131" s="266">
        <f ca="1">MIN(nox_nightshade_cap,TblConstr[[#This Row],[Homeland]]/TblConstr[[#This Row],[Land]]/nox_nightshade_swamp_bonus)</f>
        <v>0.5714285714285714</v>
      </c>
      <c r="CK131" s="267"/>
      <c r="CL131" s="267"/>
      <c r="CM131" s="267"/>
      <c r="CN131" s="266">
        <f ca="1">MIN(6,TblMili[[#This Row],[Mystic]]+Races!$F$19)*1.8 +  IF(TblMili[[#This Row],[Mystic]]+Races!$F$19&gt;6,(TblMili[[#This Row],[Mystic]]+Races!$F$19-6)*0.2,0) - Races!$I$19</f>
        <v>0.51428571428571423</v>
      </c>
      <c r="CO131"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1" s="97">
        <f ca="1">TblMili[[#This Row],[Mystic bonus]]*TblMili[[#This Row],[Unit 3]]+TblMili[[#This Row],[Druid bonus]]*TblMili[[#This Row],[Unit 4]]</f>
        <v>1149.4285714285706</v>
      </c>
      <c r="CQ131" s="158">
        <f ca="1">MIN(6,TblMili[[#This Row],[Dryad]]+Races!$F$35)*1.8 +  IF(TblMili[[#This Row],[Dryad]]+Races!$F$35&gt;6,(TblMili[[#This Row],[Dryad]]+Races!$F$35-6)*0.2,0) - Races!$I$19</f>
        <v>-1.2857142857142856</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2.7642857142857133</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0.51428571428571423</v>
      </c>
      <c r="CX131" s="158">
        <f ca="1">1.8 * MIN(MAX(TblMili[[#This Row],[Ice Elemental]]+Races!$E$71,Races!$F$71),6)  +  0.45 * MIN(MIN(TblMili[[#This Row],[Ice Elemental]]+Races!$E$71,Races!$F$71),6)  +  0.2 * ( MAX(TblMili[[#This Row],[Ice Elemental]]+Races!$E$71-6,0) + MAX(Races!$F$71-6,0) )  -  Races!$I$71</f>
        <v>6.4285714285714946E-2</v>
      </c>
      <c r="CY131" s="97">
        <f ca="1">TblMili[[#This Row],[Frost Mage bonus]]*TblMili[[#This Row],[Unit 3]]+TblMili[[#This Row],[Ice Elemental bonus]]*TblMili[[#This Row],[Unit 4]]</f>
        <v>438.94285714285786</v>
      </c>
      <c r="CZ131" s="268"/>
      <c r="DA131" s="146">
        <f ca="1">MIN(SUM(TblConstr[[#This Row],[Plain]:[Water]])/TblMili[[#This Row],[Land]]/favorable_terrain_bonus/100,favorable_terrain_max)</f>
        <v>0</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1" s="145"/>
      <c r="DE131" s="269">
        <f ca="1">(TblMili[[#This Row],[Wizards]]+2*TblMili[[#This Row],[Archmages]])/TblConstr[[#This Row],[Land]]</f>
        <v>3.5714285714285712E-2</v>
      </c>
      <c r="DF131" s="269">
        <f ca="1">TblMili[[#This Row],[Raw (2)]]*(1+race_wizard_strength+IF(TblMili[[#This Row],[Hour]]&gt;72,tech_magical_weaponry_wiz*TblTech[[#This Row],[3-5]],0))</f>
        <v>3.5714285714285712E-2</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7235</v>
      </c>
      <c r="C132" s="160">
        <f ca="1">TblPop[[#This Row],[Military%]]</f>
        <v>0.55916222273746041</v>
      </c>
      <c r="D132" s="145"/>
      <c r="E132" s="45">
        <f ca="1">OFFSET(TblMili[[#This Row],[Unit 1]],-1,0) + OFFSET(TblMili[[#This Row],[Train Unit 1]],-9,0) - TblMili[[#This Row],[Release Unit 1]]</f>
        <v>0</v>
      </c>
      <c r="F132" s="45">
        <f ca="1">OFFSET(TblMili[[#This Row],[Unit 2]],-1,0) + OFFSET(TblMili[[#This Row],[Train Unit 2]],-9,0)-TblMili[[#This Row],[Release Unit 2]]</f>
        <v>1246</v>
      </c>
      <c r="G132" s="45">
        <f ca="1">OFFSET(TblMili[[#This Row],[Unit 3]],-1,0) + OFFSET(TblMili[[#This Row],[Train Unit 3]],-12,0)-TblMili[[#This Row],[Release Unit 3]]</f>
        <v>700</v>
      </c>
      <c r="H132" s="45">
        <f ca="1">OFFSET(TblMili[[#This Row],[Unit 4]],-1,0) + OFFSET(TblMili[[#This Row],[Train Unit 4]],-12,0)-TblMili[[#This Row],[Release Unit 4]]</f>
        <v>1228</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42359.8</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6140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6293.4999999999991</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2" s="262">
        <f ca="1">TblMili[[#This Row],[Non Draft]]+TblMili[[#This Row],[Draftees]]</f>
        <v>14583</v>
      </c>
      <c r="U132" s="263">
        <f ca="1">race_defense + TblImps[[#This Row],[Walls]] + ROUND( MIN(gt_bonus*TblConstr[[#This Row],[Tot GT]]/TblConstr[[#This Row],[Land]],gt_bonus_cap), 4) + IF(TblMagic[[#This Row],[Active Howling]]&gt;0,howling_dp_bonus,IF(TblMagic[[#This Row],[Active Ares Call]]&gt;0,ares_call_bonus))</f>
        <v>0.13750000000000001</v>
      </c>
      <c r="V132" s="264">
        <f ca="1">TblMili[[#This Row],[Non Draft]] * (1 + TblMili[[#This Row],[Mods_Def]])</f>
        <v>12025.65</v>
      </c>
      <c r="W132" s="262">
        <f ca="1">TblMili[[#This Row],[Draft]] * (1 + TblMili[[#This Row],[Mods_Def]])</f>
        <v>16588.162499999999</v>
      </c>
      <c r="X132" s="262">
        <f ca="1">TblConstr[[#This Row],[Land]]</f>
        <v>700</v>
      </c>
      <c r="Y132" s="265"/>
      <c r="Z132" s="270">
        <f ca="1">IF(TblMili[[#This Row],[Set]]&lt;&gt;"",TblMili[[#This Row],[Set]],OFFSET(TblMili[[#This Row],[Draftrate]],-1,0))</f>
        <v>0.9</v>
      </c>
      <c r="AA132" s="97">
        <f ca="1">OFFSET(TblMili[[#This Row],[Draftees]],-1,0)+OFFSET(TblPop[[#This Row],[Draft Growth]],-1,0) - SUM(TblMili[[#This Row],[Train Unit 1]:[Train Spies]],TblMili[[#This Row],[Train Wiz]]) - TblMili[[#This Row],[Release Draft]] + SUM(TblMili[[#This Row],[Release Unit 1]:[Release AM]]) - TblExplore[[#This Row],[Draftees (2)]]</f>
        <v>4011</v>
      </c>
      <c r="AB132" s="157"/>
      <c r="AC132" s="183">
        <f ca="1">(TblConstr[[#This Row],[Tot Smi]]+TblConstr[[#This Row],[Dest Smi]])/(TblConstr[[#This Row],[Land]]-TblExplore[[#This Row],[Land Bonus]]*20)</f>
        <v>0.18</v>
      </c>
      <c r="AD132" s="140"/>
      <c r="AE132" s="261">
        <f>TblMili[[#This Row],[Hour]]</f>
        <v>129</v>
      </c>
      <c r="AF132" s="141">
        <f ca="1">TblExplore[[#This Row],[Time]]</f>
        <v>45435.083333333023</v>
      </c>
      <c r="AG132" s="182"/>
      <c r="AH132" s="182"/>
      <c r="AI132" s="182"/>
      <c r="AJ132" s="182"/>
      <c r="AK132" s="182"/>
      <c r="AL132" s="182"/>
      <c r="AM132" s="182"/>
      <c r="AN132" s="182"/>
      <c r="AO132" s="145"/>
      <c r="AP132" s="97">
        <f ca="1">TblProd[[#This Row],[Platinum]]</f>
        <v>2091219</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45435.083333333023</v>
      </c>
      <c r="AV132" s="97">
        <f ca="1">TblMili[[#This Row],[Draftees]]</f>
        <v>4011</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192</v>
      </c>
      <c r="BJ132" s="97">
        <f ca="1">ROUNDUP(IF(race="Gnome",1,(1-MIN(TblMili[[#This Row],[Smithies]]*smithy_bonus,smithy_bonus_cap) + tech_3_5*TblTech[[#This Row],[3-5]] + tech_5_3*TblTech[[#This Row],[5-3]] + tech_5_5*TblTech[[#This Row],[5-5]]))*spec_op_ore,0)</f>
        <v>0</v>
      </c>
      <c r="BK132" s="97">
        <f ca="1">ROUNDUP((1-MIN(TblMili[[#This Row],[Smithies]]*smithy_bonus,smithy_bonus_cap) + tech_3_5*TblTech[[#This Row],[3-5]] + tech_5_3*TblTech[[#This Row],[5-3]] + tech_5_5*TblTech[[#This Row],[5-5]])*spec_dp_plat,0)</f>
        <v>192</v>
      </c>
      <c r="BL132" s="97">
        <f ca="1">ROUNDUP(IF(race="Gnome",1,(1-MIN(TblMili[[#This Row],[Smithies]]*smithy_bonus,smithy_bonus_cap) + tech_3_5*TblTech[[#This Row],[3-5]] + tech_5_3*TblTech[[#This Row],[5-3]] + tech_5_5*TblTech[[#This Row],[5-5]]))*spec_dp_ore,0)</f>
        <v>0</v>
      </c>
      <c r="BM132" s="97">
        <f ca="1">ROUNDUP((1-MIN(TblMili[[#This Row],[Smithies]]*smithy_bonus,smithy_bonus_cap) + tech_3_5*TblTech[[#This Row],[3-5]] + tech_5_3*TblTech[[#This Row],[5-3]] + tech_5_5*TblTech[[#This Row],[5-5]])*elite1_plat,0)</f>
        <v>592</v>
      </c>
      <c r="BN132" s="97">
        <f ca="1">ROUNDUP(IF(race="Gnome",1,(1-MIN(TblMili[[#This Row],[Smithies]]*smithy_bonus,smithy_bonus_cap) + tech_3_5*TblTech[[#This Row],[3-5]] + tech_5_3*TblTech[[#This Row],[5-3]] + tech_5_5*TblTech[[#This Row],[5-5]]))*elite1_ore,0)</f>
        <v>0</v>
      </c>
      <c r="BO132" s="97">
        <f ca="1">ROUNDUP((1-MIN(TblMili[[#This Row],[Smithies]]*smithy_bonus,smithy_bonus_cap) + tech_3_5*TblTech[[#This Row],[3-5]] + tech_5_3*TblTech[[#This Row],[5-3]] + tech_5_5*TblTech[[#This Row],[5-5]])*elite2_plat,0)</f>
        <v>608</v>
      </c>
      <c r="BP132" s="97">
        <f ca="1">ROUNDUP(IF(race="Gnome",1,(1-MIN(TblMili[[#This Row],[Smithies]]*smithy_bonus,smithy_bonus_cap) + tech_3_5*TblTech[[#This Row],[3-5]] + tech_5_3*TblTech[[#This Row],[5-3]] + tech_5_5*TblTech[[#This Row],[5-5]]))*elite2_ore,0)</f>
        <v>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5.7142857142857141E-2</v>
      </c>
      <c r="BW132" s="160">
        <f ca="1">TblMili[[#This Row],[WG''s]]</f>
        <v>0</v>
      </c>
      <c r="BX132" s="266">
        <f ca="1">IF(mystic_cap="none",TblMili[[#This Row],[Hill]]/mystic_bonus,MIN(mystic_cap,TblMili[[#This Row],[Hill]]/mystic_bonus))</f>
        <v>0.2857142857142857</v>
      </c>
      <c r="BY132" s="266">
        <f ca="1">IF(druid_op_cap="none",TblMili[[#This Row],[Hill]]/druid_op_bonus,MIN(druid_op_cap,TblMili[[#This Row],[Hill]]/druid_op_bonus))</f>
        <v>0.2857142857142857</v>
      </c>
      <c r="BZ132" s="266">
        <f ca="1">IF(druid_dp_cap="none",TblMili[[#This Row],[Hill]]/druid_dp_bonus,MIN(druid_dp_cap,TblMili[[#This Row],[Hill]]/druid_dp_bonus))</f>
        <v>0.2857142857142857</v>
      </c>
      <c r="CA132" s="266">
        <f ca="1">MIN(dryad_cap,TblMili[[#This Row],[Hill]]/dryad_bonus)</f>
        <v>0.2857142857142857</v>
      </c>
      <c r="CB132" s="266">
        <f ca="1">MIN(rocka_cap,TblMili[[#This Row],[Hill]]/rocka_bonus)</f>
        <v>0.2857142857142857</v>
      </c>
      <c r="CC132" s="266">
        <f ca="1">MIN(adept_op_cap,TblMili[[#This Row],[WG]]/adept_op_bonus)</f>
        <v>0</v>
      </c>
      <c r="CD132" s="266">
        <f ca="1">MIN(adept_dp_cap,TblMili[[#This Row],[WG]]/adept_dp_bonus)</f>
        <v>0</v>
      </c>
      <c r="CE132" s="97">
        <f ca="1">MIN(TblMili[[#This Row],[Unit 3]],TblMili[[#This Row],[Unit 2]])*2</f>
        <v>1400</v>
      </c>
      <c r="CF132" s="97">
        <f ca="1">MIN(TblMili[[#This Row],[Unit 1]],TblMili[[#This Row],[Unit 4]])*2</f>
        <v>0</v>
      </c>
      <c r="CG132" s="266">
        <f ca="1">MIN(frost_mage_cap,TblMili[[#This Row],[Hill]]/frost_mage_bonus)</f>
        <v>0.2857142857142857</v>
      </c>
      <c r="CH132" s="45">
        <f ca="1">MIN(ice_elem_cap,TblMili[[#This Row],[Raw (2)]]*ice_elem_bonus)</f>
        <v>3.5714285714285712E-2</v>
      </c>
      <c r="CI132" s="266">
        <f t="shared" si="4"/>
        <v>0.83333333333333337</v>
      </c>
      <c r="CJ132" s="266">
        <f ca="1">MIN(nox_nightshade_cap,TblConstr[[#This Row],[Homeland]]/TblConstr[[#This Row],[Land]]/nox_nightshade_swamp_bonus)</f>
        <v>0.5714285714285714</v>
      </c>
      <c r="CK132" s="267"/>
      <c r="CL132" s="267"/>
      <c r="CM132" s="267"/>
      <c r="CN132" s="266">
        <f ca="1">MIN(6,TblMili[[#This Row],[Mystic]]+Races!$F$19)*1.8 +  IF(TblMili[[#This Row],[Mystic]]+Races!$F$19&gt;6,(TblMili[[#This Row],[Mystic]]+Races!$F$19-6)*0.2,0) - Races!$I$19</f>
        <v>0.51428571428571423</v>
      </c>
      <c r="CO132"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2" s="97">
        <f ca="1">TblMili[[#This Row],[Mystic bonus]]*TblMili[[#This Row],[Unit 3]]+TblMili[[#This Row],[Druid bonus]]*TblMili[[#This Row],[Unit 4]]</f>
        <v>1149.4285714285706</v>
      </c>
      <c r="CQ132" s="158">
        <f ca="1">MIN(6,TblMili[[#This Row],[Dryad]]+Races!$F$35)*1.8 +  IF(TblMili[[#This Row],[Dryad]]+Races!$F$35&gt;6,(TblMili[[#This Row],[Dryad]]+Races!$F$35-6)*0.2,0) - Races!$I$19</f>
        <v>-1.2857142857142856</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2.7642857142857133</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0.51428571428571423</v>
      </c>
      <c r="CX132" s="158">
        <f ca="1">1.8 * MIN(MAX(TblMili[[#This Row],[Ice Elemental]]+Races!$E$71,Races!$F$71),6)  +  0.45 * MIN(MIN(TblMili[[#This Row],[Ice Elemental]]+Races!$E$71,Races!$F$71),6)  +  0.2 * ( MAX(TblMili[[#This Row],[Ice Elemental]]+Races!$E$71-6,0) + MAX(Races!$F$71-6,0) )  -  Races!$I$71</f>
        <v>6.4285714285714946E-2</v>
      </c>
      <c r="CY132" s="97">
        <f ca="1">TblMili[[#This Row],[Frost Mage bonus]]*TblMili[[#This Row],[Unit 3]]+TblMili[[#This Row],[Ice Elemental bonus]]*TblMili[[#This Row],[Unit 4]]</f>
        <v>438.94285714285786</v>
      </c>
      <c r="CZ132" s="268"/>
      <c r="DA132" s="146">
        <f ca="1">MIN(SUM(TblConstr[[#This Row],[Plain]:[Water]])/TblMili[[#This Row],[Land]]/favorable_terrain_bonus/100,favorable_terrain_max)</f>
        <v>0</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2" s="145"/>
      <c r="DE132" s="269">
        <f ca="1">(TblMili[[#This Row],[Wizards]]+2*TblMili[[#This Row],[Archmages]])/TblConstr[[#This Row],[Land]]</f>
        <v>3.5714285714285712E-2</v>
      </c>
      <c r="DF132" s="269">
        <f ca="1">TblMili[[#This Row],[Raw (2)]]*(1+race_wizard_strength+IF(TblMili[[#This Row],[Hour]]&gt;72,tech_magical_weaponry_wiz*TblTech[[#This Row],[3-5]],0))</f>
        <v>3.5714285714285712E-2</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7292</v>
      </c>
      <c r="C133" s="160">
        <f ca="1">TblPop[[#This Row],[Military%]]</f>
        <v>0.56356750908107267</v>
      </c>
      <c r="D133" s="145"/>
      <c r="E133" s="45">
        <f ca="1">OFFSET(TblMili[[#This Row],[Unit 1]],-1,0) + OFFSET(TblMili[[#This Row],[Train Unit 1]],-9,0) - TblMili[[#This Row],[Release Unit 1]]</f>
        <v>0</v>
      </c>
      <c r="F133" s="45">
        <f ca="1">OFFSET(TblMili[[#This Row],[Unit 2]],-1,0) + OFFSET(TblMili[[#This Row],[Train Unit 2]],-9,0)-TblMili[[#This Row],[Release Unit 2]]</f>
        <v>1246</v>
      </c>
      <c r="G133" s="45">
        <f ca="1">OFFSET(TblMili[[#This Row],[Unit 3]],-1,0) + OFFSET(TblMili[[#This Row],[Train Unit 3]],-12,0)-TblMili[[#This Row],[Release Unit 3]]</f>
        <v>700</v>
      </c>
      <c r="H133" s="45">
        <f ca="1">OFFSET(TblMili[[#This Row],[Unit 4]],-1,0) + OFFSET(TblMili[[#This Row],[Train Unit 4]],-12,0)-TblMili[[#This Row],[Release Unit 4]]</f>
        <v>1228</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42359.8</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6140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6293.4999999999991</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3" s="262">
        <f ca="1">TblMili[[#This Row],[Non Draft]]+TblMili[[#This Row],[Draftees]]</f>
        <v>14640</v>
      </c>
      <c r="U133" s="263">
        <f ca="1">race_defense + TblImps[[#This Row],[Walls]] + ROUND( MIN(gt_bonus*TblConstr[[#This Row],[Tot GT]]/TblConstr[[#This Row],[Land]],gt_bonus_cap), 4) + IF(TblMagic[[#This Row],[Active Howling]]&gt;0,howling_dp_bonus,IF(TblMagic[[#This Row],[Active Ares Call]]&gt;0,ares_call_bonus))</f>
        <v>0.13750000000000001</v>
      </c>
      <c r="V133" s="264">
        <f ca="1">TblMili[[#This Row],[Non Draft]] * (1 + TblMili[[#This Row],[Mods_Def]])</f>
        <v>12025.65</v>
      </c>
      <c r="W133" s="262">
        <f ca="1">TblMili[[#This Row],[Draft]] * (1 + TblMili[[#This Row],[Mods_Def]])</f>
        <v>16653</v>
      </c>
      <c r="X133" s="262">
        <f ca="1">TblConstr[[#This Row],[Land]]</f>
        <v>700</v>
      </c>
      <c r="Y133" s="265"/>
      <c r="Z133" s="270">
        <f ca="1">IF(TblMili[[#This Row],[Set]]&lt;&gt;"",TblMili[[#This Row],[Set]],OFFSET(TblMili[[#This Row],[Draftrate]],-1,0))</f>
        <v>0.9</v>
      </c>
      <c r="AA133" s="97">
        <f ca="1">OFFSET(TblMili[[#This Row],[Draftees]],-1,0)+OFFSET(TblPop[[#This Row],[Draft Growth]],-1,0) - SUM(TblMili[[#This Row],[Train Unit 1]:[Train Spies]],TblMili[[#This Row],[Train Wiz]]) - TblMili[[#This Row],[Release Draft]] + SUM(TblMili[[#This Row],[Release Unit 1]:[Release AM]]) - TblExplore[[#This Row],[Draftees (2)]]</f>
        <v>4068</v>
      </c>
      <c r="AB133" s="157"/>
      <c r="AC133" s="183">
        <f ca="1">(TblConstr[[#This Row],[Tot Smi]]+TblConstr[[#This Row],[Dest Smi]])/(TblConstr[[#This Row],[Land]]-TblExplore[[#This Row],[Land Bonus]]*20)</f>
        <v>0.18</v>
      </c>
      <c r="AD133" s="140"/>
      <c r="AE133" s="261">
        <f>TblMili[[#This Row],[Hour]]</f>
        <v>130</v>
      </c>
      <c r="AF133" s="141">
        <f ca="1">TblExplore[[#This Row],[Time]]</f>
        <v>45435.124999999687</v>
      </c>
      <c r="AG133" s="182"/>
      <c r="AH133" s="182"/>
      <c r="AI133" s="182"/>
      <c r="AJ133" s="182"/>
      <c r="AK133" s="182"/>
      <c r="AL133" s="182"/>
      <c r="AM133" s="182"/>
      <c r="AN133" s="182"/>
      <c r="AO133" s="145"/>
      <c r="AP133" s="97">
        <f ca="1">TblProd[[#This Row],[Platinum]]</f>
        <v>2118994</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45435.124999999687</v>
      </c>
      <c r="AV133" s="97">
        <f ca="1">TblMili[[#This Row],[Draftees]]</f>
        <v>4068</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192</v>
      </c>
      <c r="BJ133" s="97">
        <f ca="1">ROUNDUP(IF(race="Gnome",1,(1-MIN(TblMili[[#This Row],[Smithies]]*smithy_bonus,smithy_bonus_cap) + tech_3_5*TblTech[[#This Row],[3-5]] + tech_5_3*TblTech[[#This Row],[5-3]] + tech_5_5*TblTech[[#This Row],[5-5]]))*spec_op_ore,0)</f>
        <v>0</v>
      </c>
      <c r="BK133" s="97">
        <f ca="1">ROUNDUP((1-MIN(TblMili[[#This Row],[Smithies]]*smithy_bonus,smithy_bonus_cap) + tech_3_5*TblTech[[#This Row],[3-5]] + tech_5_3*TblTech[[#This Row],[5-3]] + tech_5_5*TblTech[[#This Row],[5-5]])*spec_dp_plat,0)</f>
        <v>192</v>
      </c>
      <c r="BL133" s="97">
        <f ca="1">ROUNDUP(IF(race="Gnome",1,(1-MIN(TblMili[[#This Row],[Smithies]]*smithy_bonus,smithy_bonus_cap) + tech_3_5*TblTech[[#This Row],[3-5]] + tech_5_3*TblTech[[#This Row],[5-3]] + tech_5_5*TblTech[[#This Row],[5-5]]))*spec_dp_ore,0)</f>
        <v>0</v>
      </c>
      <c r="BM133" s="97">
        <f ca="1">ROUNDUP((1-MIN(TblMili[[#This Row],[Smithies]]*smithy_bonus,smithy_bonus_cap) + tech_3_5*TblTech[[#This Row],[3-5]] + tech_5_3*TblTech[[#This Row],[5-3]] + tech_5_5*TblTech[[#This Row],[5-5]])*elite1_plat,0)</f>
        <v>592</v>
      </c>
      <c r="BN133" s="97">
        <f ca="1">ROUNDUP(IF(race="Gnome",1,(1-MIN(TblMili[[#This Row],[Smithies]]*smithy_bonus,smithy_bonus_cap) + tech_3_5*TblTech[[#This Row],[3-5]] + tech_5_3*TblTech[[#This Row],[5-3]] + tech_5_5*TblTech[[#This Row],[5-5]]))*elite1_ore,0)</f>
        <v>0</v>
      </c>
      <c r="BO133" s="97">
        <f ca="1">ROUNDUP((1-MIN(TblMili[[#This Row],[Smithies]]*smithy_bonus,smithy_bonus_cap) + tech_3_5*TblTech[[#This Row],[3-5]] + tech_5_3*TblTech[[#This Row],[5-3]] + tech_5_5*TblTech[[#This Row],[5-5]])*elite2_plat,0)</f>
        <v>608</v>
      </c>
      <c r="BP133" s="97">
        <f ca="1">ROUNDUP(IF(race="Gnome",1,(1-MIN(TblMili[[#This Row],[Smithies]]*smithy_bonus,smithy_bonus_cap) + tech_3_5*TblTech[[#This Row],[3-5]] + tech_5_3*TblTech[[#This Row],[5-3]] + tech_5_5*TblTech[[#This Row],[5-5]]))*elite2_ore,0)</f>
        <v>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5.7142857142857141E-2</v>
      </c>
      <c r="BW133" s="160">
        <f ca="1">TblMili[[#This Row],[WG''s]]</f>
        <v>0</v>
      </c>
      <c r="BX133" s="266">
        <f ca="1">IF(mystic_cap="none",TblMili[[#This Row],[Hill]]/mystic_bonus,MIN(mystic_cap,TblMili[[#This Row],[Hill]]/mystic_bonus))</f>
        <v>0.2857142857142857</v>
      </c>
      <c r="BY133" s="266">
        <f ca="1">IF(druid_op_cap="none",TblMili[[#This Row],[Hill]]/druid_op_bonus,MIN(druid_op_cap,TblMili[[#This Row],[Hill]]/druid_op_bonus))</f>
        <v>0.2857142857142857</v>
      </c>
      <c r="BZ133" s="266">
        <f ca="1">IF(druid_dp_cap="none",TblMili[[#This Row],[Hill]]/druid_dp_bonus,MIN(druid_dp_cap,TblMili[[#This Row],[Hill]]/druid_dp_bonus))</f>
        <v>0.2857142857142857</v>
      </c>
      <c r="CA133" s="266">
        <f ca="1">MIN(dryad_cap,TblMili[[#This Row],[Hill]]/dryad_bonus)</f>
        <v>0.2857142857142857</v>
      </c>
      <c r="CB133" s="266">
        <f ca="1">MIN(rocka_cap,TblMili[[#This Row],[Hill]]/rocka_bonus)</f>
        <v>0.2857142857142857</v>
      </c>
      <c r="CC133" s="266">
        <f ca="1">MIN(adept_op_cap,TblMili[[#This Row],[WG]]/adept_op_bonus)</f>
        <v>0</v>
      </c>
      <c r="CD133" s="266">
        <f ca="1">MIN(adept_dp_cap,TblMili[[#This Row],[WG]]/adept_dp_bonus)</f>
        <v>0</v>
      </c>
      <c r="CE133" s="97">
        <f ca="1">MIN(TblMili[[#This Row],[Unit 3]],TblMili[[#This Row],[Unit 2]])*2</f>
        <v>1400</v>
      </c>
      <c r="CF133" s="97">
        <f ca="1">MIN(TblMili[[#This Row],[Unit 1]],TblMili[[#This Row],[Unit 4]])*2</f>
        <v>0</v>
      </c>
      <c r="CG133" s="266">
        <f ca="1">MIN(frost_mage_cap,TblMili[[#This Row],[Hill]]/frost_mage_bonus)</f>
        <v>0.2857142857142857</v>
      </c>
      <c r="CH133" s="45">
        <f ca="1">MIN(ice_elem_cap,TblMili[[#This Row],[Raw (2)]]*ice_elem_bonus)</f>
        <v>3.5714285714285712E-2</v>
      </c>
      <c r="CI133" s="266">
        <f t="shared" si="4"/>
        <v>0.83333333333333337</v>
      </c>
      <c r="CJ133" s="266">
        <f ca="1">MIN(nox_nightshade_cap,TblConstr[[#This Row],[Homeland]]/TblConstr[[#This Row],[Land]]/nox_nightshade_swamp_bonus)</f>
        <v>0.5714285714285714</v>
      </c>
      <c r="CK133" s="267"/>
      <c r="CL133" s="267"/>
      <c r="CM133" s="267"/>
      <c r="CN133" s="266">
        <f ca="1">MIN(6,TblMili[[#This Row],[Mystic]]+Races!$F$19)*1.8 +  IF(TblMili[[#This Row],[Mystic]]+Races!$F$19&gt;6,(TblMili[[#This Row],[Mystic]]+Races!$F$19-6)*0.2,0) - Races!$I$19</f>
        <v>0.51428571428571423</v>
      </c>
      <c r="CO133"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3" s="97">
        <f ca="1">TblMili[[#This Row],[Mystic bonus]]*TblMili[[#This Row],[Unit 3]]+TblMili[[#This Row],[Druid bonus]]*TblMili[[#This Row],[Unit 4]]</f>
        <v>1149.4285714285706</v>
      </c>
      <c r="CQ133" s="158">
        <f ca="1">MIN(6,TblMili[[#This Row],[Dryad]]+Races!$F$35)*1.8 +  IF(TblMili[[#This Row],[Dryad]]+Races!$F$35&gt;6,(TblMili[[#This Row],[Dryad]]+Races!$F$35-6)*0.2,0) - Races!$I$19</f>
        <v>-1.2857142857142856</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2.7642857142857133</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0.51428571428571423</v>
      </c>
      <c r="CX133" s="158">
        <f ca="1">1.8 * MIN(MAX(TblMili[[#This Row],[Ice Elemental]]+Races!$E$71,Races!$F$71),6)  +  0.45 * MIN(MIN(TblMili[[#This Row],[Ice Elemental]]+Races!$E$71,Races!$F$71),6)  +  0.2 * ( MAX(TblMili[[#This Row],[Ice Elemental]]+Races!$E$71-6,0) + MAX(Races!$F$71-6,0) )  -  Races!$I$71</f>
        <v>6.4285714285714946E-2</v>
      </c>
      <c r="CY133" s="97">
        <f ca="1">TblMili[[#This Row],[Frost Mage bonus]]*TblMili[[#This Row],[Unit 3]]+TblMili[[#This Row],[Ice Elemental bonus]]*TblMili[[#This Row],[Unit 4]]</f>
        <v>438.94285714285786</v>
      </c>
      <c r="CZ133" s="268"/>
      <c r="DA133" s="146">
        <f ca="1">MIN(SUM(TblConstr[[#This Row],[Plain]:[Water]])/TblMili[[#This Row],[Land]]/favorable_terrain_bonus/100,favorable_terrain_max)</f>
        <v>0</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3" s="145"/>
      <c r="DE133" s="269">
        <f ca="1">(TblMili[[#This Row],[Wizards]]+2*TblMili[[#This Row],[Archmages]])/TblConstr[[#This Row],[Land]]</f>
        <v>3.5714285714285712E-2</v>
      </c>
      <c r="DF133" s="269">
        <f ca="1">TblMili[[#This Row],[Raw (2)]]*(1+race_wizard_strength+IF(TblMili[[#This Row],[Hour]]&gt;72,tech_magical_weaponry_wiz*TblTech[[#This Row],[3-5]],0))</f>
        <v>3.5714285714285712E-2</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7348</v>
      </c>
      <c r="C134" s="160">
        <f ca="1">TblPop[[#This Row],[Military%]]</f>
        <v>0.56789550969935854</v>
      </c>
      <c r="D134" s="145"/>
      <c r="E134" s="45">
        <f ca="1">OFFSET(TblMili[[#This Row],[Unit 1]],-1,0) + OFFSET(TblMili[[#This Row],[Train Unit 1]],-9,0) - TblMili[[#This Row],[Release Unit 1]]</f>
        <v>0</v>
      </c>
      <c r="F134" s="45">
        <f ca="1">OFFSET(TblMili[[#This Row],[Unit 2]],-1,0) + OFFSET(TblMili[[#This Row],[Train Unit 2]],-9,0)-TblMili[[#This Row],[Release Unit 2]]</f>
        <v>1246</v>
      </c>
      <c r="G134" s="45">
        <f ca="1">OFFSET(TblMili[[#This Row],[Unit 3]],-1,0) + OFFSET(TblMili[[#This Row],[Train Unit 3]],-12,0)-TblMili[[#This Row],[Release Unit 3]]</f>
        <v>700</v>
      </c>
      <c r="H134" s="45">
        <f ca="1">OFFSET(TblMili[[#This Row],[Unit 4]],-1,0) + OFFSET(TblMili[[#This Row],[Train Unit 4]],-12,0)-TblMili[[#This Row],[Release Unit 4]]</f>
        <v>1228</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42359.8</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6140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6293.4999999999991</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4" s="262">
        <f ca="1">TblMili[[#This Row],[Non Draft]]+TblMili[[#This Row],[Draftees]]</f>
        <v>14696</v>
      </c>
      <c r="U134" s="263">
        <f ca="1">race_defense + TblImps[[#This Row],[Walls]] + ROUND( MIN(gt_bonus*TblConstr[[#This Row],[Tot GT]]/TblConstr[[#This Row],[Land]],gt_bonus_cap), 4) + IF(TblMagic[[#This Row],[Active Howling]]&gt;0,howling_dp_bonus,IF(TblMagic[[#This Row],[Active Ares Call]]&gt;0,ares_call_bonus))</f>
        <v>0.13750000000000001</v>
      </c>
      <c r="V134" s="264">
        <f ca="1">TblMili[[#This Row],[Non Draft]] * (1 + TblMili[[#This Row],[Mods_Def]])</f>
        <v>12025.65</v>
      </c>
      <c r="W134" s="262">
        <f ca="1">TblMili[[#This Row],[Draft]] * (1 + TblMili[[#This Row],[Mods_Def]])</f>
        <v>16716.7</v>
      </c>
      <c r="X134" s="262">
        <f ca="1">TblConstr[[#This Row],[Land]]</f>
        <v>700</v>
      </c>
      <c r="Y134" s="265"/>
      <c r="Z134" s="270">
        <f ca="1">IF(TblMili[[#This Row],[Set]]&lt;&gt;"",TblMili[[#This Row],[Set]],OFFSET(TblMili[[#This Row],[Draftrate]],-1,0))</f>
        <v>0.9</v>
      </c>
      <c r="AA134" s="97">
        <f ca="1">OFFSET(TblMili[[#This Row],[Draftees]],-1,0)+OFFSET(TblPop[[#This Row],[Draft Growth]],-1,0) - SUM(TblMili[[#This Row],[Train Unit 1]:[Train Spies]],TblMili[[#This Row],[Train Wiz]]) - TblMili[[#This Row],[Release Draft]] + SUM(TblMili[[#This Row],[Release Unit 1]:[Release AM]]) - TblExplore[[#This Row],[Draftees (2)]]</f>
        <v>4124</v>
      </c>
      <c r="AB134" s="157"/>
      <c r="AC134" s="183">
        <f ca="1">(TblConstr[[#This Row],[Tot Smi]]+TblConstr[[#This Row],[Dest Smi]])/(TblConstr[[#This Row],[Land]]-TblExplore[[#This Row],[Land Bonus]]*20)</f>
        <v>0.18</v>
      </c>
      <c r="AD134" s="140"/>
      <c r="AE134" s="261">
        <f>TblMili[[#This Row],[Hour]]</f>
        <v>131</v>
      </c>
      <c r="AF134" s="141">
        <f ca="1">TblExplore[[#This Row],[Time]]</f>
        <v>45435.166666666351</v>
      </c>
      <c r="AG134" s="182"/>
      <c r="AH134" s="182"/>
      <c r="AI134" s="182"/>
      <c r="AJ134" s="182"/>
      <c r="AK134" s="182"/>
      <c r="AL134" s="182"/>
      <c r="AM134" s="182"/>
      <c r="AN134" s="182"/>
      <c r="AO134" s="145"/>
      <c r="AP134" s="97">
        <f ca="1">TblProd[[#This Row],[Platinum]]</f>
        <v>2146615</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45435.166666666351</v>
      </c>
      <c r="AV134" s="97">
        <f ca="1">TblMili[[#This Row],[Draftees]]</f>
        <v>4124</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192</v>
      </c>
      <c r="BJ134" s="97">
        <f ca="1">ROUNDUP(IF(race="Gnome",1,(1-MIN(TblMili[[#This Row],[Smithies]]*smithy_bonus,smithy_bonus_cap) + tech_3_5*TblTech[[#This Row],[3-5]] + tech_5_3*TblTech[[#This Row],[5-3]] + tech_5_5*TblTech[[#This Row],[5-5]]))*spec_op_ore,0)</f>
        <v>0</v>
      </c>
      <c r="BK134" s="97">
        <f ca="1">ROUNDUP((1-MIN(TblMili[[#This Row],[Smithies]]*smithy_bonus,smithy_bonus_cap) + tech_3_5*TblTech[[#This Row],[3-5]] + tech_5_3*TblTech[[#This Row],[5-3]] + tech_5_5*TblTech[[#This Row],[5-5]])*spec_dp_plat,0)</f>
        <v>192</v>
      </c>
      <c r="BL134" s="97">
        <f ca="1">ROUNDUP(IF(race="Gnome",1,(1-MIN(TblMili[[#This Row],[Smithies]]*smithy_bonus,smithy_bonus_cap) + tech_3_5*TblTech[[#This Row],[3-5]] + tech_5_3*TblTech[[#This Row],[5-3]] + tech_5_5*TblTech[[#This Row],[5-5]]))*spec_dp_ore,0)</f>
        <v>0</v>
      </c>
      <c r="BM134" s="97">
        <f ca="1">ROUNDUP((1-MIN(TblMili[[#This Row],[Smithies]]*smithy_bonus,smithy_bonus_cap) + tech_3_5*TblTech[[#This Row],[3-5]] + tech_5_3*TblTech[[#This Row],[5-3]] + tech_5_5*TblTech[[#This Row],[5-5]])*elite1_plat,0)</f>
        <v>592</v>
      </c>
      <c r="BN134" s="97">
        <f ca="1">ROUNDUP(IF(race="Gnome",1,(1-MIN(TblMili[[#This Row],[Smithies]]*smithy_bonus,smithy_bonus_cap) + tech_3_5*TblTech[[#This Row],[3-5]] + tech_5_3*TblTech[[#This Row],[5-3]] + tech_5_5*TblTech[[#This Row],[5-5]]))*elite1_ore,0)</f>
        <v>0</v>
      </c>
      <c r="BO134" s="97">
        <f ca="1">ROUNDUP((1-MIN(TblMili[[#This Row],[Smithies]]*smithy_bonus,smithy_bonus_cap) + tech_3_5*TblTech[[#This Row],[3-5]] + tech_5_3*TblTech[[#This Row],[5-3]] + tech_5_5*TblTech[[#This Row],[5-5]])*elite2_plat,0)</f>
        <v>608</v>
      </c>
      <c r="BP134" s="97">
        <f ca="1">ROUNDUP(IF(race="Gnome",1,(1-MIN(TblMili[[#This Row],[Smithies]]*smithy_bonus,smithy_bonus_cap) + tech_3_5*TblTech[[#This Row],[3-5]] + tech_5_3*TblTech[[#This Row],[5-3]] + tech_5_5*TblTech[[#This Row],[5-5]]))*elite2_ore,0)</f>
        <v>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5.7142857142857141E-2</v>
      </c>
      <c r="BW134" s="160">
        <f ca="1">TblMili[[#This Row],[WG''s]]</f>
        <v>0</v>
      </c>
      <c r="BX134" s="266">
        <f ca="1">IF(mystic_cap="none",TblMili[[#This Row],[Hill]]/mystic_bonus,MIN(mystic_cap,TblMili[[#This Row],[Hill]]/mystic_bonus))</f>
        <v>0.2857142857142857</v>
      </c>
      <c r="BY134" s="266">
        <f ca="1">IF(druid_op_cap="none",TblMili[[#This Row],[Hill]]/druid_op_bonus,MIN(druid_op_cap,TblMili[[#This Row],[Hill]]/druid_op_bonus))</f>
        <v>0.2857142857142857</v>
      </c>
      <c r="BZ134" s="266">
        <f ca="1">IF(druid_dp_cap="none",TblMili[[#This Row],[Hill]]/druid_dp_bonus,MIN(druid_dp_cap,TblMili[[#This Row],[Hill]]/druid_dp_bonus))</f>
        <v>0.2857142857142857</v>
      </c>
      <c r="CA134" s="266">
        <f ca="1">MIN(dryad_cap,TblMili[[#This Row],[Hill]]/dryad_bonus)</f>
        <v>0.2857142857142857</v>
      </c>
      <c r="CB134" s="266">
        <f ca="1">MIN(rocka_cap,TblMili[[#This Row],[Hill]]/rocka_bonus)</f>
        <v>0.2857142857142857</v>
      </c>
      <c r="CC134" s="266">
        <f ca="1">MIN(adept_op_cap,TblMili[[#This Row],[WG]]/adept_op_bonus)</f>
        <v>0</v>
      </c>
      <c r="CD134" s="266">
        <f ca="1">MIN(adept_dp_cap,TblMili[[#This Row],[WG]]/adept_dp_bonus)</f>
        <v>0</v>
      </c>
      <c r="CE134" s="97">
        <f ca="1">MIN(TblMili[[#This Row],[Unit 3]],TblMili[[#This Row],[Unit 2]])*2</f>
        <v>1400</v>
      </c>
      <c r="CF134" s="97">
        <f ca="1">MIN(TblMili[[#This Row],[Unit 1]],TblMili[[#This Row],[Unit 4]])*2</f>
        <v>0</v>
      </c>
      <c r="CG134" s="266">
        <f ca="1">MIN(frost_mage_cap,TblMili[[#This Row],[Hill]]/frost_mage_bonus)</f>
        <v>0.2857142857142857</v>
      </c>
      <c r="CH134" s="45">
        <f ca="1">MIN(ice_elem_cap,TblMili[[#This Row],[Raw (2)]]*ice_elem_bonus)</f>
        <v>3.5714285714285712E-2</v>
      </c>
      <c r="CI134" s="266">
        <f t="shared" si="4"/>
        <v>0.83333333333333337</v>
      </c>
      <c r="CJ134" s="266">
        <f ca="1">MIN(nox_nightshade_cap,TblConstr[[#This Row],[Homeland]]/TblConstr[[#This Row],[Land]]/nox_nightshade_swamp_bonus)</f>
        <v>0.5714285714285714</v>
      </c>
      <c r="CK134" s="267"/>
      <c r="CL134" s="267"/>
      <c r="CM134" s="267"/>
      <c r="CN134" s="266">
        <f ca="1">MIN(6,TblMili[[#This Row],[Mystic]]+Races!$F$19)*1.8 +  IF(TblMili[[#This Row],[Mystic]]+Races!$F$19&gt;6,(TblMili[[#This Row],[Mystic]]+Races!$F$19-6)*0.2,0) - Races!$I$19</f>
        <v>0.51428571428571423</v>
      </c>
      <c r="CO134"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4" s="97">
        <f ca="1">TblMili[[#This Row],[Mystic bonus]]*TblMili[[#This Row],[Unit 3]]+TblMili[[#This Row],[Druid bonus]]*TblMili[[#This Row],[Unit 4]]</f>
        <v>1149.4285714285706</v>
      </c>
      <c r="CQ134" s="158">
        <f ca="1">MIN(6,TblMili[[#This Row],[Dryad]]+Races!$F$35)*1.8 +  IF(TblMili[[#This Row],[Dryad]]+Races!$F$35&gt;6,(TblMili[[#This Row],[Dryad]]+Races!$F$35-6)*0.2,0) - Races!$I$19</f>
        <v>-1.2857142857142856</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2.7642857142857133</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0.51428571428571423</v>
      </c>
      <c r="CX134" s="158">
        <f ca="1">1.8 * MIN(MAX(TblMili[[#This Row],[Ice Elemental]]+Races!$E$71,Races!$F$71),6)  +  0.45 * MIN(MIN(TblMili[[#This Row],[Ice Elemental]]+Races!$E$71,Races!$F$71),6)  +  0.2 * ( MAX(TblMili[[#This Row],[Ice Elemental]]+Races!$E$71-6,0) + MAX(Races!$F$71-6,0) )  -  Races!$I$71</f>
        <v>6.4285714285714946E-2</v>
      </c>
      <c r="CY134" s="97">
        <f ca="1">TblMili[[#This Row],[Frost Mage bonus]]*TblMili[[#This Row],[Unit 3]]+TblMili[[#This Row],[Ice Elemental bonus]]*TblMili[[#This Row],[Unit 4]]</f>
        <v>438.94285714285786</v>
      </c>
      <c r="CZ134" s="268"/>
      <c r="DA134" s="146">
        <f ca="1">MIN(SUM(TblConstr[[#This Row],[Plain]:[Water]])/TblMili[[#This Row],[Land]]/favorable_terrain_bonus/100,favorable_terrain_max)</f>
        <v>0</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4" s="145"/>
      <c r="DE134" s="269">
        <f ca="1">(TblMili[[#This Row],[Wizards]]+2*TblMili[[#This Row],[Archmages]])/TblConstr[[#This Row],[Land]]</f>
        <v>3.5714285714285712E-2</v>
      </c>
      <c r="DF134" s="269">
        <f ca="1">TblMili[[#This Row],[Raw (2)]]*(1+race_wizard_strength+IF(TblMili[[#This Row],[Hour]]&gt;72,tech_magical_weaponry_wiz*TblTech[[#This Row],[3-5]],0))</f>
        <v>3.5714285714285712E-2</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7404</v>
      </c>
      <c r="C135" s="160">
        <f ca="1">TblPop[[#This Row],[Military%]]</f>
        <v>0.57222351031764429</v>
      </c>
      <c r="D135" s="145"/>
      <c r="E135" s="45">
        <f ca="1">OFFSET(TblMili[[#This Row],[Unit 1]],-1,0) + OFFSET(TblMili[[#This Row],[Train Unit 1]],-9,0) - TblMili[[#This Row],[Release Unit 1]]</f>
        <v>0</v>
      </c>
      <c r="F135" s="45">
        <f ca="1">OFFSET(TblMili[[#This Row],[Unit 2]],-1,0) + OFFSET(TblMili[[#This Row],[Train Unit 2]],-9,0)-TblMili[[#This Row],[Release Unit 2]]</f>
        <v>1246</v>
      </c>
      <c r="G135" s="45">
        <f ca="1">OFFSET(TblMili[[#This Row],[Unit 3]],-1,0) + OFFSET(TblMili[[#This Row],[Train Unit 3]],-12,0)-TblMili[[#This Row],[Release Unit 3]]</f>
        <v>700</v>
      </c>
      <c r="H135" s="45">
        <f ca="1">OFFSET(TblMili[[#This Row],[Unit 4]],-1,0) + OFFSET(TblMili[[#This Row],[Train Unit 4]],-12,0)-TblMili[[#This Row],[Release Unit 4]]</f>
        <v>1228</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42359.8</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6140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6293.4999999999991</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5" s="262">
        <f ca="1">TblMili[[#This Row],[Non Draft]]+TblMili[[#This Row],[Draftees]]</f>
        <v>14752</v>
      </c>
      <c r="U135" s="263">
        <f ca="1">race_defense + TblImps[[#This Row],[Walls]] + ROUND( MIN(gt_bonus*TblConstr[[#This Row],[Tot GT]]/TblConstr[[#This Row],[Land]],gt_bonus_cap), 4) + IF(TblMagic[[#This Row],[Active Howling]]&gt;0,howling_dp_bonus,IF(TblMagic[[#This Row],[Active Ares Call]]&gt;0,ares_call_bonus))</f>
        <v>0.13750000000000001</v>
      </c>
      <c r="V135" s="264">
        <f ca="1">TblMili[[#This Row],[Non Draft]] * (1 + TblMili[[#This Row],[Mods_Def]])</f>
        <v>12025.65</v>
      </c>
      <c r="W135" s="262">
        <f ca="1">TblMili[[#This Row],[Draft]] * (1 + TblMili[[#This Row],[Mods_Def]])</f>
        <v>16780.399999999998</v>
      </c>
      <c r="X135" s="262">
        <f ca="1">TblConstr[[#This Row],[Land]]</f>
        <v>700</v>
      </c>
      <c r="Y135" s="265"/>
      <c r="Z135" s="270">
        <f ca="1">IF(TblMili[[#This Row],[Set]]&lt;&gt;"",TblMili[[#This Row],[Set]],OFFSET(TblMili[[#This Row],[Draftrate]],-1,0))</f>
        <v>0.9</v>
      </c>
      <c r="AA135" s="97">
        <f ca="1">OFFSET(TblMili[[#This Row],[Draftees]],-1,0)+OFFSET(TblPop[[#This Row],[Draft Growth]],-1,0) - SUM(TblMili[[#This Row],[Train Unit 1]:[Train Spies]],TblMili[[#This Row],[Train Wiz]]) - TblMili[[#This Row],[Release Draft]] + SUM(TblMili[[#This Row],[Release Unit 1]:[Release AM]]) - TblExplore[[#This Row],[Draftees (2)]]</f>
        <v>4180</v>
      </c>
      <c r="AB135" s="157"/>
      <c r="AC135" s="183">
        <f ca="1">(TblConstr[[#This Row],[Tot Smi]]+TblConstr[[#This Row],[Dest Smi]])/(TblConstr[[#This Row],[Land]]-TblExplore[[#This Row],[Land Bonus]]*20)</f>
        <v>0.18</v>
      </c>
      <c r="AD135" s="140"/>
      <c r="AE135" s="261">
        <f>TblMili[[#This Row],[Hour]]</f>
        <v>132</v>
      </c>
      <c r="AF135" s="141">
        <f ca="1">TblExplore[[#This Row],[Time]]</f>
        <v>45435.208333333016</v>
      </c>
      <c r="AG135" s="182"/>
      <c r="AH135" s="182"/>
      <c r="AI135" s="182"/>
      <c r="AJ135" s="182"/>
      <c r="AK135" s="182"/>
      <c r="AL135" s="182"/>
      <c r="AM135" s="182"/>
      <c r="AN135" s="182"/>
      <c r="AO135" s="145"/>
      <c r="AP135" s="97">
        <f ca="1">TblProd[[#This Row],[Platinum]]</f>
        <v>2174085</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45435.208333333016</v>
      </c>
      <c r="AV135" s="97">
        <f ca="1">TblMili[[#This Row],[Draftees]]</f>
        <v>4180</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192</v>
      </c>
      <c r="BJ135" s="97">
        <f ca="1">ROUNDUP(IF(race="Gnome",1,(1-MIN(TblMili[[#This Row],[Smithies]]*smithy_bonus,smithy_bonus_cap) + tech_3_5*TblTech[[#This Row],[3-5]] + tech_5_3*TblTech[[#This Row],[5-3]] + tech_5_5*TblTech[[#This Row],[5-5]]))*spec_op_ore,0)</f>
        <v>0</v>
      </c>
      <c r="BK135" s="97">
        <f ca="1">ROUNDUP((1-MIN(TblMili[[#This Row],[Smithies]]*smithy_bonus,smithy_bonus_cap) + tech_3_5*TblTech[[#This Row],[3-5]] + tech_5_3*TblTech[[#This Row],[5-3]] + tech_5_5*TblTech[[#This Row],[5-5]])*spec_dp_plat,0)</f>
        <v>192</v>
      </c>
      <c r="BL135" s="97">
        <f ca="1">ROUNDUP(IF(race="Gnome",1,(1-MIN(TblMili[[#This Row],[Smithies]]*smithy_bonus,smithy_bonus_cap) + tech_3_5*TblTech[[#This Row],[3-5]] + tech_5_3*TblTech[[#This Row],[5-3]] + tech_5_5*TblTech[[#This Row],[5-5]]))*spec_dp_ore,0)</f>
        <v>0</v>
      </c>
      <c r="BM135" s="97">
        <f ca="1">ROUNDUP((1-MIN(TblMili[[#This Row],[Smithies]]*smithy_bonus,smithy_bonus_cap) + tech_3_5*TblTech[[#This Row],[3-5]] + tech_5_3*TblTech[[#This Row],[5-3]] + tech_5_5*TblTech[[#This Row],[5-5]])*elite1_plat,0)</f>
        <v>592</v>
      </c>
      <c r="BN135" s="97">
        <f ca="1">ROUNDUP(IF(race="Gnome",1,(1-MIN(TblMili[[#This Row],[Smithies]]*smithy_bonus,smithy_bonus_cap) + tech_3_5*TblTech[[#This Row],[3-5]] + tech_5_3*TblTech[[#This Row],[5-3]] + tech_5_5*TblTech[[#This Row],[5-5]]))*elite1_ore,0)</f>
        <v>0</v>
      </c>
      <c r="BO135" s="97">
        <f ca="1">ROUNDUP((1-MIN(TblMili[[#This Row],[Smithies]]*smithy_bonus,smithy_bonus_cap) + tech_3_5*TblTech[[#This Row],[3-5]] + tech_5_3*TblTech[[#This Row],[5-3]] + tech_5_5*TblTech[[#This Row],[5-5]])*elite2_plat,0)</f>
        <v>608</v>
      </c>
      <c r="BP135" s="97">
        <f ca="1">ROUNDUP(IF(race="Gnome",1,(1-MIN(TblMili[[#This Row],[Smithies]]*smithy_bonus,smithy_bonus_cap) + tech_3_5*TblTech[[#This Row],[3-5]] + tech_5_3*TblTech[[#This Row],[5-3]] + tech_5_5*TblTech[[#This Row],[5-5]]))*elite2_ore,0)</f>
        <v>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5.7142857142857141E-2</v>
      </c>
      <c r="BW135" s="160">
        <f ca="1">TblMili[[#This Row],[WG''s]]</f>
        <v>0</v>
      </c>
      <c r="BX135" s="266">
        <f ca="1">IF(mystic_cap="none",TblMili[[#This Row],[Hill]]/mystic_bonus,MIN(mystic_cap,TblMili[[#This Row],[Hill]]/mystic_bonus))</f>
        <v>0.2857142857142857</v>
      </c>
      <c r="BY135" s="266">
        <f ca="1">IF(druid_op_cap="none",TblMili[[#This Row],[Hill]]/druid_op_bonus,MIN(druid_op_cap,TblMili[[#This Row],[Hill]]/druid_op_bonus))</f>
        <v>0.2857142857142857</v>
      </c>
      <c r="BZ135" s="266">
        <f ca="1">IF(druid_dp_cap="none",TblMili[[#This Row],[Hill]]/druid_dp_bonus,MIN(druid_dp_cap,TblMili[[#This Row],[Hill]]/druid_dp_bonus))</f>
        <v>0.2857142857142857</v>
      </c>
      <c r="CA135" s="266">
        <f ca="1">MIN(dryad_cap,TblMili[[#This Row],[Hill]]/dryad_bonus)</f>
        <v>0.2857142857142857</v>
      </c>
      <c r="CB135" s="266">
        <f ca="1">MIN(rocka_cap,TblMili[[#This Row],[Hill]]/rocka_bonus)</f>
        <v>0.2857142857142857</v>
      </c>
      <c r="CC135" s="266">
        <f ca="1">MIN(adept_op_cap,TblMili[[#This Row],[WG]]/adept_op_bonus)</f>
        <v>0</v>
      </c>
      <c r="CD135" s="266">
        <f ca="1">MIN(adept_dp_cap,TblMili[[#This Row],[WG]]/adept_dp_bonus)</f>
        <v>0</v>
      </c>
      <c r="CE135" s="97">
        <f ca="1">MIN(TblMili[[#This Row],[Unit 3]],TblMili[[#This Row],[Unit 2]])*2</f>
        <v>1400</v>
      </c>
      <c r="CF135" s="97">
        <f ca="1">MIN(TblMili[[#This Row],[Unit 1]],TblMili[[#This Row],[Unit 4]])*2</f>
        <v>0</v>
      </c>
      <c r="CG135" s="266">
        <f ca="1">MIN(frost_mage_cap,TblMili[[#This Row],[Hill]]/frost_mage_bonus)</f>
        <v>0.2857142857142857</v>
      </c>
      <c r="CH135" s="45">
        <f ca="1">MIN(ice_elem_cap,TblMili[[#This Row],[Raw (2)]]*ice_elem_bonus)</f>
        <v>3.5714285714285712E-2</v>
      </c>
      <c r="CI135" s="266">
        <f t="shared" si="4"/>
        <v>0.83333333333333337</v>
      </c>
      <c r="CJ135" s="266">
        <f ca="1">MIN(nox_nightshade_cap,TblConstr[[#This Row],[Homeland]]/TblConstr[[#This Row],[Land]]/nox_nightshade_swamp_bonus)</f>
        <v>0.5714285714285714</v>
      </c>
      <c r="CK135" s="267"/>
      <c r="CL135" s="267"/>
      <c r="CM135" s="267"/>
      <c r="CN135" s="266">
        <f ca="1">MIN(6,TblMili[[#This Row],[Mystic]]+Races!$F$19)*1.8 +  IF(TblMili[[#This Row],[Mystic]]+Races!$F$19&gt;6,(TblMili[[#This Row],[Mystic]]+Races!$F$19-6)*0.2,0) - Races!$I$19</f>
        <v>0.51428571428571423</v>
      </c>
      <c r="CO135"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5" s="97">
        <f ca="1">TblMili[[#This Row],[Mystic bonus]]*TblMili[[#This Row],[Unit 3]]+TblMili[[#This Row],[Druid bonus]]*TblMili[[#This Row],[Unit 4]]</f>
        <v>1149.4285714285706</v>
      </c>
      <c r="CQ135" s="158">
        <f ca="1">MIN(6,TblMili[[#This Row],[Dryad]]+Races!$F$35)*1.8 +  IF(TblMili[[#This Row],[Dryad]]+Races!$F$35&gt;6,(TblMili[[#This Row],[Dryad]]+Races!$F$35-6)*0.2,0) - Races!$I$19</f>
        <v>-1.2857142857142856</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2.7642857142857133</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0.51428571428571423</v>
      </c>
      <c r="CX135" s="158">
        <f ca="1">1.8 * MIN(MAX(TblMili[[#This Row],[Ice Elemental]]+Races!$E$71,Races!$F$71),6)  +  0.45 * MIN(MIN(TblMili[[#This Row],[Ice Elemental]]+Races!$E$71,Races!$F$71),6)  +  0.2 * ( MAX(TblMili[[#This Row],[Ice Elemental]]+Races!$E$71-6,0) + MAX(Races!$F$71-6,0) )  -  Races!$I$71</f>
        <v>6.4285714285714946E-2</v>
      </c>
      <c r="CY135" s="97">
        <f ca="1">TblMili[[#This Row],[Frost Mage bonus]]*TblMili[[#This Row],[Unit 3]]+TblMili[[#This Row],[Ice Elemental bonus]]*TblMili[[#This Row],[Unit 4]]</f>
        <v>438.94285714285786</v>
      </c>
      <c r="CZ135" s="268"/>
      <c r="DA135" s="146">
        <f ca="1">MIN(SUM(TblConstr[[#This Row],[Plain]:[Water]])/TblMili[[#This Row],[Land]]/favorable_terrain_bonus/100,favorable_terrain_max)</f>
        <v>0</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5" s="145"/>
      <c r="DE135" s="269">
        <f ca="1">(TblMili[[#This Row],[Wizards]]+2*TblMili[[#This Row],[Archmages]])/TblConstr[[#This Row],[Land]]</f>
        <v>3.5714285714285712E-2</v>
      </c>
      <c r="DF135" s="269">
        <f ca="1">TblMili[[#This Row],[Raw (2)]]*(1+race_wizard_strength+IF(TblMili[[#This Row],[Hour]]&gt;72,tech_magical_weaponry_wiz*TblTech[[#This Row],[3-5]],0))</f>
        <v>3.5714285714285712E-2</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7459</v>
      </c>
      <c r="C136" s="160">
        <f ca="1">TblPop[[#This Row],[Military%]]</f>
        <v>0.57647422521060365</v>
      </c>
      <c r="D136" s="145"/>
      <c r="E136" s="45">
        <f ca="1">OFFSET(TblMili[[#This Row],[Unit 1]],-1,0) + OFFSET(TblMili[[#This Row],[Train Unit 1]],-9,0) - TblMili[[#This Row],[Release Unit 1]]</f>
        <v>0</v>
      </c>
      <c r="F136" s="45">
        <f ca="1">OFFSET(TblMili[[#This Row],[Unit 2]],-1,0) + OFFSET(TblMili[[#This Row],[Train Unit 2]],-9,0)-TblMili[[#This Row],[Release Unit 2]]</f>
        <v>1246</v>
      </c>
      <c r="G136" s="45">
        <f ca="1">OFFSET(TblMili[[#This Row],[Unit 3]],-1,0) + OFFSET(TblMili[[#This Row],[Train Unit 3]],-12,0)-TblMili[[#This Row],[Release Unit 3]]</f>
        <v>700</v>
      </c>
      <c r="H136" s="45">
        <f ca="1">OFFSET(TblMili[[#This Row],[Unit 4]],-1,0) + OFFSET(TblMili[[#This Row],[Train Unit 4]],-12,0)-TblMili[[#This Row],[Release Unit 4]]</f>
        <v>1228</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42359.8</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6140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6293.4999999999991</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10572</v>
      </c>
      <c r="T136" s="262">
        <f ca="1">TblMili[[#This Row],[Non Draft]]+TblMili[[#This Row],[Draftees]]</f>
        <v>14807</v>
      </c>
      <c r="U136" s="263">
        <f ca="1">race_defense + TblImps[[#This Row],[Walls]] + ROUND( MIN(gt_bonus*TblConstr[[#This Row],[Tot GT]]/TblConstr[[#This Row],[Land]],gt_bonus_cap), 4) + IF(TblMagic[[#This Row],[Active Howling]]&gt;0,howling_dp_bonus,IF(TblMagic[[#This Row],[Active Ares Call]]&gt;0,ares_call_bonus))</f>
        <v>0.13750000000000001</v>
      </c>
      <c r="V136" s="264">
        <f ca="1">TblMili[[#This Row],[Non Draft]] * (1 + TblMili[[#This Row],[Mods_Def]])</f>
        <v>12025.65</v>
      </c>
      <c r="W136" s="262">
        <f ca="1">TblMili[[#This Row],[Draft]] * (1 + TblMili[[#This Row],[Mods_Def]])</f>
        <v>16842.962499999998</v>
      </c>
      <c r="X136" s="262">
        <f ca="1">TblConstr[[#This Row],[Land]]</f>
        <v>700</v>
      </c>
      <c r="Y136" s="265"/>
      <c r="Z136" s="270">
        <f ca="1">IF(TblMili[[#This Row],[Set]]&lt;&gt;"",TblMili[[#This Row],[Set]],OFFSET(TblMili[[#This Row],[Draftrate]],-1,0))</f>
        <v>0.9</v>
      </c>
      <c r="AA136" s="97">
        <f ca="1">OFFSET(TblMili[[#This Row],[Draftees]],-1,0)+OFFSET(TblPop[[#This Row],[Draft Growth]],-1,0) - SUM(TblMili[[#This Row],[Train Unit 1]:[Train Spies]],TblMili[[#This Row],[Train Wiz]]) - TblMili[[#This Row],[Release Draft]] + SUM(TblMili[[#This Row],[Release Unit 1]:[Release AM]]) - TblExplore[[#This Row],[Draftees (2)]]</f>
        <v>4235</v>
      </c>
      <c r="AB136" s="157"/>
      <c r="AC136" s="183">
        <f ca="1">(TblConstr[[#This Row],[Tot Smi]]+TblConstr[[#This Row],[Dest Smi]])/(TblConstr[[#This Row],[Land]]-TblExplore[[#This Row],[Land Bonus]]*20)</f>
        <v>0.18</v>
      </c>
      <c r="AD136" s="261"/>
      <c r="AE136" s="261">
        <f>TblMili[[#This Row],[Hour]]</f>
        <v>133</v>
      </c>
      <c r="AF136" s="141">
        <f ca="1">TblExplore[[#This Row],[Time]]</f>
        <v>45435.24999999968</v>
      </c>
      <c r="AG136" s="182"/>
      <c r="AH136" s="161"/>
      <c r="AI136" s="182"/>
      <c r="AJ136" s="161"/>
      <c r="AK136" s="161"/>
      <c r="AL136" s="161"/>
      <c r="AM136" s="161"/>
      <c r="AN136" s="182"/>
      <c r="AO136" s="145"/>
      <c r="AP136" s="97">
        <f ca="1">TblProd[[#This Row],[Platinum]]</f>
        <v>2201404</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45435.24999999968</v>
      </c>
      <c r="AV136" s="97">
        <f ca="1">TblMili[[#This Row],[Draftees]]</f>
        <v>4235</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192</v>
      </c>
      <c r="BJ136" s="97">
        <f ca="1">ROUNDUP(IF(race="Gnome",1,(1-MIN(TblMili[[#This Row],[Smithies]]*smithy_bonus,smithy_bonus_cap) + tech_3_5*TblTech[[#This Row],[3-5]] + tech_5_3*TblTech[[#This Row],[5-3]] + tech_5_5*TblTech[[#This Row],[5-5]]))*spec_op_ore,0)</f>
        <v>0</v>
      </c>
      <c r="BK136" s="97">
        <f ca="1">ROUNDUP((1-MIN(TblMili[[#This Row],[Smithies]]*smithy_bonus,smithy_bonus_cap) + tech_3_5*TblTech[[#This Row],[3-5]] + tech_5_3*TblTech[[#This Row],[5-3]] + tech_5_5*TblTech[[#This Row],[5-5]])*spec_dp_plat,0)</f>
        <v>192</v>
      </c>
      <c r="BL136" s="97">
        <f ca="1">ROUNDUP(IF(race="Gnome",1,(1-MIN(TblMili[[#This Row],[Smithies]]*smithy_bonus,smithy_bonus_cap) + tech_3_5*TblTech[[#This Row],[3-5]] + tech_5_3*TblTech[[#This Row],[5-3]] + tech_5_5*TblTech[[#This Row],[5-5]]))*spec_dp_ore,0)</f>
        <v>0</v>
      </c>
      <c r="BM136" s="97">
        <f ca="1">ROUNDUP((1-MIN(TblMili[[#This Row],[Smithies]]*smithy_bonus,smithy_bonus_cap) + tech_3_5*TblTech[[#This Row],[3-5]] + tech_5_3*TblTech[[#This Row],[5-3]] + tech_5_5*TblTech[[#This Row],[5-5]])*elite1_plat,0)</f>
        <v>592</v>
      </c>
      <c r="BN136" s="97">
        <f ca="1">ROUNDUP(IF(race="Gnome",1,(1-MIN(TblMili[[#This Row],[Smithies]]*smithy_bonus,smithy_bonus_cap) + tech_3_5*TblTech[[#This Row],[3-5]] + tech_5_3*TblTech[[#This Row],[5-3]] + tech_5_5*TblTech[[#This Row],[5-5]]))*elite1_ore,0)</f>
        <v>0</v>
      </c>
      <c r="BO136" s="97">
        <f ca="1">ROUNDUP((1-MIN(TblMili[[#This Row],[Smithies]]*smithy_bonus,smithy_bonus_cap) + tech_3_5*TblTech[[#This Row],[3-5]] + tech_5_3*TblTech[[#This Row],[5-3]] + tech_5_5*TblTech[[#This Row],[5-5]])*elite2_plat,0)</f>
        <v>608</v>
      </c>
      <c r="BP136" s="97">
        <f ca="1">ROUNDUP(IF(race="Gnome",1,(1-MIN(TblMili[[#This Row],[Smithies]]*smithy_bonus,smithy_bonus_cap) + tech_3_5*TblTech[[#This Row],[3-5]] + tech_5_3*TblTech[[#This Row],[5-3]] + tech_5_5*TblTech[[#This Row],[5-5]]))*elite2_ore,0)</f>
        <v>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5.7142857142857141E-2</v>
      </c>
      <c r="BW136" s="160">
        <f ca="1">TblMili[[#This Row],[WG''s]]</f>
        <v>0</v>
      </c>
      <c r="BX136" s="266">
        <f ca="1">IF(mystic_cap="none",TblMili[[#This Row],[Hill]]/mystic_bonus,MIN(mystic_cap,TblMili[[#This Row],[Hill]]/mystic_bonus))</f>
        <v>0.2857142857142857</v>
      </c>
      <c r="BY136" s="266">
        <f ca="1">IF(druid_op_cap="none",TblMili[[#This Row],[Hill]]/druid_op_bonus,MIN(druid_op_cap,TblMili[[#This Row],[Hill]]/druid_op_bonus))</f>
        <v>0.2857142857142857</v>
      </c>
      <c r="BZ136" s="266">
        <f ca="1">IF(druid_dp_cap="none",TblMili[[#This Row],[Hill]]/druid_dp_bonus,MIN(druid_dp_cap,TblMili[[#This Row],[Hill]]/druid_dp_bonus))</f>
        <v>0.2857142857142857</v>
      </c>
      <c r="CA136" s="266">
        <f ca="1">MIN(dryad_cap,TblMili[[#This Row],[Hill]]/dryad_bonus)</f>
        <v>0.2857142857142857</v>
      </c>
      <c r="CB136" s="266">
        <f ca="1">MIN(rocka_cap,TblMili[[#This Row],[Hill]]/rocka_bonus)</f>
        <v>0.2857142857142857</v>
      </c>
      <c r="CC136" s="266">
        <f ca="1">MIN(adept_op_cap,TblMili[[#This Row],[WG]]/adept_op_bonus)</f>
        <v>0</v>
      </c>
      <c r="CD136" s="266">
        <f ca="1">MIN(adept_dp_cap,TblMili[[#This Row],[WG]]/adept_dp_bonus)</f>
        <v>0</v>
      </c>
      <c r="CE136" s="97">
        <f ca="1">MIN(TblMili[[#This Row],[Unit 3]],TblMili[[#This Row],[Unit 2]])*2</f>
        <v>1400</v>
      </c>
      <c r="CF136" s="97">
        <f ca="1">MIN(TblMili[[#This Row],[Unit 1]],TblMili[[#This Row],[Unit 4]])*2</f>
        <v>0</v>
      </c>
      <c r="CG136" s="266">
        <f ca="1">MIN(frost_mage_cap,TblMili[[#This Row],[Hill]]/frost_mage_bonus)</f>
        <v>0.2857142857142857</v>
      </c>
      <c r="CH136" s="45">
        <f ca="1">MIN(ice_elem_cap,TblMili[[#This Row],[Raw (2)]]*ice_elem_bonus)</f>
        <v>3.5714285714285712E-2</v>
      </c>
      <c r="CI136" s="266">
        <f t="shared" si="4"/>
        <v>0.83333333333333337</v>
      </c>
      <c r="CJ136" s="266">
        <f ca="1">MIN(nox_nightshade_cap,TblConstr[[#This Row],[Homeland]]/TblConstr[[#This Row],[Land]]/nox_nightshade_swamp_bonus)</f>
        <v>0.5714285714285714</v>
      </c>
      <c r="CK136" s="267"/>
      <c r="CL136" s="267"/>
      <c r="CM136" s="267"/>
      <c r="CN136" s="266">
        <f ca="1">MIN(6,TblMili[[#This Row],[Mystic]]+Races!$F$19)*1.8 +  IF(TblMili[[#This Row],[Mystic]]+Races!$F$19&gt;6,(TblMili[[#This Row],[Mystic]]+Races!$F$19-6)*0.2,0) - Races!$I$19</f>
        <v>0.51428571428571423</v>
      </c>
      <c r="CO136" s="266">
        <f ca="1">1.8 * MIN(MAX(TblMili[[#This Row],[Druid (op)]]+Races!$E$20,TblMili[[#This Row],[Druid (dp)]]+Races!$F$20),6)  +  0.45 * MIN(MIN(TblMili[[#This Row],[Druid (op)]]+Races!$E$20,TblMili[[#This Row],[Druid (dp)]]+Races!$F$20),6)  +  0.2 * ( MAX(TblMili[[#This Row],[Druid (op)]]+Races!$E$20-6,0) + MAX(TblMili[[#This Row],[Druid (dp)]]+Races!$F$20-6,0) )  -  Races!$I$20</f>
        <v>0.64285714285714235</v>
      </c>
      <c r="CP136" s="97">
        <f ca="1">TblMili[[#This Row],[Mystic bonus]]*TblMili[[#This Row],[Unit 3]]+TblMili[[#This Row],[Druid bonus]]*TblMili[[#This Row],[Unit 4]]</f>
        <v>1149.4285714285706</v>
      </c>
      <c r="CQ136" s="158">
        <f ca="1">MIN(6,TblMili[[#This Row],[Dryad]]+Races!$F$35)*1.8 +  IF(TblMili[[#This Row],[Dryad]]+Races!$F$35&gt;6,(TblMili[[#This Row],[Dryad]]+Races!$F$35-6)*0.2,0) - Races!$I$19</f>
        <v>-1.2857142857142856</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2.7642857142857133</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0.51428571428571423</v>
      </c>
      <c r="CX136" s="158">
        <f ca="1">1.8 * MIN(MAX(TblMili[[#This Row],[Ice Elemental]]+Races!$E$71,Races!$F$71),6)  +  0.45 * MIN(MIN(TblMili[[#This Row],[Ice Elemental]]+Races!$E$71,Races!$F$71),6)  +  0.2 * ( MAX(TblMili[[#This Row],[Ice Elemental]]+Races!$E$71-6,0) + MAX(Races!$F$71-6,0) )  -  Races!$I$71</f>
        <v>6.4285714285714946E-2</v>
      </c>
      <c r="CY136" s="97">
        <f ca="1">TblMili[[#This Row],[Frost Mage bonus]]*TblMili[[#This Row],[Unit 3]]+TblMili[[#This Row],[Ice Elemental bonus]]*TblMili[[#This Row],[Unit 4]]</f>
        <v>438.94285714285786</v>
      </c>
      <c r="CZ136" s="268"/>
      <c r="DA136" s="146">
        <f ca="1">MIN(SUM(TblConstr[[#This Row],[Plain]:[Water]])/TblMili[[#This Row],[Land]]/favorable_terrain_bonus/100,favorable_terrain_max)</f>
        <v>0</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42359.8</v>
      </c>
      <c r="DD136" s="145"/>
      <c r="DE136" s="269">
        <f ca="1">(TblMili[[#This Row],[Wizards]]+2*TblMili[[#This Row],[Archmages]])/TblConstr[[#This Row],[Land]]</f>
        <v>3.5714285714285712E-2</v>
      </c>
      <c r="DF136" s="269">
        <f ca="1">TblMili[[#This Row],[Raw (2)]]*(1+race_wizard_strength+IF(TblMili[[#This Row],[Hour]]&gt;72,tech_magical_weaponry_wiz*TblTech[[#This Row],[3-5]],0))</f>
        <v>3.5714285714285712E-2</v>
      </c>
    </row>
    <row r="137" spans="1:110" x14ac:dyDescent="0.2">
      <c r="AJ137" s="45">
        <v>100</v>
      </c>
    </row>
    <row r="139" spans="1:110" x14ac:dyDescent="0.2">
      <c r="AF139" s="45">
        <f ca="1">SUM(E136:L136)</f>
        <v>3224</v>
      </c>
    </row>
    <row r="1269" spans="2:3" x14ac:dyDescent="0.2">
      <c r="B1269" s="496" t="s">
        <v>316</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0" activePane="bottomLeft" state="frozenSplit"/>
      <selection activeCell="A3" sqref="A3"/>
      <selection pane="bottomLeft" activeCell="U104" sqref="U10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1089</v>
      </c>
      <c r="U1" s="257"/>
      <c r="X1" s="28" t="s">
        <v>33</v>
      </c>
      <c r="AA1" s="28" t="s">
        <v>206</v>
      </c>
      <c r="AF1" s="28" t="s">
        <v>91</v>
      </c>
      <c r="AG1" s="28" t="s">
        <v>94</v>
      </c>
      <c r="AH1" s="28" t="s">
        <v>93</v>
      </c>
      <c r="AI1" s="28" t="s">
        <v>362</v>
      </c>
      <c r="AJ1" s="28" t="s">
        <v>92</v>
      </c>
      <c r="AK1" s="28" t="s">
        <v>102</v>
      </c>
      <c r="AL1" s="28" t="s">
        <v>330</v>
      </c>
      <c r="AM1" s="28" t="s">
        <v>344</v>
      </c>
      <c r="AN1" s="28" t="s">
        <v>500</v>
      </c>
    </row>
    <row r="2" spans="1:41" s="28" customFormat="1" x14ac:dyDescent="0.2">
      <c r="G2" s="28" t="s">
        <v>196</v>
      </c>
      <c r="L2" s="257" t="s">
        <v>537</v>
      </c>
      <c r="M2" s="284" t="s">
        <v>94</v>
      </c>
      <c r="N2" s="284" t="s">
        <v>93</v>
      </c>
      <c r="O2" s="503"/>
      <c r="P2" s="257" t="s">
        <v>92</v>
      </c>
      <c r="Q2" s="257" t="s">
        <v>102</v>
      </c>
      <c r="R2" s="257" t="s">
        <v>330</v>
      </c>
      <c r="S2" s="257" t="s">
        <v>344</v>
      </c>
      <c r="T2" s="257" t="s">
        <v>500</v>
      </c>
      <c r="U2" s="257" t="s">
        <v>90</v>
      </c>
      <c r="V2" s="257" t="s">
        <v>502</v>
      </c>
    </row>
    <row r="3" spans="1:41" s="286" customFormat="1" ht="29.25" customHeight="1" thickBot="1" x14ac:dyDescent="0.25">
      <c r="A3" s="138" t="s">
        <v>0</v>
      </c>
      <c r="B3" s="138" t="s">
        <v>1</v>
      </c>
      <c r="C3" s="138" t="s">
        <v>12</v>
      </c>
      <c r="D3" s="138" t="s">
        <v>195</v>
      </c>
      <c r="E3" s="138" t="s">
        <v>311</v>
      </c>
      <c r="F3" s="138" t="s">
        <v>325</v>
      </c>
      <c r="G3" s="138" t="s">
        <v>197</v>
      </c>
      <c r="H3" s="138" t="s">
        <v>198</v>
      </c>
      <c r="I3" s="138" t="s">
        <v>199</v>
      </c>
      <c r="J3" s="138" t="s">
        <v>200</v>
      </c>
      <c r="K3" s="431" t="s">
        <v>201</v>
      </c>
      <c r="L3" s="138" t="s">
        <v>264</v>
      </c>
      <c r="M3" s="285" t="s">
        <v>529</v>
      </c>
      <c r="N3" s="285" t="s">
        <v>263</v>
      </c>
      <c r="O3" s="138" t="s">
        <v>1090</v>
      </c>
      <c r="P3" s="138" t="s">
        <v>299</v>
      </c>
      <c r="Q3" s="138" t="s">
        <v>336</v>
      </c>
      <c r="R3" s="138" t="s">
        <v>1091</v>
      </c>
      <c r="S3" s="138" t="s">
        <v>342</v>
      </c>
      <c r="T3" s="138" t="s">
        <v>426</v>
      </c>
      <c r="U3" s="138" t="s">
        <v>1084</v>
      </c>
      <c r="V3" s="138" t="s">
        <v>503</v>
      </c>
      <c r="W3" s="138" t="s">
        <v>774</v>
      </c>
      <c r="X3" s="138" t="s">
        <v>922</v>
      </c>
      <c r="Y3" s="138" t="s">
        <v>923</v>
      </c>
      <c r="Z3" s="138" t="s">
        <v>775</v>
      </c>
      <c r="AA3" s="138" t="s">
        <v>924</v>
      </c>
      <c r="AB3" s="138" t="s">
        <v>925</v>
      </c>
      <c r="AC3" s="138" t="s">
        <v>926</v>
      </c>
      <c r="AD3" s="138" t="s">
        <v>927</v>
      </c>
      <c r="AE3" s="138" t="s">
        <v>928</v>
      </c>
      <c r="AF3" s="138" t="s">
        <v>931</v>
      </c>
      <c r="AG3" s="138" t="s">
        <v>932</v>
      </c>
      <c r="AH3" s="138" t="s">
        <v>933</v>
      </c>
      <c r="AI3" s="138" t="s">
        <v>929</v>
      </c>
      <c r="AJ3" s="138" t="s">
        <v>934</v>
      </c>
      <c r="AK3" s="138" t="s">
        <v>935</v>
      </c>
      <c r="AL3" s="138" t="s">
        <v>1100</v>
      </c>
      <c r="AM3" s="138" t="s">
        <v>936</v>
      </c>
      <c r="AN3" s="138" t="s">
        <v>930</v>
      </c>
      <c r="AO3" s="439" t="s">
        <v>1085</v>
      </c>
    </row>
    <row r="4" spans="1:41" x14ac:dyDescent="0.2">
      <c r="A4" s="140">
        <f>TblRezone[[#This Row],[Hour]]</f>
        <v>1</v>
      </c>
      <c r="B4" s="157">
        <f ca="1">TblConstr[[#This Row],[Land]]</f>
        <v>250</v>
      </c>
      <c r="C4" s="97">
        <f ca="1">TblProd[[#This Row],[Mana]]</f>
        <v>0</v>
      </c>
      <c r="D4" s="424">
        <f>1-TblMagic[[#This Row],[Wiz str cost]]</f>
        <v>1</v>
      </c>
      <c r="E4" s="162">
        <f>Imps!L4</f>
        <v>45429.75</v>
      </c>
      <c r="F4" s="159">
        <f ca="1">TblImps[[#This Row],[Population]]</f>
        <v>0.64646464646464652</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45429.791666666664</v>
      </c>
      <c r="F5" s="159">
        <f ca="1">TblImps[[#This Row],[Population]]</f>
        <v>0.42296774193548387</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45429.833333333328</v>
      </c>
      <c r="F6" s="159">
        <f ca="1">TblImps[[#This Row],[Population]]</f>
        <v>0.43303225806451612</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45429.874999999993</v>
      </c>
      <c r="F7" s="159">
        <f ca="1">TblImps[[#This Row],[Population]]</f>
        <v>0.4433548387096774</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45429.916666666657</v>
      </c>
      <c r="F8" s="159">
        <f ca="1">TblImps[[#This Row],[Population]]</f>
        <v>0.45393548387096772</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45429.958333333321</v>
      </c>
      <c r="F9" s="159">
        <f ca="1">TblImps[[#This Row],[Population]]</f>
        <v>0.44</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45429.999999999985</v>
      </c>
      <c r="F10" s="159">
        <f ca="1">TblImps[[#This Row],[Population]]</f>
        <v>0.45006451612903225</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45430.04166666665</v>
      </c>
      <c r="F11" s="159">
        <f ca="1">TblImps[[#This Row],[Population]]</f>
        <v>0.46012903225806451</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45430.083333333314</v>
      </c>
      <c r="F12" s="159">
        <f ca="1">TblImps[[#This Row],[Population]]</f>
        <v>0.47045161290322579</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45430.124999999978</v>
      </c>
      <c r="F13" s="159">
        <f ca="1">TblImps[[#This Row],[Population]]</f>
        <v>0.48103225806451611</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45430.166666666642</v>
      </c>
      <c r="F14" s="159">
        <f ca="1">TblImps[[#This Row],[Population]]</f>
        <v>0.49187096774193551</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45430.208333333307</v>
      </c>
      <c r="F15" s="159">
        <f ca="1">TblImps[[#This Row],[Population]]</f>
        <v>0.504</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375</v>
      </c>
      <c r="D16" s="159">
        <f ca="1">MIN(1,OFFSET(TblMagic[[#This Row],[Wiz str]],-1,0)+0.04+ROUNDDOWN(10*OFFSET(TblMili[[#This Row],[WG''s]],-1,0),0)+ tech_2_7*OFFSET(TblTech[[#This Row],[2-7]],-1,0) + tech_5_6*OFFSET(TblTech[[#This Row],[5-6]],-1,0) )-TblMagic[[#This Row],[Wiz str cost]]</f>
        <v>1</v>
      </c>
      <c r="E16" s="162">
        <f ca="1">OFFSET(TblMagic[[#This Row],[Time]],-1,0)+1/24</f>
        <v>45430.249999999971</v>
      </c>
      <c r="F16" s="159">
        <f ca="1">TblImps[[#This Row],[Population]]</f>
        <v>0.53032258064516125</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118</v>
      </c>
      <c r="D17" s="159">
        <f ca="1">MIN(1,OFFSET(TblMagic[[#This Row],[Wiz str]],-1,0)+0.04+ROUNDDOWN(10*OFFSET(TblMili[[#This Row],[WG''s]],-1,0),0)+ tech_2_7*OFFSET(TblTech[[#This Row],[2-7]],-1,0) + tech_5_6*OFFSET(TblTech[[#This Row],[5-6]],-1,0) )-TblMagic[[#This Row],[Wiz str cost]]</f>
        <v>0.95</v>
      </c>
      <c r="E17" s="162">
        <f ca="1">OFFSET(TblMagic[[#This Row],[Time]],-1,0)+1/24</f>
        <v>45430.291666666635</v>
      </c>
      <c r="F17" s="159">
        <f ca="1">TblImps[[#This Row],[Population]]</f>
        <v>0.53567888999008917</v>
      </c>
      <c r="G17" s="229"/>
      <c r="H17" s="229"/>
      <c r="I17" s="229"/>
      <c r="J17" s="229"/>
      <c r="K17" s="432">
        <v>1</v>
      </c>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625</v>
      </c>
      <c r="Y17" s="159">
        <f>SUMIF(TblMagic[[#This Row],[Gaia''s Watch]:[Useless spell]],1)*0.05</f>
        <v>0.05</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12</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491</v>
      </c>
      <c r="D18" s="159">
        <f ca="1">MIN(1,OFFSET(TblMagic[[#This Row],[Wiz str]],-1,0)+0.04+ROUNDDOWN(10*OFFSET(TblMili[[#This Row],[WG''s]],-1,0),0)+ tech_2_7*OFFSET(TblTech[[#This Row],[2-7]],-1,0) + tech_5_6*OFFSET(TblTech[[#This Row],[5-6]],-1,0) )-TblMagic[[#This Row],[Wiz str cost]]</f>
        <v>0.99</v>
      </c>
      <c r="E18" s="162">
        <f ca="1">OFFSET(TblMagic[[#This Row],[Time]],-1,0)+1/24</f>
        <v>45430.333333333299</v>
      </c>
      <c r="F18" s="159">
        <f ca="1">TblImps[[#This Row],[Population]]</f>
        <v>0.57011892963330024</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11</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231</v>
      </c>
      <c r="D19" s="159">
        <f ca="1">MIN(1,OFFSET(TblMagic[[#This Row],[Wiz str]],-1,0)+0.04+ROUNDDOWN(10*OFFSET(TblMili[[#This Row],[WG''s]],-1,0),0)+ tech_2_7*OFFSET(TblTech[[#This Row],[2-7]],-1,0) + tech_5_6*OFFSET(TblTech[[#This Row],[5-6]],-1,0) )-TblMagic[[#This Row],[Wiz str cost]]</f>
        <v>0.95</v>
      </c>
      <c r="E19" s="162">
        <f ca="1">OFFSET(TblMagic[[#This Row],[Time]],-1,0)+1/24</f>
        <v>45430.374999999964</v>
      </c>
      <c r="F19" s="159">
        <f ca="1">TblImps[[#This Row],[Population]]</f>
        <v>0.60703666997026762</v>
      </c>
      <c r="G19" s="229"/>
      <c r="H19" s="229"/>
      <c r="I19" s="229"/>
      <c r="J19" s="229">
        <v>1</v>
      </c>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625</v>
      </c>
      <c r="Y19" s="159">
        <f>SUMIF(TblMagic[[#This Row],[Gaia''s Watch]:[Useless spell]],1)*0.05</f>
        <v>0.05</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12</v>
      </c>
      <c r="AE19" s="57">
        <f ca="1">IF(TblMagic[[#This Row],[Harmony]],12,IF(OFFSET(TblMagic[[#This Row],[Active Harmony]],-1,0)&gt;0,OFFSET(TblMagic[[#This Row],[Active Harmony]],-1,0)-1,0))</f>
        <v>10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601</v>
      </c>
      <c r="D20" s="159">
        <f ca="1">MIN(1,OFFSET(TblMagic[[#This Row],[Wiz str]],-1,0)+0.04+ROUNDDOWN(10*OFFSET(TblMili[[#This Row],[WG''s]],-1,0),0)+ tech_2_7*OFFSET(TblTech[[#This Row],[2-7]],-1,0) + tech_5_6*OFFSET(TblTech[[#This Row],[5-6]],-1,0) )-TblMagic[[#This Row],[Wiz str cost]]</f>
        <v>0.99</v>
      </c>
      <c r="E20" s="162">
        <f ca="1">OFFSET(TblMagic[[#This Row],[Time]],-1,0)+1/24</f>
        <v>45430.416666666628</v>
      </c>
      <c r="F20" s="159">
        <f ca="1">TblImps[[#This Row],[Population]]</f>
        <v>0.64643211100099107</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11</v>
      </c>
      <c r="AE20" s="57">
        <f ca="1">IF(TblMagic[[#This Row],[Harmony]],12,IF(OFFSET(TblMagic[[#This Row],[Active Harmony]],-1,0)&gt;0,OFFSET(TblMagic[[#This Row],[Active Harmony]],-1,0)-1,0))</f>
        <v>9</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274</v>
      </c>
      <c r="C21" s="97">
        <f ca="1">TblProd[[#This Row],[Mana]]</f>
        <v>964</v>
      </c>
      <c r="D21" s="159">
        <f ca="1">MIN(1,OFFSET(TblMagic[[#This Row],[Wiz str]],-1,0)+0.04+ROUNDDOWN(10*OFFSET(TblMili[[#This Row],[WG''s]],-1,0),0)+ tech_2_7*OFFSET(TblTech[[#This Row],[2-7]],-1,0) + tech_5_6*OFFSET(TblTech[[#This Row],[5-6]],-1,0) )-TblMagic[[#This Row],[Wiz str cost]]</f>
        <v>1</v>
      </c>
      <c r="E21" s="162">
        <f ca="1">OFFSET(TblMagic[[#This Row],[Time]],-1,0)+1/24</f>
        <v>45430.458333333292</v>
      </c>
      <c r="F21" s="159">
        <f ca="1">TblImps[[#This Row],[Population]]</f>
        <v>0.59855942376950777</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10</v>
      </c>
      <c r="AE21" s="57">
        <f ca="1">IF(TblMagic[[#This Row],[Harmony]],12,IF(OFFSET(TblMagic[[#This Row],[Active Harmony]],-1,0)&gt;0,OFFSET(TblMagic[[#This Row],[Active Harmony]],-1,0)-1,0))</f>
        <v>8</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275</v>
      </c>
      <c r="C22" s="97">
        <f ca="1">TblProd[[#This Row],[Mana]]</f>
        <v>1320</v>
      </c>
      <c r="D22" s="159">
        <f ca="1">MIN(1,OFFSET(TblMagic[[#This Row],[Wiz str]],-1,0)+0.04+ROUNDDOWN(10*OFFSET(TblMili[[#This Row],[WG''s]],-1,0),0)+ tech_2_7*OFFSET(TblTech[[#This Row],[2-7]],-1,0) + tech_5_6*OFFSET(TblTech[[#This Row],[5-6]],-1,0) )-TblMagic[[#This Row],[Wiz str cost]]</f>
        <v>1</v>
      </c>
      <c r="E22" s="162">
        <f ca="1">OFFSET(TblMagic[[#This Row],[Time]],-1,0)+1/24</f>
        <v>45430.499999999956</v>
      </c>
      <c r="F22" s="159">
        <f ca="1">TblImps[[#This Row],[Population]]</f>
        <v>0.59223300970873782</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9</v>
      </c>
      <c r="AE22" s="57">
        <f ca="1">IF(TblMagic[[#This Row],[Harmony]],12,IF(OFFSET(TblMagic[[#This Row],[Active Harmony]],-1,0)&gt;0,OFFSET(TblMagic[[#This Row],[Active Harmony]],-1,0)-1,0))</f>
        <v>7</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276</v>
      </c>
      <c r="C23" s="97">
        <f ca="1">TblProd[[#This Row],[Mana]]</f>
        <v>1669</v>
      </c>
      <c r="D23" s="159">
        <f ca="1">MIN(1,OFFSET(TblMagic[[#This Row],[Wiz str]],-1,0)+0.04+ROUNDDOWN(10*OFFSET(TblMili[[#This Row],[WG''s]],-1,0),0)+ tech_2_7*OFFSET(TblTech[[#This Row],[2-7]],-1,0) + tech_5_6*OFFSET(TblTech[[#This Row],[5-6]],-1,0) )-TblMagic[[#This Row],[Wiz str cost]]</f>
        <v>1</v>
      </c>
      <c r="E23" s="162">
        <f ca="1">OFFSET(TblMagic[[#This Row],[Time]],-1,0)+1/24</f>
        <v>45430.541666666621</v>
      </c>
      <c r="F23" s="159">
        <f ca="1">TblImps[[#This Row],[Population]]</f>
        <v>0.6209223847019123</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8</v>
      </c>
      <c r="AE23" s="57">
        <f ca="1">IF(TblMagic[[#This Row],[Harmony]],12,IF(OFFSET(TblMagic[[#This Row],[Active Harmony]],-1,0)&gt;0,OFFSET(TblMagic[[#This Row],[Active Harmony]],-1,0)-1,0))</f>
        <v>6</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277</v>
      </c>
      <c r="C24" s="97">
        <f ca="1">TblProd[[#This Row],[Mana]]</f>
        <v>2011</v>
      </c>
      <c r="D24" s="159">
        <f ca="1">MIN(1,OFFSET(TblMagic[[#This Row],[Wiz str]],-1,0)+0.04+ROUNDDOWN(10*OFFSET(TblMili[[#This Row],[WG''s]],-1,0),0)+ tech_2_7*OFFSET(TblTech[[#This Row],[2-7]],-1,0) + tech_5_6*OFFSET(TblTech[[#This Row],[5-6]],-1,0) )-TblMagic[[#This Row],[Wiz str cost]]</f>
        <v>1</v>
      </c>
      <c r="E24" s="162">
        <f ca="1">OFFSET(TblMagic[[#This Row],[Time]],-1,0)+1/24</f>
        <v>45430.583333333285</v>
      </c>
      <c r="F24" s="159">
        <f ca="1">TblImps[[#This Row],[Population]]</f>
        <v>0.65209594261376369</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7</v>
      </c>
      <c r="AE24" s="57">
        <f ca="1">IF(TblMagic[[#This Row],[Harmony]],12,IF(OFFSET(TblMagic[[#This Row],[Active Harmony]],-1,0)&gt;0,OFFSET(TblMagic[[#This Row],[Active Harmony]],-1,0)-1,0))</f>
        <v>5</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278</v>
      </c>
      <c r="C25" s="97">
        <f ca="1">TblProd[[#This Row],[Mana]]</f>
        <v>2346</v>
      </c>
      <c r="D25" s="159">
        <f ca="1">MIN(1,OFFSET(TblMagic[[#This Row],[Wiz str]],-1,0)+0.04+ROUNDDOWN(10*OFFSET(TblMili[[#This Row],[WG''s]],-1,0),0)+ tech_2_7*OFFSET(TblTech[[#This Row],[2-7]],-1,0) + tech_5_6*OFFSET(TblTech[[#This Row],[5-6]],-1,0) )-TblMagic[[#This Row],[Wiz str cost]]</f>
        <v>1</v>
      </c>
      <c r="E25" s="162">
        <f ca="1">OFFSET(TblMagic[[#This Row],[Time]],-1,0)+1/24</f>
        <v>45430.624999999949</v>
      </c>
      <c r="F25" s="159">
        <f ca="1">TblImps[[#This Row],[Population]]</f>
        <v>0.69376814831360289</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6</v>
      </c>
      <c r="AE25" s="57">
        <f ca="1">IF(TblMagic[[#This Row],[Harmony]],12,IF(OFFSET(TblMagic[[#This Row],[Active Harmony]],-1,0)&gt;0,OFFSET(TblMagic[[#This Row],[Active Harmony]],-1,0)-1,0))</f>
        <v>4</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279</v>
      </c>
      <c r="C26" s="97">
        <f ca="1">TblProd[[#This Row],[Mana]]</f>
        <v>2674</v>
      </c>
      <c r="D26" s="159">
        <f ca="1">MIN(1,OFFSET(TblMagic[[#This Row],[Wiz str]],-1,0)+0.04+ROUNDDOWN(10*OFFSET(TblMili[[#This Row],[WG''s]],-1,0),0)+ tech_2_7*OFFSET(TblTech[[#This Row],[2-7]],-1,0) + tech_5_6*OFFSET(TblTech[[#This Row],[5-6]],-1,0) )-TblMagic[[#This Row],[Wiz str cost]]</f>
        <v>1</v>
      </c>
      <c r="E26" s="162">
        <f ca="1">OFFSET(TblMagic[[#This Row],[Time]],-1,0)+1/24</f>
        <v>45430.666666666613</v>
      </c>
      <c r="F26" s="159">
        <f ca="1">TblImps[[#This Row],[Population]]</f>
        <v>0.73892722012018697</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5</v>
      </c>
      <c r="AE26" s="57">
        <f ca="1">IF(TblMagic[[#This Row],[Harmony]],12,IF(OFFSET(TblMagic[[#This Row],[Active Harmony]],-1,0)&gt;0,OFFSET(TblMagic[[#This Row],[Active Harmony]],-1,0)-1,0))</f>
        <v>3</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299</v>
      </c>
      <c r="C27" s="97">
        <f ca="1">TblProd[[#This Row],[Mana]]</f>
        <v>2996</v>
      </c>
      <c r="D27" s="159">
        <f ca="1">MIN(1,OFFSET(TblMagic[[#This Row],[Wiz str]],-1,0)+0.04+ROUNDDOWN(10*OFFSET(TblMili[[#This Row],[WG''s]],-1,0),0)+ tech_2_7*OFFSET(TblTech[[#This Row],[2-7]],-1,0) + tech_5_6*OFFSET(TblTech[[#This Row],[5-6]],-1,0) )-TblMagic[[#This Row],[Wiz str cost]]</f>
        <v>1</v>
      </c>
      <c r="E27" s="162">
        <f ca="1">OFFSET(TblMagic[[#This Row],[Time]],-1,0)+1/24</f>
        <v>45430.708333333278</v>
      </c>
      <c r="F27" s="159">
        <f ca="1">TblImps[[#This Row],[Population]]</f>
        <v>0.7808614564831261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4</v>
      </c>
      <c r="AE27" s="57">
        <f ca="1">IF(TblMagic[[#This Row],[Harmony]],12,IF(OFFSET(TblMagic[[#This Row],[Active Harmony]],-1,0)&gt;0,OFFSET(TblMagic[[#This Row],[Active Harmony]],-1,0)-1,0))</f>
        <v>2</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299</v>
      </c>
      <c r="C28" s="97">
        <f ca="1">TblProd[[#This Row],[Mana]]</f>
        <v>3386</v>
      </c>
      <c r="D28" s="159">
        <f ca="1">MIN(1,OFFSET(TblMagic[[#This Row],[Wiz str]],-1,0)+0.04+ROUNDDOWN(10*OFFSET(TblMili[[#This Row],[WG''s]],-1,0),0)+ tech_2_7*OFFSET(TblTech[[#This Row],[2-7]],-1,0) + tech_5_6*OFFSET(TblTech[[#This Row],[5-6]],-1,0) )-TblMagic[[#This Row],[Wiz str cost]]</f>
        <v>1</v>
      </c>
      <c r="E28" s="162">
        <f ca="1">OFFSET(TblMagic[[#This Row],[Time]],-1,0)+1/24</f>
        <v>45430.749999999942</v>
      </c>
      <c r="F28" s="159">
        <f ca="1">TblImps[[#This Row],[Population]]</f>
        <v>0.77936606587942825</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3</v>
      </c>
      <c r="AE28" s="57">
        <f ca="1">IF(TblMagic[[#This Row],[Harmony]],12,IF(OFFSET(TblMagic[[#This Row],[Active Harmony]],-1,0)&gt;0,OFFSET(TblMagic[[#This Row],[Active Harmony]],-1,0)-1,0))</f>
        <v>1</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299</v>
      </c>
      <c r="C29" s="97">
        <f ca="1">TblProd[[#This Row],[Mana]]</f>
        <v>1525.5</v>
      </c>
      <c r="D29" s="159">
        <f ca="1">MIN(1,OFFSET(TblMagic[[#This Row],[Wiz str]],-1,0)+0.04+ROUNDDOWN(10*OFFSET(TblMili[[#This Row],[WG''s]],-1,0),0)+ tech_2_7*OFFSET(TblTech[[#This Row],[2-7]],-1,0) + tech_5_6*OFFSET(TblTech[[#This Row],[5-6]],-1,0) )-TblMagic[[#This Row],[Wiz str cost]]</f>
        <v>0.9</v>
      </c>
      <c r="E29" s="162">
        <f ca="1">OFFSET(TblMagic[[#This Row],[Time]],-1,0)+1/24</f>
        <v>45430.791666666606</v>
      </c>
      <c r="F29" s="159">
        <f ca="1">TblImps[[#This Row],[Population]]</f>
        <v>0.83322974932670391</v>
      </c>
      <c r="G29" s="229"/>
      <c r="H29" s="229"/>
      <c r="I29" s="229"/>
      <c r="J29" s="229"/>
      <c r="K29" s="432">
        <v>1</v>
      </c>
      <c r="L29" s="229"/>
      <c r="M29" s="229"/>
      <c r="N29" s="229"/>
      <c r="O29" s="229"/>
      <c r="P29" s="229"/>
      <c r="Q29" s="229"/>
      <c r="R29" s="229"/>
      <c r="S29" s="229">
        <v>1</v>
      </c>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59">
        <f>SUMIF(TblMagic[[#This Row],[Gaia''s Watch]:[Useless spell]],1)*0.05</f>
        <v>0.1</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2</v>
      </c>
      <c r="AE29" s="57">
        <f ca="1">IF(TblMagic[[#This Row],[Harmony]],12,IF(OFFSET(TblMagic[[#This Row],[Active Harmony]],-1,0)&gt;0,OFFSET(TblMagic[[#This Row],[Active Harmony]],-1,0)-1,0))</f>
        <v>12</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12</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299</v>
      </c>
      <c r="C30" s="97">
        <f ca="1">TblProd[[#This Row],[Mana]]</f>
        <v>1944.5</v>
      </c>
      <c r="D30" s="159">
        <f ca="1">MIN(1,OFFSET(TblMagic[[#This Row],[Wiz str]],-1,0)+0.04+ROUNDDOWN(10*OFFSET(TblMili[[#This Row],[WG''s]],-1,0),0)+ tech_2_7*OFFSET(TblTech[[#This Row],[2-7]],-1,0) + tech_5_6*OFFSET(TblTech[[#This Row],[5-6]],-1,0) )-TblMagic[[#This Row],[Wiz str cost]]</f>
        <v>0.94000000000000006</v>
      </c>
      <c r="E30" s="162">
        <f ca="1">OFFSET(TblMagic[[#This Row],[Time]],-1,0)+1/24</f>
        <v>45430.83333333327</v>
      </c>
      <c r="F30" s="159">
        <f ca="1">TblImps[[#This Row],[Population]]</f>
        <v>0.89061528899937847</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1</v>
      </c>
      <c r="AE30" s="57">
        <f ca="1">IF(TblMagic[[#This Row],[Harmony]],12,IF(OFFSET(TblMagic[[#This Row],[Active Harmony]],-1,0)&gt;0,OFFSET(TblMagic[[#This Row],[Active Harmony]],-1,0)-1,0))</f>
        <v>11</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11</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299</v>
      </c>
      <c r="C31" s="97">
        <f ca="1">TblProd[[#This Row],[Mana]]</f>
        <v>1608</v>
      </c>
      <c r="D31" s="159">
        <f ca="1">MIN(1,OFFSET(TblMagic[[#This Row],[Wiz str]],-1,0)+0.04+ROUNDDOWN(10*OFFSET(TblMili[[#This Row],[WG''s]],-1,0),0)+ tech_2_7*OFFSET(TblTech[[#This Row],[2-7]],-1,0) + tech_5_6*OFFSET(TblTech[[#This Row],[5-6]],-1,0) )-TblMagic[[#This Row],[Wiz str cost]]</f>
        <v>0.93</v>
      </c>
      <c r="E31" s="162">
        <f ca="1">OFFSET(TblMagic[[#This Row],[Time]],-1,0)+1/24</f>
        <v>45430.874999999935</v>
      </c>
      <c r="F31" s="159">
        <f ca="1">TblImps[[#This Row],[Population]]</f>
        <v>0.95152268489745184</v>
      </c>
      <c r="G31" s="229"/>
      <c r="H31" s="229"/>
      <c r="I31" s="229"/>
      <c r="J31" s="229">
        <v>1</v>
      </c>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59">
        <f>SUMIF(TblMagic[[#This Row],[Gaia''s Watch]:[Useless spell]],1)*0.05</f>
        <v>0.05</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12</v>
      </c>
      <c r="AE31" s="57">
        <f ca="1">IF(TblMagic[[#This Row],[Harmony]],12,IF(OFFSET(TblMagic[[#This Row],[Active Harmony]],-1,0)&gt;0,OFFSET(TblMagic[[#This Row],[Active Harmony]],-1,0)-1,0))</f>
        <v>10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10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299</v>
      </c>
      <c r="C32" s="97">
        <f ca="1">TblProd[[#This Row],[Mana]]</f>
        <v>2026</v>
      </c>
      <c r="D32" s="159">
        <f ca="1">MIN(1,OFFSET(TblMagic[[#This Row],[Wiz str]],-1,0)+0.04+ROUNDDOWN(10*OFFSET(TblMili[[#This Row],[WG''s]],-1,0),0)+ tech_2_7*OFFSET(TblTech[[#This Row],[2-7]],-1,0) + tech_5_6*OFFSET(TblTech[[#This Row],[5-6]],-1,0) )-TblMagic[[#This Row],[Wiz str cost]]</f>
        <v>0.97000000000000008</v>
      </c>
      <c r="E32" s="162">
        <f ca="1">OFFSET(TblMagic[[#This Row],[Time]],-1,0)+1/24</f>
        <v>45430.916666666599</v>
      </c>
      <c r="F32" s="159">
        <f ca="1">TblImps[[#This Row],[Population]]</f>
        <v>0.93204889165112903</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11</v>
      </c>
      <c r="AE32" s="57">
        <f ca="1">IF(TblMagic[[#This Row],[Harmony]],12,IF(OFFSET(TblMagic[[#This Row],[Active Harmony]],-1,0)&gt;0,OFFSET(TblMagic[[#This Row],[Active Harmony]],-1,0)-1,0))</f>
        <v>9</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9</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369</v>
      </c>
      <c r="C33" s="97">
        <f ca="1">TblProd[[#This Row],[Mana]]</f>
        <v>2435</v>
      </c>
      <c r="D33" s="159">
        <f ca="1">MIN(1,OFFSET(TblMagic[[#This Row],[Wiz str]],-1,0)+0.04+ROUNDDOWN(10*OFFSET(TblMili[[#This Row],[WG''s]],-1,0),0)+ tech_2_7*OFFSET(TblTech[[#This Row],[2-7]],-1,0) + tech_5_6*OFFSET(TblTech[[#This Row],[5-6]],-1,0) )-TblMagic[[#This Row],[Wiz str cost]]</f>
        <v>1</v>
      </c>
      <c r="E33" s="162">
        <f ca="1">OFFSET(TblMagic[[#This Row],[Time]],-1,0)+1/24</f>
        <v>45430.958333333263</v>
      </c>
      <c r="F33" s="159">
        <f ca="1">TblImps[[#This Row],[Population]]</f>
        <v>0.91391237509607992</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10</v>
      </c>
      <c r="AE33" s="57">
        <f ca="1">IF(TblMagic[[#This Row],[Harmony]],12,IF(OFFSET(TblMagic[[#This Row],[Active Harmony]],-1,0)&gt;0,OFFSET(TblMagic[[#This Row],[Active Harmony]],-1,0)-1,0))</f>
        <v>8</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8</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380</v>
      </c>
      <c r="C34" s="97">
        <f ca="1">TblProd[[#This Row],[Mana]]</f>
        <v>2836</v>
      </c>
      <c r="D34" s="159">
        <f ca="1">MIN(1,OFFSET(TblMagic[[#This Row],[Wiz str]],-1,0)+0.04+ROUNDDOWN(10*OFFSET(TblMili[[#This Row],[WG''s]],-1,0),0)+ tech_2_7*OFFSET(TblTech[[#This Row],[2-7]],-1,0) + tech_5_6*OFFSET(TblTech[[#This Row],[5-6]],-1,0) )-TblMagic[[#This Row],[Wiz str cost]]</f>
        <v>1</v>
      </c>
      <c r="E34" s="162">
        <f ca="1">OFFSET(TblMagic[[#This Row],[Time]],-1,0)+1/24</f>
        <v>45430.999999999927</v>
      </c>
      <c r="F34" s="159">
        <f ca="1">TblImps[[#This Row],[Population]]</f>
        <v>0.8349401595744681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9</v>
      </c>
      <c r="AE34" s="57">
        <f ca="1">IF(TblMagic[[#This Row],[Harmony]],12,IF(OFFSET(TblMagic[[#This Row],[Active Harmony]],-1,0)&gt;0,OFFSET(TblMagic[[#This Row],[Active Harmony]],-1,0)-1,0))</f>
        <v>7</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7</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392</v>
      </c>
      <c r="C35" s="97">
        <f ca="1">TblProd[[#This Row],[Mana]]</f>
        <v>3229</v>
      </c>
      <c r="D35" s="159">
        <f ca="1">MIN(1,OFFSET(TblMagic[[#This Row],[Wiz str]],-1,0)+0.04+ROUNDDOWN(10*OFFSET(TblMili[[#This Row],[WG''s]],-1,0),0)+ tech_2_7*OFFSET(TblTech[[#This Row],[2-7]],-1,0) + tech_5_6*OFFSET(TblTech[[#This Row],[5-6]],-1,0) )-TblMagic[[#This Row],[Wiz str cost]]</f>
        <v>1</v>
      </c>
      <c r="E35" s="162">
        <f ca="1">OFFSET(TblMagic[[#This Row],[Time]],-1,0)+1/24</f>
        <v>45431.041666666591</v>
      </c>
      <c r="F35" s="159">
        <f ca="1">TblImps[[#This Row],[Population]]</f>
        <v>0.85562187449588645</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8</v>
      </c>
      <c r="AE35" s="57">
        <f ca="1">IF(TblMagic[[#This Row],[Harmony]],12,IF(OFFSET(TblMagic[[#This Row],[Active Harmony]],-1,0)&gt;0,OFFSET(TblMagic[[#This Row],[Active Harmony]],-1,0)-1,0))</f>
        <v>6</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6</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404</v>
      </c>
      <c r="C36" s="97">
        <f ca="1">TblProd[[#This Row],[Mana]]</f>
        <v>3614</v>
      </c>
      <c r="D36" s="159">
        <f ca="1">MIN(1,OFFSET(TblMagic[[#This Row],[Wiz str]],-1,0)+0.04+ROUNDDOWN(10*OFFSET(TblMili[[#This Row],[WG''s]],-1,0),0)+ tech_2_7*OFFSET(TblTech[[#This Row],[2-7]],-1,0) + tech_5_6*OFFSET(TblTech[[#This Row],[5-6]],-1,0) )-TblMagic[[#This Row],[Wiz str cost]]</f>
        <v>1</v>
      </c>
      <c r="E36" s="162">
        <f ca="1">OFFSET(TblMagic[[#This Row],[Time]],-1,0)+1/24</f>
        <v>45431.083333333256</v>
      </c>
      <c r="F36" s="159">
        <f ca="1">TblImps[[#This Row],[Population]]</f>
        <v>0.87595807914906931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7</v>
      </c>
      <c r="AE36" s="57">
        <f ca="1">IF(TblMagic[[#This Row],[Harmony]],12,IF(OFFSET(TblMagic[[#This Row],[Active Harmony]],-1,0)&gt;0,OFFSET(TblMagic[[#This Row],[Active Harmony]],-1,0)-1,0))</f>
        <v>5</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5</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407</v>
      </c>
      <c r="C37" s="97">
        <f ca="1">TblProd[[#This Row],[Mana]]</f>
        <v>3992</v>
      </c>
      <c r="D37" s="159">
        <f ca="1">MIN(1,OFFSET(TblMagic[[#This Row],[Wiz str]],-1,0)+0.04+ROUNDDOWN(10*OFFSET(TblMili[[#This Row],[WG''s]],-1,0),0)+ tech_2_7*OFFSET(TblTech[[#This Row],[2-7]],-1,0) + tech_5_6*OFFSET(TblTech[[#This Row],[5-6]],-1,0) )-TblMagic[[#This Row],[Wiz str cost]]</f>
        <v>1</v>
      </c>
      <c r="E37" s="162">
        <f ca="1">OFFSET(TblMagic[[#This Row],[Time]],-1,0)+1/24</f>
        <v>45431.12499999992</v>
      </c>
      <c r="F37" s="159">
        <f ca="1">TblImps[[#This Row],[Population]]</f>
        <v>0.90394616090547564</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6</v>
      </c>
      <c r="AE37" s="57">
        <f ca="1">IF(TblMagic[[#This Row],[Harmony]],12,IF(OFFSET(TblMagic[[#This Row],[Active Harmony]],-1,0)&gt;0,OFFSET(TblMagic[[#This Row],[Active Harmony]],-1,0)-1,0))</f>
        <v>4</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4</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409</v>
      </c>
      <c r="C38" s="97">
        <f ca="1">TblProd[[#This Row],[Mana]]</f>
        <v>4362</v>
      </c>
      <c r="D38" s="159">
        <f ca="1">MIN(1,OFFSET(TblMagic[[#This Row],[Wiz str]],-1,0)+0.04+ROUNDDOWN(10*OFFSET(TblMili[[#This Row],[WG''s]],-1,0),0)+ tech_2_7*OFFSET(TblTech[[#This Row],[2-7]],-1,0) + tech_5_6*OFFSET(TblTech[[#This Row],[5-6]],-1,0) )-TblMagic[[#This Row],[Wiz str cost]]</f>
        <v>1</v>
      </c>
      <c r="E38" s="162">
        <f ca="1">OFFSET(TblMagic[[#This Row],[Time]],-1,0)+1/24</f>
        <v>45431.166666666584</v>
      </c>
      <c r="F38" s="159">
        <f ca="1">TblImps[[#This Row],[Population]]</f>
        <v>0.94727245099528945</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5</v>
      </c>
      <c r="AE38" s="57">
        <f ca="1">IF(TblMagic[[#This Row],[Harmony]],12,IF(OFFSET(TblMagic[[#This Row],[Active Harmony]],-1,0)&gt;0,OFFSET(TblMagic[[#This Row],[Active Harmony]],-1,0)-1,0))</f>
        <v>3</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3</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419</v>
      </c>
      <c r="C39" s="97">
        <f ca="1">TblProd[[#This Row],[Mana]]</f>
        <v>4725</v>
      </c>
      <c r="D39" s="159">
        <f ca="1">MIN(1,OFFSET(TblMagic[[#This Row],[Wiz str]],-1,0)+0.04+ROUNDDOWN(10*OFFSET(TblMili[[#This Row],[WG''s]],-1,0),0)+ tech_2_7*OFFSET(TblTech[[#This Row],[2-7]],-1,0) + tech_5_6*OFFSET(TblTech[[#This Row],[5-6]],-1,0) )-TblMagic[[#This Row],[Wiz str cost]]</f>
        <v>1</v>
      </c>
      <c r="E39" s="162">
        <f ca="1">OFFSET(TblMagic[[#This Row],[Time]],-1,0)+1/24</f>
        <v>45431.208333333248</v>
      </c>
      <c r="F39" s="159">
        <f ca="1">TblImps[[#This Row],[Population]]</f>
        <v>0.98708126783836558</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4</v>
      </c>
      <c r="AE39" s="57">
        <f ca="1">IF(TblMagic[[#This Row],[Harmony]],12,IF(OFFSET(TblMagic[[#This Row],[Active Harmony]],-1,0)&gt;0,OFFSET(TblMagic[[#This Row],[Active Harmony]],-1,0)-1,0))</f>
        <v>2</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2</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419</v>
      </c>
      <c r="C40" s="97">
        <f ca="1">TblProd[[#This Row],[Mana]]</f>
        <v>5081</v>
      </c>
      <c r="D40" s="159">
        <f ca="1">MIN(1,OFFSET(TblMagic[[#This Row],[Wiz str]],-1,0)+0.04+ROUNDDOWN(10*OFFSET(TblMili[[#This Row],[WG''s]],-1,0),0)+ tech_2_7*OFFSET(TblTech[[#This Row],[2-7]],-1,0) + tech_5_6*OFFSET(TblTech[[#This Row],[5-6]],-1,0) )-TblMagic[[#This Row],[Wiz str cost]]</f>
        <v>1</v>
      </c>
      <c r="E40" s="162">
        <f ca="1">OFFSET(TblMagic[[#This Row],[Time]],-1,0)+1/24</f>
        <v>45431.249999999913</v>
      </c>
      <c r="F40" s="159">
        <f ca="1">TblImps[[#This Row],[Population]]</f>
        <v>0.99039030159668839</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3</v>
      </c>
      <c r="AE40" s="57">
        <f ca="1">IF(TblMagic[[#This Row],[Harmony]],12,IF(OFFSET(TblMagic[[#This Row],[Active Harmony]],-1,0)&gt;0,OFFSET(TblMagic[[#This Row],[Active Harmony]],-1,0)-1,0))</f>
        <v>1</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1</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419</v>
      </c>
      <c r="C41" s="97">
        <f ca="1">TblProd[[#This Row],[Mana]]</f>
        <v>2286.5</v>
      </c>
      <c r="D41" s="159">
        <f ca="1">MIN(1,OFFSET(TblMagic[[#This Row],[Wiz str]],-1,0)+0.04+ROUNDDOWN(10*OFFSET(TblMili[[#This Row],[WG''s]],-1,0),0)+ tech_2_7*OFFSET(TblTech[[#This Row],[2-7]],-1,0) + tech_5_6*OFFSET(TblTech[[#This Row],[5-6]],-1,0) )-TblMagic[[#This Row],[Wiz str cost]]</f>
        <v>0.9</v>
      </c>
      <c r="E41" s="162">
        <f ca="1">OFFSET(TblMagic[[#This Row],[Time]],-1,0)+1/24</f>
        <v>45431.291666666577</v>
      </c>
      <c r="F41" s="159">
        <f ca="1">TblImps[[#This Row],[Population]]</f>
        <v>0.99039030159668839</v>
      </c>
      <c r="G41" s="229"/>
      <c r="H41" s="229"/>
      <c r="I41" s="229"/>
      <c r="J41" s="229"/>
      <c r="K41" s="432">
        <v>1</v>
      </c>
      <c r="L41" s="229"/>
      <c r="M41" s="229"/>
      <c r="N41" s="229"/>
      <c r="O41" s="229"/>
      <c r="P41" s="229"/>
      <c r="Q41" s="229"/>
      <c r="R41" s="229"/>
      <c r="S41" s="229">
        <v>1</v>
      </c>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59">
        <f>SUMIF(TblMagic[[#This Row],[Gaia''s Watch]:[Useless spell]],1)*0.05</f>
        <v>0.1</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2</v>
      </c>
      <c r="AE41" s="57">
        <f ca="1">IF(TblMagic[[#This Row],[Harmony]],12,IF(OFFSET(TblMagic[[#This Row],[Active Harmony]],-1,0)&gt;0,OFFSET(TblMagic[[#This Row],[Active Harmony]],-1,0)-1,0))</f>
        <v>12</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12</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419</v>
      </c>
      <c r="C42" s="97">
        <f ca="1">TblProd[[#This Row],[Mana]]</f>
        <v>2690.5</v>
      </c>
      <c r="D42" s="159">
        <f ca="1">MIN(1,OFFSET(TblMagic[[#This Row],[Wiz str]],-1,0)+0.04+ROUNDDOWN(10*OFFSET(TblMili[[#This Row],[WG''s]],-1,0),0)+ tech_2_7*OFFSET(TblTech[[#This Row],[2-7]],-1,0) + tech_5_6*OFFSET(TblTech[[#This Row],[5-6]],-1,0) )-TblMagic[[#This Row],[Wiz str cost]]</f>
        <v>0.94000000000000006</v>
      </c>
      <c r="E42" s="162">
        <f ca="1">OFFSET(TblMagic[[#This Row],[Time]],-1,0)+1/24</f>
        <v>45431.333333333241</v>
      </c>
      <c r="F42" s="159">
        <f ca="1">TblImps[[#This Row],[Population]]</f>
        <v>0.98965109402720286</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1</v>
      </c>
      <c r="AE42" s="57">
        <f ca="1">IF(TblMagic[[#This Row],[Harmony]],12,IF(OFFSET(TblMagic[[#This Row],[Active Harmony]],-1,0)&gt;0,OFFSET(TblMagic[[#This Row],[Active Harmony]],-1,0)-1,0))</f>
        <v>11</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11</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419</v>
      </c>
      <c r="C43" s="97">
        <f ca="1">TblProd[[#This Row],[Mana]]</f>
        <v>2039</v>
      </c>
      <c r="D43" s="159">
        <f ca="1">MIN(1,OFFSET(TblMagic[[#This Row],[Wiz str]],-1,0)+0.04+ROUNDDOWN(10*OFFSET(TblMili[[#This Row],[WG''s]],-1,0),0)+ tech_2_7*OFFSET(TblTech[[#This Row],[2-7]],-1,0) + tech_5_6*OFFSET(TblTech[[#This Row],[5-6]],-1,0) )-TblMagic[[#This Row],[Wiz str cost]]</f>
        <v>0.93</v>
      </c>
      <c r="E43" s="162">
        <f ca="1">OFFSET(TblMagic[[#This Row],[Time]],-1,0)+1/24</f>
        <v>45431.374999999905</v>
      </c>
      <c r="F43" s="159">
        <f ca="1">TblImps[[#This Row],[Population]]</f>
        <v>0.99039030159668839</v>
      </c>
      <c r="G43" s="229"/>
      <c r="H43" s="229"/>
      <c r="I43" s="229"/>
      <c r="J43" s="229">
        <v>1</v>
      </c>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59">
        <f>SUMIF(TblMagic[[#This Row],[Gaia''s Watch]:[Useless spell]],1)*0.05</f>
        <v>0.05</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12</v>
      </c>
      <c r="AE43" s="57">
        <f ca="1">IF(TblMagic[[#This Row],[Harmony]],12,IF(OFFSET(TblMagic[[#This Row],[Active Harmony]],-1,0)&gt;0,OFFSET(TblMagic[[#This Row],[Active Harmony]],-1,0)-1,0))</f>
        <v>10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10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501</v>
      </c>
      <c r="C44" s="97">
        <f ca="1">TblProd[[#This Row],[Mana]]</f>
        <v>2448</v>
      </c>
      <c r="D44" s="159">
        <f ca="1">MIN(1,OFFSET(TblMagic[[#This Row],[Wiz str]],-1,0)+0.04+ROUNDDOWN(10*OFFSET(TblMili[[#This Row],[WG''s]],-1,0),0)+ tech_2_7*OFFSET(TblTech[[#This Row],[2-7]],-1,0) + tech_5_6*OFFSET(TblTech[[#This Row],[5-6]],-1,0) )-TblMagic[[#This Row],[Wiz str cost]]</f>
        <v>0.97000000000000008</v>
      </c>
      <c r="E44" s="162">
        <f ca="1">OFFSET(TblMagic[[#This Row],[Time]],-1,0)+1/24</f>
        <v>45431.41666666657</v>
      </c>
      <c r="F44" s="159">
        <f ca="1">TblImps[[#This Row],[Population]]</f>
        <v>0.97751561415683552</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11</v>
      </c>
      <c r="AE44" s="57">
        <f ca="1">IF(TblMagic[[#This Row],[Harmony]],12,IF(OFFSET(TblMagic[[#This Row],[Active Harmony]],-1,0)&gt;0,OFFSET(TblMagic[[#This Row],[Active Harmony]],-1,0)-1,0))</f>
        <v>9</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9</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510</v>
      </c>
      <c r="C45" s="97">
        <f ca="1">TblProd[[#This Row],[Mana]]</f>
        <v>2849</v>
      </c>
      <c r="D45" s="159">
        <f ca="1">MIN(1,OFFSET(TblMagic[[#This Row],[Wiz str]],-1,0)+0.04+ROUNDDOWN(10*OFFSET(TblMili[[#This Row],[WG''s]],-1,0),0)+ tech_2_7*OFFSET(TblTech[[#This Row],[2-7]],-1,0) + tech_5_6*OFFSET(TblTech[[#This Row],[5-6]],-1,0) )-TblMagic[[#This Row],[Wiz str cost]]</f>
        <v>1</v>
      </c>
      <c r="E45" s="162">
        <f ca="1">OFFSET(TblMagic[[#This Row],[Time]],-1,0)+1/24</f>
        <v>45431.458333333234</v>
      </c>
      <c r="F45" s="159">
        <f ca="1">TblImps[[#This Row],[Population]]</f>
        <v>0.90953785644051133</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10</v>
      </c>
      <c r="AE45" s="57">
        <f ca="1">IF(TblMagic[[#This Row],[Harmony]],12,IF(OFFSET(TblMagic[[#This Row],[Active Harmony]],-1,0)&gt;0,OFFSET(TblMagic[[#This Row],[Active Harmony]],-1,0)-1,0))</f>
        <v>8</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8</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520</v>
      </c>
      <c r="C46" s="97">
        <f ca="1">TblProd[[#This Row],[Mana]]</f>
        <v>3242</v>
      </c>
      <c r="D46" s="159">
        <f ca="1">MIN(1,OFFSET(TblMagic[[#This Row],[Wiz str]],-1,0)+0.04+ROUNDDOWN(10*OFFSET(TblMili[[#This Row],[WG''s]],-1,0),0)+ tech_2_7*OFFSET(TblTech[[#This Row],[2-7]],-1,0) + tech_5_6*OFFSET(TblTech[[#This Row],[5-6]],-1,0) )-TblMagic[[#This Row],[Wiz str cost]]</f>
        <v>1</v>
      </c>
      <c r="E46" s="162">
        <f ca="1">OFFSET(TblMagic[[#This Row],[Time]],-1,0)+1/24</f>
        <v>45431.499999999898</v>
      </c>
      <c r="F46" s="159">
        <f ca="1">TblImps[[#This Row],[Population]]</f>
        <v>0.94135392783878369</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9</v>
      </c>
      <c r="AE46" s="57">
        <f ca="1">IF(TblMagic[[#This Row],[Harmony]],12,IF(OFFSET(TblMagic[[#This Row],[Active Harmony]],-1,0)&gt;0,OFFSET(TblMagic[[#This Row],[Active Harmony]],-1,0)-1,0))</f>
        <v>7</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7</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530</v>
      </c>
      <c r="C47" s="97">
        <f ca="1">TblProd[[#This Row],[Mana]]</f>
        <v>3652</v>
      </c>
      <c r="D47" s="159">
        <f ca="1">MIN(1,OFFSET(TblMagic[[#This Row],[Wiz str]],-1,0)+0.04+ROUNDDOWN(10*OFFSET(TblMili[[#This Row],[WG''s]],-1,0),0)+ tech_2_7*OFFSET(TblTech[[#This Row],[2-7]],-1,0) + tech_5_6*OFFSET(TblTech[[#This Row],[5-6]],-1,0) )-TblMagic[[#This Row],[Wiz str cost]]</f>
        <v>1</v>
      </c>
      <c r="E47" s="162">
        <f ca="1">OFFSET(TblMagic[[#This Row],[Time]],-1,0)+1/24</f>
        <v>45431.541666666562</v>
      </c>
      <c r="F47" s="159">
        <f ca="1">TblImps[[#This Row],[Population]]</f>
        <v>0.97881406083560185</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8</v>
      </c>
      <c r="AE47" s="57">
        <f ca="1">IF(TblMagic[[#This Row],[Harmony]],12,IF(OFFSET(TblMagic[[#This Row],[Active Harmony]],-1,0)&gt;0,OFFSET(TblMagic[[#This Row],[Active Harmony]],-1,0)-1,0))</f>
        <v>6</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6</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540</v>
      </c>
      <c r="C48" s="97">
        <f ca="1">TblProd[[#This Row],[Mana]]</f>
        <v>4204</v>
      </c>
      <c r="D48" s="159">
        <f ca="1">MIN(1,OFFSET(TblMagic[[#This Row],[Wiz str]],-1,0)+0.04+ROUNDDOWN(10*OFFSET(TblMili[[#This Row],[WG''s]],-1,0),0)+ tech_2_7*OFFSET(TblTech[[#This Row],[2-7]],-1,0) + tech_5_6*OFFSET(TblTech[[#This Row],[5-6]],-1,0) )-TblMagic[[#This Row],[Wiz str cost]]</f>
        <v>1</v>
      </c>
      <c r="E48" s="162">
        <f ca="1">OFFSET(TblMagic[[#This Row],[Time]],-1,0)+1/24</f>
        <v>45431.583333333227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7</v>
      </c>
      <c r="AE48" s="57">
        <f ca="1">IF(TblMagic[[#This Row],[Harmony]],12,IF(OFFSET(TblMagic[[#This Row],[Active Harmony]],-1,0)&gt;0,OFFSET(TblMagic[[#This Row],[Active Harmony]],-1,0)-1,0))</f>
        <v>5</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5</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551</v>
      </c>
      <c r="C49" s="97">
        <f ca="1">TblProd[[#This Row],[Mana]]</f>
        <v>4745</v>
      </c>
      <c r="D49" s="159">
        <f ca="1">MIN(1,OFFSET(TblMagic[[#This Row],[Wiz str]],-1,0)+0.04+ROUNDDOWN(10*OFFSET(TblMili[[#This Row],[WG''s]],-1,0),0)+ tech_2_7*OFFSET(TblTech[[#This Row],[2-7]],-1,0) + tech_5_6*OFFSET(TblTech[[#This Row],[5-6]],-1,0) )-TblMagic[[#This Row],[Wiz str cost]]</f>
        <v>1</v>
      </c>
      <c r="E49" s="162">
        <f ca="1">OFFSET(TblMagic[[#This Row],[Time]],-1,0)+1/24</f>
        <v>45431.624999999891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6</v>
      </c>
      <c r="AE49" s="57">
        <f ca="1">IF(TblMagic[[#This Row],[Harmony]],12,IF(OFFSET(TblMagic[[#This Row],[Active Harmony]],-1,0)&gt;0,OFFSET(TblMagic[[#This Row],[Active Harmony]],-1,0)-1,0))</f>
        <v>4</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4</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563</v>
      </c>
      <c r="C50" s="97">
        <f ca="1">TblProd[[#This Row],[Mana]]</f>
        <v>5275</v>
      </c>
      <c r="D50" s="159">
        <f ca="1">MIN(1,OFFSET(TblMagic[[#This Row],[Wiz str]],-1,0)+0.04+ROUNDDOWN(10*OFFSET(TblMili[[#This Row],[WG''s]],-1,0),0)+ tech_2_7*OFFSET(TblTech[[#This Row],[2-7]],-1,0) + tech_5_6*OFFSET(TblTech[[#This Row],[5-6]],-1,0) )-TblMagic[[#This Row],[Wiz str cost]]</f>
        <v>1</v>
      </c>
      <c r="E50" s="162">
        <f ca="1">OFFSET(TblMagic[[#This Row],[Time]],-1,0)+1/24</f>
        <v>45431.666666666555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5</v>
      </c>
      <c r="AE50" s="57">
        <f ca="1">IF(TblMagic[[#This Row],[Harmony]],12,IF(OFFSET(TblMagic[[#This Row],[Active Harmony]],-1,0)&gt;0,OFFSET(TblMagic[[#This Row],[Active Harmony]],-1,0)-1,0))</f>
        <v>3</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3</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596</v>
      </c>
      <c r="C51" s="97">
        <f ca="1">TblProd[[#This Row],[Mana]]</f>
        <v>5795</v>
      </c>
      <c r="D51" s="159">
        <f ca="1">MIN(1,OFFSET(TblMagic[[#This Row],[Wiz str]],-1,0)+0.04+ROUNDDOWN(10*OFFSET(TblMili[[#This Row],[WG''s]],-1,0),0)+ tech_2_7*OFFSET(TblTech[[#This Row],[2-7]],-1,0) + tech_5_6*OFFSET(TblTech[[#This Row],[5-6]],-1,0) )-TblMagic[[#This Row],[Wiz str cost]]</f>
        <v>1</v>
      </c>
      <c r="E51" s="162">
        <f ca="1">OFFSET(TblMagic[[#This Row],[Time]],-1,0)+1/24</f>
        <v>45431.708333333219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4</v>
      </c>
      <c r="AE51" s="57">
        <f ca="1">IF(TblMagic[[#This Row],[Harmony]],12,IF(OFFSET(TblMagic[[#This Row],[Active Harmony]],-1,0)&gt;0,OFFSET(TblMagic[[#This Row],[Active Harmony]],-1,0)-1,0))</f>
        <v>2</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2</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629</v>
      </c>
      <c r="C52" s="97">
        <f ca="1">TblProd[[#This Row],[Mana]]</f>
        <v>6304</v>
      </c>
      <c r="D52" s="159">
        <f ca="1">MIN(1,OFFSET(TblMagic[[#This Row],[Wiz str]],-1,0)+0.04+ROUNDDOWN(10*OFFSET(TblMili[[#This Row],[WG''s]],-1,0),0)+ tech_2_7*OFFSET(TblTech[[#This Row],[2-7]],-1,0) + tech_5_6*OFFSET(TblTech[[#This Row],[5-6]],-1,0) )-TblMagic[[#This Row],[Wiz str cost]]</f>
        <v>1</v>
      </c>
      <c r="E52" s="162">
        <f ca="1">OFFSET(TblMagic[[#This Row],[Time]],-1,0)+1/24</f>
        <v>45431.749999999884</v>
      </c>
      <c r="F52" s="159">
        <f ca="1">TblImps[[#This Row],[Population]]</f>
        <v>0.99742055303342958</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3</v>
      </c>
      <c r="AE52" s="57">
        <f ca="1">IF(TblMagic[[#This Row],[Harmony]],12,IF(OFFSET(TblMagic[[#This Row],[Active Harmony]],-1,0)&gt;0,OFFSET(TblMagic[[#This Row],[Active Harmony]],-1,0)-1,0))</f>
        <v>1</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1</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642</v>
      </c>
      <c r="C53" s="97">
        <f ca="1">TblProd[[#This Row],[Mana]]</f>
        <v>3593</v>
      </c>
      <c r="D53" s="159">
        <f ca="1">MIN(1,OFFSET(TblMagic[[#This Row],[Wiz str]],-1,0)+0.04+ROUNDDOWN(10*OFFSET(TblMili[[#This Row],[WG''s]],-1,0),0)+ tech_2_7*OFFSET(TblTech[[#This Row],[2-7]],-1,0) + tech_5_6*OFFSET(TblTech[[#This Row],[5-6]],-1,0) )-TblMagic[[#This Row],[Wiz str cost]]</f>
        <v>0.95</v>
      </c>
      <c r="E53" s="162">
        <f ca="1">OFFSET(TblMagic[[#This Row],[Time]],-1,0)+1/24</f>
        <v>45431.791666666548</v>
      </c>
      <c r="F53" s="159">
        <f ca="1">TblImps[[#This Row],[Population]]</f>
        <v>0.99696791862284817</v>
      </c>
      <c r="G53" s="229"/>
      <c r="H53" s="229"/>
      <c r="I53" s="229"/>
      <c r="J53" s="229"/>
      <c r="K53" s="432"/>
      <c r="L53" s="229"/>
      <c r="M53" s="229"/>
      <c r="N53" s="229"/>
      <c r="O53" s="229"/>
      <c r="P53" s="229"/>
      <c r="Q53" s="229"/>
      <c r="R53" s="229"/>
      <c r="S53" s="229">
        <v>1</v>
      </c>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3210</v>
      </c>
      <c r="Y53" s="159">
        <f>SUMIF(TblMagic[[#This Row],[Gaia''s Watch]:[Useless spell]],1)*0.05</f>
        <v>0.05</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2</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12</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656</v>
      </c>
      <c r="C54" s="97">
        <f ca="1">TblProd[[#This Row],[Mana]]</f>
        <v>4146</v>
      </c>
      <c r="D54" s="159">
        <f ca="1">MIN(1,OFFSET(TblMagic[[#This Row],[Wiz str]],-1,0)+0.04+ROUNDDOWN(10*OFFSET(TblMili[[#This Row],[WG''s]],-1,0),0)+ tech_2_7*OFFSET(TblTech[[#This Row],[2-7]],-1,0) + tech_5_6*OFFSET(TblTech[[#This Row],[5-6]],-1,0) )-TblMagic[[#This Row],[Wiz str cost]]</f>
        <v>0.99</v>
      </c>
      <c r="E54" s="162">
        <f ca="1">OFFSET(TblMagic[[#This Row],[Time]],-1,0)+1/24</f>
        <v>45431.833333333212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1</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11</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669</v>
      </c>
      <c r="C55" s="97">
        <f ca="1">TblProd[[#This Row],[Mana]]</f>
        <v>3015.5</v>
      </c>
      <c r="D55" s="159">
        <f ca="1">MIN(1,OFFSET(TblMagic[[#This Row],[Wiz str]],-1,0)+0.04+ROUNDDOWN(10*OFFSET(TblMili[[#This Row],[WG''s]],-1,0),0)+ tech_2_7*OFFSET(TblTech[[#This Row],[2-7]],-1,0) + tech_5_6*OFFSET(TblTech[[#This Row],[5-6]],-1,0) )-TblMagic[[#This Row],[Wiz str cost]]</f>
        <v>0.95</v>
      </c>
      <c r="E55" s="162">
        <f ca="1">OFFSET(TblMagic[[#This Row],[Time]],-1,0)+1/24</f>
        <v>45431.874999999876</v>
      </c>
      <c r="F55" s="159">
        <f ca="1">TblImps[[#This Row],[Population]]</f>
        <v>1</v>
      </c>
      <c r="G55" s="229"/>
      <c r="H55" s="229"/>
      <c r="I55" s="229"/>
      <c r="J55" s="229">
        <v>1</v>
      </c>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1672.5</v>
      </c>
      <c r="Y55" s="159">
        <f>SUMIF(TblMagic[[#This Row],[Gaia''s Watch]:[Useless spell]],1)*0.05</f>
        <v>0.05</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12</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10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680</v>
      </c>
      <c r="C56" s="97">
        <f ca="1">TblProd[[#This Row],[Mana]]</f>
        <v>3580.5</v>
      </c>
      <c r="D56" s="159">
        <f ca="1">MIN(1,OFFSET(TblMagic[[#This Row],[Wiz str]],-1,0)+0.04+ROUNDDOWN(10*OFFSET(TblMili[[#This Row],[WG''s]],-1,0),0)+ tech_2_7*OFFSET(TblTech[[#This Row],[2-7]],-1,0) + tech_5_6*OFFSET(TblTech[[#This Row],[5-6]],-1,0) )-TblMagic[[#This Row],[Wiz str cost]]</f>
        <v>0.99</v>
      </c>
      <c r="E56" s="162">
        <f ca="1">OFFSET(TblMagic[[#This Row],[Time]],-1,0)+1/24</f>
        <v>45431.916666666541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11</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9</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692</v>
      </c>
      <c r="C57" s="97">
        <f ca="1">TblProd[[#This Row],[Mana]]</f>
        <v>4133.5</v>
      </c>
      <c r="D57" s="159">
        <f ca="1">MIN(1,OFFSET(TblMagic[[#This Row],[Wiz str]],-1,0)+0.04+ROUNDDOWN(10*OFFSET(TblMili[[#This Row],[WG''s]],-1,0),0)+ tech_2_7*OFFSET(TblTech[[#This Row],[2-7]],-1,0) + tech_5_6*OFFSET(TblTech[[#This Row],[5-6]],-1,0) )-TblMagic[[#This Row],[Wiz str cost]]</f>
        <v>1</v>
      </c>
      <c r="E57" s="162">
        <f ca="1">OFFSET(TblMagic[[#This Row],[Time]],-1,0)+1/24</f>
        <v>45431.958333333205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10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8</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700</v>
      </c>
      <c r="C58" s="97">
        <f ca="1">TblProd[[#This Row],[Mana]]</f>
        <v>4675.5</v>
      </c>
      <c r="D58" s="159">
        <f ca="1">MIN(1,OFFSET(TblMagic[[#This Row],[Wiz str]],-1,0)+0.04+ROUNDDOWN(10*OFFSET(TblMili[[#This Row],[WG''s]],-1,0),0)+ tech_2_7*OFFSET(TblTech[[#This Row],[2-7]],-1,0) + tech_5_6*OFFSET(TblTech[[#This Row],[5-6]],-1,0) )-TblMagic[[#This Row],[Wiz str cost]]</f>
        <v>1</v>
      </c>
      <c r="E58" s="162">
        <f ca="1">OFFSET(TblMagic[[#This Row],[Time]],-1,0)+1/24</f>
        <v>45431.999999999869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9</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7</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700</v>
      </c>
      <c r="C59" s="97">
        <f ca="1">TblProd[[#This Row],[Mana]]</f>
        <v>5206.5</v>
      </c>
      <c r="D59" s="159">
        <f ca="1">MIN(1,OFFSET(TblMagic[[#This Row],[Wiz str]],-1,0)+0.04+ROUNDDOWN(10*OFFSET(TblMili[[#This Row],[WG''s]],-1,0),0)+ tech_2_7*OFFSET(TblTech[[#This Row],[2-7]],-1,0) + tech_5_6*OFFSET(TblTech[[#This Row],[5-6]],-1,0) )-TblMagic[[#This Row],[Wiz str cost]]</f>
        <v>1</v>
      </c>
      <c r="E59" s="162">
        <f ca="1">OFFSET(TblMagic[[#This Row],[Time]],-1,0)+1/24</f>
        <v>45432.041666666533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8</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6</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700</v>
      </c>
      <c r="C60" s="97">
        <f ca="1">TblProd[[#This Row],[Mana]]</f>
        <v>5727.5</v>
      </c>
      <c r="D60" s="159">
        <f ca="1">MIN(1,OFFSET(TblMagic[[#This Row],[Wiz str]],-1,0)+0.04+ROUNDDOWN(10*OFFSET(TblMili[[#This Row],[WG''s]],-1,0),0)+ tech_2_7*OFFSET(TblTech[[#This Row],[2-7]],-1,0) + tech_5_6*OFFSET(TblTech[[#This Row],[5-6]],-1,0) )-TblMagic[[#This Row],[Wiz str cost]]</f>
        <v>1</v>
      </c>
      <c r="E60" s="162">
        <f ca="1">OFFSET(TblMagic[[#This Row],[Time]],-1,0)+1/24</f>
        <v>45432.083333333198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7</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5</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700</v>
      </c>
      <c r="C61" s="97">
        <f ca="1">TblProd[[#This Row],[Mana]]</f>
        <v>6237.5</v>
      </c>
      <c r="D61" s="159">
        <f ca="1">MIN(1,OFFSET(TblMagic[[#This Row],[Wiz str]],-1,0)+0.04+ROUNDDOWN(10*OFFSET(TblMili[[#This Row],[WG''s]],-1,0),0)+ tech_2_7*OFFSET(TblTech[[#This Row],[2-7]],-1,0) + tech_5_6*OFFSET(TblTech[[#This Row],[5-6]],-1,0) )-TblMagic[[#This Row],[Wiz str cost]]</f>
        <v>1</v>
      </c>
      <c r="E61" s="162">
        <f ca="1">OFFSET(TblMagic[[#This Row],[Time]],-1,0)+1/24</f>
        <v>45432.124999999862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6</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4</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700</v>
      </c>
      <c r="C62" s="97">
        <f ca="1">TblProd[[#This Row],[Mana]]</f>
        <v>6737.5</v>
      </c>
      <c r="D62" s="159">
        <f ca="1">MIN(1,OFFSET(TblMagic[[#This Row],[Wiz str]],-1,0)+0.04+ROUNDDOWN(10*OFFSET(TblMili[[#This Row],[WG''s]],-1,0),0)+ tech_2_7*OFFSET(TblTech[[#This Row],[2-7]],-1,0) + tech_5_6*OFFSET(TblTech[[#This Row],[5-6]],-1,0) )-TblMagic[[#This Row],[Wiz str cost]]</f>
        <v>1</v>
      </c>
      <c r="E62" s="162">
        <f ca="1">OFFSET(TblMagic[[#This Row],[Time]],-1,0)+1/24</f>
        <v>45432.166666666526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5</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3</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700</v>
      </c>
      <c r="C63" s="97">
        <f ca="1">TblProd[[#This Row],[Mana]]</f>
        <v>7227.5</v>
      </c>
      <c r="D63" s="159">
        <f ca="1">MIN(1,OFFSET(TblMagic[[#This Row],[Wiz str]],-1,0)+0.04+ROUNDDOWN(10*OFFSET(TblMili[[#This Row],[WG''s]],-1,0),0)+ tech_2_7*OFFSET(TblTech[[#This Row],[2-7]],-1,0) + tech_5_6*OFFSET(TblTech[[#This Row],[5-6]],-1,0) )-TblMagic[[#This Row],[Wiz str cost]]</f>
        <v>1</v>
      </c>
      <c r="E63" s="162">
        <f ca="1">OFFSET(TblMagic[[#This Row],[Time]],-1,0)+1/24</f>
        <v>45432.20833333319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4</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2</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700</v>
      </c>
      <c r="C64" s="97">
        <f ca="1">TblProd[[#This Row],[Mana]]</f>
        <v>7707.5</v>
      </c>
      <c r="D64" s="159">
        <f ca="1">MIN(1,OFFSET(TblMagic[[#This Row],[Wiz str]],-1,0)+0.04+ROUNDDOWN(10*OFFSET(TblMili[[#This Row],[WG''s]],-1,0),0)+ tech_2_7*OFFSET(TblTech[[#This Row],[2-7]],-1,0) + tech_5_6*OFFSET(TblTech[[#This Row],[5-6]],-1,0) )-TblMagic[[#This Row],[Wiz str cost]]</f>
        <v>1</v>
      </c>
      <c r="E64" s="162">
        <f ca="1">OFFSET(TblMagic[[#This Row],[Time]],-1,0)+1/24</f>
        <v>45432.249999999854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3</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1</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700</v>
      </c>
      <c r="C65" s="97">
        <f ca="1">TblProd[[#This Row],[Mana]]</f>
        <v>4678.5</v>
      </c>
      <c r="D65" s="159">
        <f ca="1">MIN(1,OFFSET(TblMagic[[#This Row],[Wiz str]],-1,0)+0.04+ROUNDDOWN(10*OFFSET(TblMili[[#This Row],[WG''s]],-1,0),0)+ tech_2_7*OFFSET(TblTech[[#This Row],[2-7]],-1,0) + tech_5_6*OFFSET(TblTech[[#This Row],[5-6]],-1,0) )-TblMagic[[#This Row],[Wiz str cost]]</f>
        <v>0.95</v>
      </c>
      <c r="E65" s="162">
        <f ca="1">OFFSET(TblMagic[[#This Row],[Time]],-1,0)+1/24</f>
        <v>45432.291666666519</v>
      </c>
      <c r="F65" s="159">
        <f ca="1">TblImps[[#This Row],[Population]]</f>
        <v>1</v>
      </c>
      <c r="G65" s="229"/>
      <c r="H65" s="229"/>
      <c r="I65" s="229"/>
      <c r="J65" s="229"/>
      <c r="K65" s="432"/>
      <c r="L65" s="229"/>
      <c r="M65" s="229"/>
      <c r="N65" s="229"/>
      <c r="O65" s="229"/>
      <c r="P65" s="229"/>
      <c r="Q65" s="229"/>
      <c r="R65" s="229"/>
      <c r="S65" s="229">
        <v>1</v>
      </c>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3500</v>
      </c>
      <c r="Y65" s="159">
        <f>SUMIF(TblMagic[[#This Row],[Gaia''s Watch]:[Useless spell]],1)*0.05</f>
        <v>0.05</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2</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12</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700</v>
      </c>
      <c r="C66" s="97">
        <f ca="1">TblProd[[#This Row],[Mana]]</f>
        <v>5209.5</v>
      </c>
      <c r="D66" s="159">
        <f ca="1">MIN(1,OFFSET(TblMagic[[#This Row],[Wiz str]],-1,0)+0.04+ROUNDDOWN(10*OFFSET(TblMili[[#This Row],[WG''s]],-1,0),0)+ tech_2_7*OFFSET(TblTech[[#This Row],[2-7]],-1,0) + tech_5_6*OFFSET(TblTech[[#This Row],[5-6]],-1,0) )-TblMagic[[#This Row],[Wiz str cost]]</f>
        <v>0.99</v>
      </c>
      <c r="E66" s="162">
        <f ca="1">OFFSET(TblMagic[[#This Row],[Time]],-1,0)+1/24</f>
        <v>45432.333333333183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1</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11</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700</v>
      </c>
      <c r="C67" s="97">
        <f ca="1">TblProd[[#This Row],[Mana]]</f>
        <v>3980.5</v>
      </c>
      <c r="D67" s="159">
        <f ca="1">MIN(1,OFFSET(TblMagic[[#This Row],[Wiz str]],-1,0)+0.04+ROUNDDOWN(10*OFFSET(TblMili[[#This Row],[WG''s]],-1,0),0)+ tech_2_7*OFFSET(TblTech[[#This Row],[2-7]],-1,0) + tech_5_6*OFFSET(TblTech[[#This Row],[5-6]],-1,0) )-TblMagic[[#This Row],[Wiz str cost]]</f>
        <v>0.95</v>
      </c>
      <c r="E67" s="162">
        <f ca="1">OFFSET(TblMagic[[#This Row],[Time]],-1,0)+1/24</f>
        <v>45432.374999999847</v>
      </c>
      <c r="F67" s="159">
        <f ca="1">TblImps[[#This Row],[Population]]</f>
        <v>1</v>
      </c>
      <c r="G67" s="229"/>
      <c r="H67" s="229"/>
      <c r="I67" s="229"/>
      <c r="J67" s="229">
        <v>1</v>
      </c>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1750</v>
      </c>
      <c r="Y67" s="159">
        <f>SUMIF(TblMagic[[#This Row],[Gaia''s Watch]:[Useless spell]],1)*0.05</f>
        <v>0.05</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12</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10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700</v>
      </c>
      <c r="C68" s="97">
        <f ca="1">TblProd[[#This Row],[Mana]]</f>
        <v>4525.5</v>
      </c>
      <c r="D68" s="159">
        <f ca="1">MIN(1,OFFSET(TblMagic[[#This Row],[Wiz str]],-1,0)+0.04+ROUNDDOWN(10*OFFSET(TblMili[[#This Row],[WG''s]],-1,0),0)+ tech_2_7*OFFSET(TblTech[[#This Row],[2-7]],-1,0) + tech_5_6*OFFSET(TblTech[[#This Row],[5-6]],-1,0) )-TblMagic[[#This Row],[Wiz str cost]]</f>
        <v>0.99</v>
      </c>
      <c r="E68" s="162">
        <f ca="1">OFFSET(TblMagic[[#This Row],[Time]],-1,0)+1/24</f>
        <v>45432.416666666511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11</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9</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700</v>
      </c>
      <c r="C69" s="97">
        <f ca="1">TblProd[[#This Row],[Mana]]</f>
        <v>5059.5</v>
      </c>
      <c r="D69" s="159">
        <f ca="1">MIN(1,OFFSET(TblMagic[[#This Row],[Wiz str]],-1,0)+0.04+ROUNDDOWN(10*OFFSET(TblMili[[#This Row],[WG''s]],-1,0),0)+ tech_2_7*OFFSET(TblTech[[#This Row],[2-7]],-1,0) + tech_5_6*OFFSET(TblTech[[#This Row],[5-6]],-1,0) )-TblMagic[[#This Row],[Wiz str cost]]</f>
        <v>1</v>
      </c>
      <c r="E69" s="162">
        <f ca="1">OFFSET(TblMagic[[#This Row],[Time]],-1,0)+1/24</f>
        <v>45432.458333333176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10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8</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700</v>
      </c>
      <c r="C70" s="97">
        <f ca="1">TblProd[[#This Row],[Mana]]</f>
        <v>5683.5</v>
      </c>
      <c r="D70" s="159">
        <f ca="1">MIN(1,OFFSET(TblMagic[[#This Row],[Wiz str]],-1,0)+0.04+ROUNDDOWN(10*OFFSET(TblMili[[#This Row],[WG''s]],-1,0),0)+ tech_2_7*OFFSET(TblTech[[#This Row],[2-7]],-1,0) + tech_5_6*OFFSET(TblTech[[#This Row],[5-6]],-1,0) )-TblMagic[[#This Row],[Wiz str cost]]</f>
        <v>1</v>
      </c>
      <c r="E70" s="162">
        <f ca="1">OFFSET(TblMagic[[#This Row],[Time]],-1,0)+1/24</f>
        <v>45432.49999999984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9</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7</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700</v>
      </c>
      <c r="C71" s="97">
        <f ca="1">TblProd[[#This Row],[Mana]]</f>
        <v>6294.5</v>
      </c>
      <c r="D71" s="159">
        <f ca="1">MIN(1,OFFSET(TblMagic[[#This Row],[Wiz str]],-1,0)+0.04+ROUNDDOWN(10*OFFSET(TblMili[[#This Row],[WG''s]],-1,0),0)+ tech_2_7*OFFSET(TblTech[[#This Row],[2-7]],-1,0) + tech_5_6*OFFSET(TblTech[[#This Row],[5-6]],-1,0) )-TblMagic[[#This Row],[Wiz str cost]]</f>
        <v>1</v>
      </c>
      <c r="E71" s="162">
        <f ca="1">OFFSET(TblMagic[[#This Row],[Time]],-1,0)+1/24</f>
        <v>45432.541666666504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8</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6</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700</v>
      </c>
      <c r="C72" s="97">
        <f ca="1">TblProd[[#This Row],[Mana]]</f>
        <v>6893.5</v>
      </c>
      <c r="D72" s="159">
        <f ca="1">MIN(1,OFFSET(TblMagic[[#This Row],[Wiz str]],-1,0)+0.04+ROUNDDOWN(10*OFFSET(TblMili[[#This Row],[WG''s]],-1,0),0)+ tech_2_7*OFFSET(TblTech[[#This Row],[2-7]],-1,0) + tech_5_6*OFFSET(TblTech[[#This Row],[5-6]],-1,0) )-TblMagic[[#This Row],[Wiz str cost]]</f>
        <v>1</v>
      </c>
      <c r="E72" s="162">
        <f ca="1">OFFSET(TblMagic[[#This Row],[Time]],-1,0)+1/24</f>
        <v>45432.583333333168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7</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5</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700</v>
      </c>
      <c r="C73" s="97">
        <f ca="1">TblProd[[#This Row],[Mana]]</f>
        <v>7480.5</v>
      </c>
      <c r="D73" s="159">
        <f ca="1">MIN(1,OFFSET(TblMagic[[#This Row],[Wiz str]],-1,0)+0.04+ROUNDDOWN(10*OFFSET(TblMili[[#This Row],[WG''s]],-1,0),0)+ tech_2_7*OFFSET(TblTech[[#This Row],[2-7]],-1,0) + tech_5_6*OFFSET(TblTech[[#This Row],[5-6]],-1,0) )-TblMagic[[#This Row],[Wiz str cost]]</f>
        <v>1</v>
      </c>
      <c r="E73" s="162">
        <f ca="1">OFFSET(TblMagic[[#This Row],[Time]],-1,0)+1/24</f>
        <v>45432.624999999833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6</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4</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700</v>
      </c>
      <c r="C74" s="97">
        <f ca="1">TblProd[[#This Row],[Mana]]</f>
        <v>8055.5</v>
      </c>
      <c r="D74" s="159">
        <f ca="1">MIN(1,OFFSET(TblMagic[[#This Row],[Wiz str]],-1,0)+0.04+ROUNDDOWN(10*OFFSET(TblMili[[#This Row],[WG''s]],-1,0),0)+ tech_2_7*OFFSET(TblTech[[#This Row],[2-7]],-1,0) + tech_5_6*OFFSET(TblTech[[#This Row],[5-6]],-1,0) )-TblMagic[[#This Row],[Wiz str cost]]</f>
        <v>1</v>
      </c>
      <c r="E74" s="162">
        <f ca="1">OFFSET(TblMagic[[#This Row],[Time]],-1,0)+1/24</f>
        <v>45432.666666666497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5</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3</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700</v>
      </c>
      <c r="C75" s="97">
        <f ca="1">TblProd[[#This Row],[Mana]]</f>
        <v>8619.5</v>
      </c>
      <c r="D75" s="159">
        <f ca="1">MIN(1,OFFSET(TblMagic[[#This Row],[Wiz str]],-1,0)+0.04+ROUNDDOWN(10*OFFSET(TblMili[[#This Row],[WG''s]],-1,0),0)+ tech_2_7*OFFSET(TblTech[[#This Row],[2-7]],-1,0) + tech_5_6*OFFSET(TblTech[[#This Row],[5-6]],-1,0) )-TblMagic[[#This Row],[Wiz str cost]]</f>
        <v>1</v>
      </c>
      <c r="E75" s="162">
        <f ca="1">OFFSET(TblMagic[[#This Row],[Time]],-1,0)+1/24</f>
        <v>45432.708333333161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4</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2</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700</v>
      </c>
      <c r="C76" s="210">
        <f ca="1">TblProd[[#This Row],[Mana]]</f>
        <v>2172.5</v>
      </c>
      <c r="D76" s="287">
        <f ca="1">MIN(1,OFFSET(TblMagic[[#This Row],[Wiz str]],-1,0)+0.04+ROUNDDOWN(10*OFFSET(TblMili[[#This Row],[WG''s]],-1,0),0)+ tech_2_7*OFFSET(TblTech[[#This Row],[2-7]],-1,0) + tech_5_6*OFFSET(TblTech[[#This Row],[5-6]],-1,0) )-TblMagic[[#This Row],[Wiz str cost]]</f>
        <v>0.85</v>
      </c>
      <c r="E76" s="217">
        <f ca="1">OFFSET(TblMagic[[#This Row],[Time]],-1,0)+1/24</f>
        <v>45432.749999999825</v>
      </c>
      <c r="F76" s="287">
        <f ca="1">TblImps[[#This Row],[Population]]</f>
        <v>1</v>
      </c>
      <c r="G76" s="246"/>
      <c r="H76" s="246"/>
      <c r="I76" s="246">
        <v>1</v>
      </c>
      <c r="J76" s="246">
        <v>1</v>
      </c>
      <c r="K76" s="433"/>
      <c r="L76" s="246"/>
      <c r="M76" s="246"/>
      <c r="N76" s="246"/>
      <c r="O76" s="246"/>
      <c r="P76" s="246"/>
      <c r="Q76" s="246"/>
      <c r="R76" s="246"/>
      <c r="S76" s="246">
        <v>1</v>
      </c>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76" s="287">
        <f>SUMIF(TblMagic[[#This Row],[Gaia''s Watch]:[Useless spell]],1)*0.05</f>
        <v>0.15000000000000002</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12</v>
      </c>
      <c r="AD76" s="212">
        <f ca="1">IF(TblMagic[[#This Row],[Midas Touch]],12,IF(OFFSET(TblMagic[[#This Row],[Active Midas Touch]],-1,0)&gt;0,OFFSET(TblMagic[[#This Row],[Active Midas Touch]],-1,0)-1,0))</f>
        <v>12</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12</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700</v>
      </c>
      <c r="C77" s="97">
        <f ca="1">TblProd[[#This Row],[Mana]]</f>
        <v>2854.5</v>
      </c>
      <c r="D77" s="159">
        <f ca="1">MIN(1,OFFSET(TblMagic[[#This Row],[Wiz str]],-1,0)+0.04+ROUNDDOWN(10*OFFSET(TblMili[[#This Row],[WG''s]],-1,0),0)+ tech_2_7*OFFSET(TblTech[[#This Row],[2-7]],-1,0) + tech_5_6*OFFSET(TblTech[[#This Row],[5-6]],-1,0) )-TblMagic[[#This Row],[Wiz str cost]]</f>
        <v>0.89</v>
      </c>
      <c r="E77" s="162">
        <f ca="1">OFFSET(TblMagic[[#This Row],[Time]],-1,0)+1/24</f>
        <v>45432.79166666649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11</v>
      </c>
      <c r="AD77" s="57">
        <f ca="1">IF(TblMagic[[#This Row],[Midas Touch]],12,IF(OFFSET(TblMagic[[#This Row],[Active Midas Touch]],-1,0)&gt;0,OFFSET(TblMagic[[#This Row],[Active Midas Touch]],-1,0)-1,0))</f>
        <v>11</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11</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700</v>
      </c>
      <c r="C78" s="97">
        <f ca="1">TblProd[[#This Row],[Mana]]</f>
        <v>3522.5</v>
      </c>
      <c r="D78" s="159">
        <f ca="1">MIN(1,OFFSET(TblMagic[[#This Row],[Wiz str]],-1,0)+0.04+ROUNDDOWN(10*OFFSET(TblMili[[#This Row],[WG''s]],-1,0),0)+ tech_2_7*OFFSET(TblTech[[#This Row],[2-7]],-1,0) + tech_5_6*OFFSET(TblTech[[#This Row],[5-6]],-1,0) )-TblMagic[[#This Row],[Wiz str cost]]</f>
        <v>0.93</v>
      </c>
      <c r="E78" s="162">
        <f ca="1">OFFSET(TblMagic[[#This Row],[Time]],-1,0)+1/24</f>
        <v>45432.833333333154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10</v>
      </c>
      <c r="AD78" s="57">
        <f ca="1">IF(TblMagic[[#This Row],[Midas Touch]],12,IF(OFFSET(TblMagic[[#This Row],[Active Midas Touch]],-1,0)&gt;0,OFFSET(TblMagic[[#This Row],[Active Midas Touch]],-1,0)-1,0))</f>
        <v>10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10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700</v>
      </c>
      <c r="C79" s="97">
        <f ca="1">TblProd[[#This Row],[Mana]]</f>
        <v>4177.5</v>
      </c>
      <c r="D79" s="159">
        <f ca="1">MIN(1,OFFSET(TblMagic[[#This Row],[Wiz str]],-1,0)+0.04+ROUNDDOWN(10*OFFSET(TblMili[[#This Row],[WG''s]],-1,0),0)+ tech_2_7*OFFSET(TblTech[[#This Row],[2-7]],-1,0) + tech_5_6*OFFSET(TblTech[[#This Row],[5-6]],-1,0) )-TblMagic[[#This Row],[Wiz str cost]]</f>
        <v>0.97000000000000008</v>
      </c>
      <c r="E79" s="162">
        <f ca="1">OFFSET(TblMagic[[#This Row],[Time]],-1,0)+1/24</f>
        <v>45432.874999999818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9</v>
      </c>
      <c r="AD79" s="57">
        <f ca="1">IF(TblMagic[[#This Row],[Midas Touch]],12,IF(OFFSET(TblMagic[[#This Row],[Active Midas Touch]],-1,0)&gt;0,OFFSET(TblMagic[[#This Row],[Active Midas Touch]],-1,0)-1,0))</f>
        <v>9</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9</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700</v>
      </c>
      <c r="C80" s="97">
        <f ca="1">TblProd[[#This Row],[Mana]]</f>
        <v>4818.5</v>
      </c>
      <c r="D80" s="159">
        <f ca="1">MIN(1,OFFSET(TblMagic[[#This Row],[Wiz str]],-1,0)+0.04+ROUNDDOWN(10*OFFSET(TblMili[[#This Row],[WG''s]],-1,0),0)+ tech_2_7*OFFSET(TblTech[[#This Row],[2-7]],-1,0) + tech_5_6*OFFSET(TblTech[[#This Row],[5-6]],-1,0) )-TblMagic[[#This Row],[Wiz str cost]]</f>
        <v>1</v>
      </c>
      <c r="E80" s="162">
        <f ca="1">OFFSET(TblMagic[[#This Row],[Time]],-1,0)+1/24</f>
        <v>45432.916666666482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8</v>
      </c>
      <c r="AD80" s="57">
        <f ca="1">IF(TblMagic[[#This Row],[Midas Touch]],12,IF(OFFSET(TblMagic[[#This Row],[Active Midas Touch]],-1,0)&gt;0,OFFSET(TblMagic[[#This Row],[Active Midas Touch]],-1,0)-1,0))</f>
        <v>8</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8</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700</v>
      </c>
      <c r="C81" s="97">
        <f ca="1">TblProd[[#This Row],[Mana]]</f>
        <v>5447.5</v>
      </c>
      <c r="D81" s="159">
        <f ca="1">MIN(1,OFFSET(TblMagic[[#This Row],[Wiz str]],-1,0)+0.04+ROUNDDOWN(10*OFFSET(TblMili[[#This Row],[WG''s]],-1,0),0)+ tech_2_7*OFFSET(TblTech[[#This Row],[2-7]],-1,0) + tech_5_6*OFFSET(TblTech[[#This Row],[5-6]],-1,0) )-TblMagic[[#This Row],[Wiz str cost]]</f>
        <v>1</v>
      </c>
      <c r="E81" s="162">
        <f ca="1">OFFSET(TblMagic[[#This Row],[Time]],-1,0)+1/24</f>
        <v>45432.958333333147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7</v>
      </c>
      <c r="AD81" s="57">
        <f ca="1">IF(TblMagic[[#This Row],[Midas Touch]],12,IF(OFFSET(TblMagic[[#This Row],[Active Midas Touch]],-1,0)&gt;0,OFFSET(TblMagic[[#This Row],[Active Midas Touch]],-1,0)-1,0))</f>
        <v>7</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7</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700</v>
      </c>
      <c r="C82" s="97">
        <f ca="1">TblProd[[#This Row],[Mana]]</f>
        <v>6063.5</v>
      </c>
      <c r="D82" s="159">
        <f ca="1">MIN(1,OFFSET(TblMagic[[#This Row],[Wiz str]],-1,0)+0.04+ROUNDDOWN(10*OFFSET(TblMili[[#This Row],[WG''s]],-1,0),0)+ tech_2_7*OFFSET(TblTech[[#This Row],[2-7]],-1,0) + tech_5_6*OFFSET(TblTech[[#This Row],[5-6]],-1,0) )-TblMagic[[#This Row],[Wiz str cost]]</f>
        <v>1</v>
      </c>
      <c r="E82" s="162">
        <f ca="1">OFFSET(TblMagic[[#This Row],[Time]],-1,0)+1/24</f>
        <v>45432.999999999811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6</v>
      </c>
      <c r="AD82" s="57">
        <f ca="1">IF(TblMagic[[#This Row],[Midas Touch]],12,IF(OFFSET(TblMagic[[#This Row],[Active Midas Touch]],-1,0)&gt;0,OFFSET(TblMagic[[#This Row],[Active Midas Touch]],-1,0)-1,0))</f>
        <v>6</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6</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700</v>
      </c>
      <c r="C83" s="97">
        <f ca="1">TblProd[[#This Row],[Mana]]</f>
        <v>6667.5</v>
      </c>
      <c r="D83" s="159">
        <f ca="1">MIN(1,OFFSET(TblMagic[[#This Row],[Wiz str]],-1,0)+0.04+ROUNDDOWN(10*OFFSET(TblMili[[#This Row],[WG''s]],-1,0),0)+ tech_2_7*OFFSET(TblTech[[#This Row],[2-7]],-1,0) + tech_5_6*OFFSET(TblTech[[#This Row],[5-6]],-1,0) )-TblMagic[[#This Row],[Wiz str cost]]</f>
        <v>1</v>
      </c>
      <c r="E83" s="162">
        <f ca="1">OFFSET(TblMagic[[#This Row],[Time]],-1,0)+1/24</f>
        <v>45433.041666666475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5</v>
      </c>
      <c r="AD83" s="57">
        <f ca="1">IF(TblMagic[[#This Row],[Midas Touch]],12,IF(OFFSET(TblMagic[[#This Row],[Active Midas Touch]],-1,0)&gt;0,OFFSET(TblMagic[[#This Row],[Active Midas Touch]],-1,0)-1,0))</f>
        <v>5</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5</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700</v>
      </c>
      <c r="C84" s="97">
        <f ca="1">TblProd[[#This Row],[Mana]]</f>
        <v>7259.5</v>
      </c>
      <c r="D84" s="159">
        <f ca="1">MIN(1,OFFSET(TblMagic[[#This Row],[Wiz str]],-1,0)+0.04+ROUNDDOWN(10*OFFSET(TblMili[[#This Row],[WG''s]],-1,0),0)+ tech_2_7*OFFSET(TblTech[[#This Row],[2-7]],-1,0) + tech_5_6*OFFSET(TblTech[[#This Row],[5-6]],-1,0) )-TblMagic[[#This Row],[Wiz str cost]]</f>
        <v>1</v>
      </c>
      <c r="E84" s="162">
        <f ca="1">OFFSET(TblMagic[[#This Row],[Time]],-1,0)+1/24</f>
        <v>45433.083333333139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4</v>
      </c>
      <c r="AD84" s="57">
        <f ca="1">IF(TblMagic[[#This Row],[Midas Touch]],12,IF(OFFSET(TblMagic[[#This Row],[Active Midas Touch]],-1,0)&gt;0,OFFSET(TblMagic[[#This Row],[Active Midas Touch]],-1,0)-1,0))</f>
        <v>4</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4</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700</v>
      </c>
      <c r="C85" s="97">
        <f ca="1">TblProd[[#This Row],[Mana]]</f>
        <v>7839.5</v>
      </c>
      <c r="D85" s="159">
        <f ca="1">MIN(1,OFFSET(TblMagic[[#This Row],[Wiz str]],-1,0)+0.04+ROUNDDOWN(10*OFFSET(TblMili[[#This Row],[WG''s]],-1,0),0)+ tech_2_7*OFFSET(TblTech[[#This Row],[2-7]],-1,0) + tech_5_6*OFFSET(TblTech[[#This Row],[5-6]],-1,0) )-TblMagic[[#This Row],[Wiz str cost]]</f>
        <v>1</v>
      </c>
      <c r="E85" s="162">
        <f ca="1">OFFSET(TblMagic[[#This Row],[Time]],-1,0)+1/24</f>
        <v>45433.124999999804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3</v>
      </c>
      <c r="AD85" s="57">
        <f ca="1">IF(TblMagic[[#This Row],[Midas Touch]],12,IF(OFFSET(TblMagic[[#This Row],[Active Midas Touch]],-1,0)&gt;0,OFFSET(TblMagic[[#This Row],[Active Midas Touch]],-1,0)-1,0))</f>
        <v>3</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3</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700</v>
      </c>
      <c r="C86" s="97">
        <f ca="1">TblProd[[#This Row],[Mana]]</f>
        <v>8407.5</v>
      </c>
      <c r="D86" s="159">
        <f ca="1">MIN(1,OFFSET(TblMagic[[#This Row],[Wiz str]],-1,0)+0.04+ROUNDDOWN(10*OFFSET(TblMili[[#This Row],[WG''s]],-1,0),0)+ tech_2_7*OFFSET(TblTech[[#This Row],[2-7]],-1,0) + tech_5_6*OFFSET(TblTech[[#This Row],[5-6]],-1,0) )-TblMagic[[#This Row],[Wiz str cost]]</f>
        <v>1</v>
      </c>
      <c r="E86" s="162">
        <f ca="1">OFFSET(TblMagic[[#This Row],[Time]],-1,0)+1/24</f>
        <v>45433.166666666468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2</v>
      </c>
      <c r="AD86" s="57">
        <f ca="1">IF(TblMagic[[#This Row],[Midas Touch]],12,IF(OFFSET(TblMagic[[#This Row],[Active Midas Touch]],-1,0)&gt;0,OFFSET(TblMagic[[#This Row],[Active Midas Touch]],-1,0)-1,0))</f>
        <v>2</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2</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700</v>
      </c>
      <c r="C87" s="97">
        <f ca="1">TblProd[[#This Row],[Mana]]</f>
        <v>8964.5</v>
      </c>
      <c r="D87" s="159">
        <f ca="1">MIN(1,OFFSET(TblMagic[[#This Row],[Wiz str]],-1,0)+0.04+ROUNDDOWN(10*OFFSET(TblMili[[#This Row],[WG''s]],-1,0),0)+ tech_2_7*OFFSET(TblTech[[#This Row],[2-7]],-1,0) + tech_5_6*OFFSET(TblTech[[#This Row],[5-6]],-1,0) )-TblMagic[[#This Row],[Wiz str cost]]</f>
        <v>1</v>
      </c>
      <c r="E87" s="162">
        <f ca="1">OFFSET(TblMagic[[#This Row],[Time]],-1,0)+1/24</f>
        <v>45433.208333333132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1</v>
      </c>
      <c r="AD87" s="57">
        <f ca="1">IF(TblMagic[[#This Row],[Midas Touch]],12,IF(OFFSET(TblMagic[[#This Row],[Active Midas Touch]],-1,0)&gt;0,OFFSET(TblMagic[[#This Row],[Active Midas Touch]],-1,0)-1,0))</f>
        <v>1</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1</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700</v>
      </c>
      <c r="C88" s="97">
        <f ca="1">TblProd[[#This Row],[Mana]]</f>
        <v>2510.5</v>
      </c>
      <c r="D88" s="159">
        <f ca="1">MIN(1,OFFSET(TblMagic[[#This Row],[Wiz str]],-1,0)+0.04+ROUNDDOWN(10*OFFSET(TblMili[[#This Row],[WG''s]],-1,0),0)+ tech_2_7*OFFSET(TblTech[[#This Row],[2-7]],-1,0) + tech_5_6*OFFSET(TblTech[[#This Row],[5-6]],-1,0) )-TblMagic[[#This Row],[Wiz str cost]]</f>
        <v>0.85</v>
      </c>
      <c r="E88" s="162">
        <f ca="1">OFFSET(TblMagic[[#This Row],[Time]],-1,0)+1/24</f>
        <v>45433.249999999796</v>
      </c>
      <c r="F88" s="159">
        <f ca="1">TblImps[[#This Row],[Population]]</f>
        <v>1</v>
      </c>
      <c r="G88" s="229"/>
      <c r="H88" s="229"/>
      <c r="I88" s="229">
        <v>1</v>
      </c>
      <c r="J88" s="229">
        <v>1</v>
      </c>
      <c r="K88" s="432"/>
      <c r="L88" s="229"/>
      <c r="M88" s="229"/>
      <c r="N88" s="229"/>
      <c r="O88" s="229"/>
      <c r="P88" s="229"/>
      <c r="Q88" s="229"/>
      <c r="R88" s="229"/>
      <c r="S88" s="229">
        <v>1</v>
      </c>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88" s="159">
        <f>SUMIF(TblMagic[[#This Row],[Gaia''s Watch]:[Useless spell]],1)*0.05</f>
        <v>0.15000000000000002</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12</v>
      </c>
      <c r="AD88" s="57">
        <f ca="1">IF(TblMagic[[#This Row],[Midas Touch]],12,IF(OFFSET(TblMagic[[#This Row],[Active Midas Touch]],-1,0)&gt;0,OFFSET(TblMagic[[#This Row],[Active Midas Touch]],-1,0)-1,0))</f>
        <v>12</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12</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700</v>
      </c>
      <c r="C89" s="97">
        <f ca="1">TblProd[[#This Row],[Mana]]</f>
        <v>3185.5</v>
      </c>
      <c r="D89" s="159">
        <f ca="1">MIN(1,OFFSET(TblMagic[[#This Row],[Wiz str]],-1,0)+0.04+ROUNDDOWN(10*OFFSET(TblMili[[#This Row],[WG''s]],-1,0),0)+ tech_2_7*OFFSET(TblTech[[#This Row],[2-7]],-1,0) + tech_5_6*OFFSET(TblTech[[#This Row],[5-6]],-1,0) )-TblMagic[[#This Row],[Wiz str cost]]</f>
        <v>0.89</v>
      </c>
      <c r="E89" s="162">
        <f ca="1">OFFSET(TblMagic[[#This Row],[Time]],-1,0)+1/24</f>
        <v>45433.291666666461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11</v>
      </c>
      <c r="AD89" s="57">
        <f ca="1">IF(TblMagic[[#This Row],[Midas Touch]],12,IF(OFFSET(TblMagic[[#This Row],[Active Midas Touch]],-1,0)&gt;0,OFFSET(TblMagic[[#This Row],[Active Midas Touch]],-1,0)-1,0))</f>
        <v>11</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11</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700</v>
      </c>
      <c r="C90" s="97">
        <f ca="1">TblProd[[#This Row],[Mana]]</f>
        <v>3846.5</v>
      </c>
      <c r="D90" s="159">
        <f ca="1">MIN(1,OFFSET(TblMagic[[#This Row],[Wiz str]],-1,0)+0.04+ROUNDDOWN(10*OFFSET(TblMili[[#This Row],[WG''s]],-1,0),0)+ tech_2_7*OFFSET(TblTech[[#This Row],[2-7]],-1,0) + tech_5_6*OFFSET(TblTech[[#This Row],[5-6]],-1,0) )-TblMagic[[#This Row],[Wiz str cost]]</f>
        <v>0.93</v>
      </c>
      <c r="E90" s="162">
        <f ca="1">OFFSET(TblMagic[[#This Row],[Time]],-1,0)+1/24</f>
        <v>45433.333333333125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10</v>
      </c>
      <c r="AD90" s="57">
        <f ca="1">IF(TblMagic[[#This Row],[Midas Touch]],12,IF(OFFSET(TblMagic[[#This Row],[Active Midas Touch]],-1,0)&gt;0,OFFSET(TblMagic[[#This Row],[Active Midas Touch]],-1,0)-1,0))</f>
        <v>10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10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700</v>
      </c>
      <c r="C91" s="97">
        <f ca="1">TblProd[[#This Row],[Mana]]</f>
        <v>4494.5</v>
      </c>
      <c r="D91" s="159">
        <f ca="1">MIN(1,OFFSET(TblMagic[[#This Row],[Wiz str]],-1,0)+0.04+ROUNDDOWN(10*OFFSET(TblMili[[#This Row],[WG''s]],-1,0),0)+ tech_2_7*OFFSET(TblTech[[#This Row],[2-7]],-1,0) + tech_5_6*OFFSET(TblTech[[#This Row],[5-6]],-1,0) )-TblMagic[[#This Row],[Wiz str cost]]</f>
        <v>0.97000000000000008</v>
      </c>
      <c r="E91" s="162">
        <f ca="1">OFFSET(TblMagic[[#This Row],[Time]],-1,0)+1/24</f>
        <v>45433.374999999789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9</v>
      </c>
      <c r="AD91" s="57">
        <f ca="1">IF(TblMagic[[#This Row],[Midas Touch]],12,IF(OFFSET(TblMagic[[#This Row],[Active Midas Touch]],-1,0)&gt;0,OFFSET(TblMagic[[#This Row],[Active Midas Touch]],-1,0)-1,0))</f>
        <v>9</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9</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700</v>
      </c>
      <c r="C92" s="97">
        <f ca="1">TblProd[[#This Row],[Mana]]</f>
        <v>5129.5</v>
      </c>
      <c r="D92" s="159">
        <f ca="1">MIN(1,OFFSET(TblMagic[[#This Row],[Wiz str]],-1,0)+0.04+ROUNDDOWN(10*OFFSET(TblMili[[#This Row],[WG''s]],-1,0),0)+ tech_2_7*OFFSET(TblTech[[#This Row],[2-7]],-1,0) + tech_5_6*OFFSET(TblTech[[#This Row],[5-6]],-1,0) )-TblMagic[[#This Row],[Wiz str cost]]</f>
        <v>1</v>
      </c>
      <c r="E92" s="162">
        <f ca="1">OFFSET(TblMagic[[#This Row],[Time]],-1,0)+1/24</f>
        <v>45433.416666666453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8</v>
      </c>
      <c r="AD92" s="57">
        <f ca="1">IF(TblMagic[[#This Row],[Midas Touch]],12,IF(OFFSET(TblMagic[[#This Row],[Active Midas Touch]],-1,0)&gt;0,OFFSET(TblMagic[[#This Row],[Active Midas Touch]],-1,0)-1,0))</f>
        <v>8</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8</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700</v>
      </c>
      <c r="C93" s="97">
        <f ca="1">TblProd[[#This Row],[Mana]]</f>
        <v>5751.5</v>
      </c>
      <c r="D93" s="159">
        <f ca="1">MIN(1,OFFSET(TblMagic[[#This Row],[Wiz str]],-1,0)+0.04+ROUNDDOWN(10*OFFSET(TblMili[[#This Row],[WG''s]],-1,0),0)+ tech_2_7*OFFSET(TblTech[[#This Row],[2-7]],-1,0) + tech_5_6*OFFSET(TblTech[[#This Row],[5-6]],-1,0) )-TblMagic[[#This Row],[Wiz str cost]]</f>
        <v>1</v>
      </c>
      <c r="E93" s="162">
        <f ca="1">OFFSET(TblMagic[[#This Row],[Time]],-1,0)+1/24</f>
        <v>45433.458333333117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7</v>
      </c>
      <c r="AD93" s="57">
        <f ca="1">IF(TblMagic[[#This Row],[Midas Touch]],12,IF(OFFSET(TblMagic[[#This Row],[Active Midas Touch]],-1,0)&gt;0,OFFSET(TblMagic[[#This Row],[Active Midas Touch]],-1,0)-1,0))</f>
        <v>7</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7</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700</v>
      </c>
      <c r="C94" s="97">
        <f ca="1">TblProd[[#This Row],[Mana]]</f>
        <v>6361.5</v>
      </c>
      <c r="D94" s="159">
        <f ca="1">MIN(1,OFFSET(TblMagic[[#This Row],[Wiz str]],-1,0)+0.04+ROUNDDOWN(10*OFFSET(TblMili[[#This Row],[WG''s]],-1,0),0)+ tech_2_7*OFFSET(TblTech[[#This Row],[2-7]],-1,0) + tech_5_6*OFFSET(TblTech[[#This Row],[5-6]],-1,0) )-TblMagic[[#This Row],[Wiz str cost]]</f>
        <v>1</v>
      </c>
      <c r="E94" s="162">
        <f ca="1">OFFSET(TblMagic[[#This Row],[Time]],-1,0)+1/24</f>
        <v>45433.499999999782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6</v>
      </c>
      <c r="AD94" s="57">
        <f ca="1">IF(TblMagic[[#This Row],[Midas Touch]],12,IF(OFFSET(TblMagic[[#This Row],[Active Midas Touch]],-1,0)&gt;0,OFFSET(TblMagic[[#This Row],[Active Midas Touch]],-1,0)-1,0))</f>
        <v>6</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6</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700</v>
      </c>
      <c r="C95" s="97">
        <f ca="1">TblProd[[#This Row],[Mana]]</f>
        <v>6959.5</v>
      </c>
      <c r="D95" s="159">
        <f ca="1">MIN(1,OFFSET(TblMagic[[#This Row],[Wiz str]],-1,0)+0.04+ROUNDDOWN(10*OFFSET(TblMili[[#This Row],[WG''s]],-1,0),0)+ tech_2_7*OFFSET(TblTech[[#This Row],[2-7]],-1,0) + tech_5_6*OFFSET(TblTech[[#This Row],[5-6]],-1,0) )-TblMagic[[#This Row],[Wiz str cost]]</f>
        <v>1</v>
      </c>
      <c r="E95" s="162">
        <f ca="1">OFFSET(TblMagic[[#This Row],[Time]],-1,0)+1/24</f>
        <v>45433.541666666446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5</v>
      </c>
      <c r="AD95" s="57">
        <f ca="1">IF(TblMagic[[#This Row],[Midas Touch]],12,IF(OFFSET(TblMagic[[#This Row],[Active Midas Touch]],-1,0)&gt;0,OFFSET(TblMagic[[#This Row],[Active Midas Touch]],-1,0)-1,0))</f>
        <v>5</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5</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700</v>
      </c>
      <c r="C96" s="97">
        <f ca="1">TblProd[[#This Row],[Mana]]</f>
        <v>7545.5</v>
      </c>
      <c r="D96" s="159">
        <f ca="1">MIN(1,OFFSET(TblMagic[[#This Row],[Wiz str]],-1,0)+0.04+ROUNDDOWN(10*OFFSET(TblMili[[#This Row],[WG''s]],-1,0),0)+ tech_2_7*OFFSET(TblTech[[#This Row],[2-7]],-1,0) + tech_5_6*OFFSET(TblTech[[#This Row],[5-6]],-1,0) )-TblMagic[[#This Row],[Wiz str cost]]</f>
        <v>1</v>
      </c>
      <c r="E96" s="162">
        <f ca="1">OFFSET(TblMagic[[#This Row],[Time]],-1,0)+1/24</f>
        <v>45433.58333333311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4</v>
      </c>
      <c r="AD96" s="57">
        <f ca="1">IF(TblMagic[[#This Row],[Midas Touch]],12,IF(OFFSET(TblMagic[[#This Row],[Active Midas Touch]],-1,0)&gt;0,OFFSET(TblMagic[[#This Row],[Active Midas Touch]],-1,0)-1,0))</f>
        <v>4</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4</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700</v>
      </c>
      <c r="C97" s="97">
        <f ca="1">TblProd[[#This Row],[Mana]]</f>
        <v>8119.5</v>
      </c>
      <c r="D97" s="159">
        <f ca="1">MIN(1,OFFSET(TblMagic[[#This Row],[Wiz str]],-1,0)+0.04+ROUNDDOWN(10*OFFSET(TblMili[[#This Row],[WG''s]],-1,0),0)+ tech_2_7*OFFSET(TblTech[[#This Row],[2-7]],-1,0) + tech_5_6*OFFSET(TblTech[[#This Row],[5-6]],-1,0) )-TblMagic[[#This Row],[Wiz str cost]]</f>
        <v>1</v>
      </c>
      <c r="E97" s="162">
        <f ca="1">OFFSET(TblMagic[[#This Row],[Time]],-1,0)+1/24</f>
        <v>45433.624999999774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3</v>
      </c>
      <c r="AD97" s="57">
        <f ca="1">IF(TblMagic[[#This Row],[Midas Touch]],12,IF(OFFSET(TblMagic[[#This Row],[Active Midas Touch]],-1,0)&gt;0,OFFSET(TblMagic[[#This Row],[Active Midas Touch]],-1,0)-1,0))</f>
        <v>3</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3</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700</v>
      </c>
      <c r="C98" s="97">
        <f ca="1">TblProd[[#This Row],[Mana]]</f>
        <v>8682.5</v>
      </c>
      <c r="D98" s="159">
        <f ca="1">MIN(1,OFFSET(TblMagic[[#This Row],[Wiz str]],-1,0)+0.04+ROUNDDOWN(10*OFFSET(TblMili[[#This Row],[WG''s]],-1,0),0)+ tech_2_7*OFFSET(TblTech[[#This Row],[2-7]],-1,0) + tech_5_6*OFFSET(TblTech[[#This Row],[5-6]],-1,0) )-TblMagic[[#This Row],[Wiz str cost]]</f>
        <v>1</v>
      </c>
      <c r="E98" s="162">
        <f ca="1">OFFSET(TblMagic[[#This Row],[Time]],-1,0)+1/24</f>
        <v>45433.666666666439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2</v>
      </c>
      <c r="AD98" s="57">
        <f ca="1">IF(TblMagic[[#This Row],[Midas Touch]],12,IF(OFFSET(TblMagic[[#This Row],[Active Midas Touch]],-1,0)&gt;0,OFFSET(TblMagic[[#This Row],[Active Midas Touch]],-1,0)-1,0))</f>
        <v>2</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2</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700</v>
      </c>
      <c r="C99" s="97">
        <f ca="1">TblProd[[#This Row],[Mana]]</f>
        <v>9233.5</v>
      </c>
      <c r="D99" s="159">
        <f ca="1">MIN(1,OFFSET(TblMagic[[#This Row],[Wiz str]],-1,0)+0.04+ROUNDDOWN(10*OFFSET(TblMili[[#This Row],[WG''s]],-1,0),0)+ tech_2_7*OFFSET(TblTech[[#This Row],[2-7]],-1,0) + tech_5_6*OFFSET(TblTech[[#This Row],[5-6]],-1,0) )-TblMagic[[#This Row],[Wiz str cost]]</f>
        <v>1</v>
      </c>
      <c r="E99" s="162">
        <f ca="1">OFFSET(TblMagic[[#This Row],[Time]],-1,0)+1/24</f>
        <v>45433.708333333103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1</v>
      </c>
      <c r="AD99" s="57">
        <f ca="1">IF(TblMagic[[#This Row],[Midas Touch]],12,IF(OFFSET(TblMagic[[#This Row],[Active Midas Touch]],-1,0)&gt;0,OFFSET(TblMagic[[#This Row],[Active Midas Touch]],-1,0)-1,0))</f>
        <v>1</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1</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700</v>
      </c>
      <c r="C100" s="97">
        <f ca="1">TblProd[[#This Row],[Mana]]</f>
        <v>2773.5</v>
      </c>
      <c r="D100" s="159">
        <f ca="1">MIN(1,OFFSET(TblMagic[[#This Row],[Wiz str]],-1,0)+0.04+ROUNDDOWN(10*OFFSET(TblMili[[#This Row],[WG''s]],-1,0),0)+ tech_2_7*OFFSET(TblTech[[#This Row],[2-7]],-1,0) + tech_5_6*OFFSET(TblTech[[#This Row],[5-6]],-1,0) )-TblMagic[[#This Row],[Wiz str cost]]</f>
        <v>0.85</v>
      </c>
      <c r="E100" s="162">
        <f ca="1">OFFSET(TblMagic[[#This Row],[Time]],-1,0)+1/24</f>
        <v>45433.749999999767</v>
      </c>
      <c r="F100" s="159">
        <f ca="1">TblImps[[#This Row],[Population]]</f>
        <v>1</v>
      </c>
      <c r="G100" s="229"/>
      <c r="H100" s="229"/>
      <c r="I100" s="229">
        <v>1</v>
      </c>
      <c r="J100" s="229">
        <v>1</v>
      </c>
      <c r="K100" s="432"/>
      <c r="L100" s="229"/>
      <c r="M100" s="229"/>
      <c r="N100" s="229"/>
      <c r="O100" s="229"/>
      <c r="P100" s="229"/>
      <c r="Q100" s="229"/>
      <c r="R100" s="229"/>
      <c r="S100" s="229">
        <v>1</v>
      </c>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100" s="159">
        <f>SUMIF(TblMagic[[#This Row],[Gaia''s Watch]:[Useless spell]],1)*0.05</f>
        <v>0.15000000000000002</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12</v>
      </c>
      <c r="AD100" s="57">
        <f ca="1">IF(TblMagic[[#This Row],[Midas Touch]],12,IF(OFFSET(TblMagic[[#This Row],[Active Midas Touch]],-1,0)&gt;0,OFFSET(TblMagic[[#This Row],[Active Midas Touch]],-1,0)-1,0))</f>
        <v>12</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12</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700</v>
      </c>
      <c r="C101" s="97">
        <f ca="1">TblProd[[#This Row],[Mana]]</f>
        <v>3443.5</v>
      </c>
      <c r="D101" s="159">
        <f ca="1">MIN(1,OFFSET(TblMagic[[#This Row],[Wiz str]],-1,0)+0.04+ROUNDDOWN(10*OFFSET(TblMili[[#This Row],[WG''s]],-1,0),0)+ tech_2_7*OFFSET(TblTech[[#This Row],[2-7]],-1,0) + tech_5_6*OFFSET(TblTech[[#This Row],[5-6]],-1,0) )-TblMagic[[#This Row],[Wiz str cost]]</f>
        <v>0.89</v>
      </c>
      <c r="E101" s="162">
        <f ca="1">OFFSET(TblMagic[[#This Row],[Time]],-1,0)+1/24</f>
        <v>45433.791666666431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11</v>
      </c>
      <c r="AD101" s="57">
        <f ca="1">IF(TblMagic[[#This Row],[Midas Touch]],12,IF(OFFSET(TblMagic[[#This Row],[Active Midas Touch]],-1,0)&gt;0,OFFSET(TblMagic[[#This Row],[Active Midas Touch]],-1,0)-1,0))</f>
        <v>11</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11</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700</v>
      </c>
      <c r="C102" s="97">
        <f ca="1">TblProd[[#This Row],[Mana]]</f>
        <v>4099.5</v>
      </c>
      <c r="D102" s="159">
        <f ca="1">MIN(1,OFFSET(TblMagic[[#This Row],[Wiz str]],-1,0)+0.04+ROUNDDOWN(10*OFFSET(TblMili[[#This Row],[WG''s]],-1,0),0)+ tech_2_7*OFFSET(TblTech[[#This Row],[2-7]],-1,0) + tech_5_6*OFFSET(TblTech[[#This Row],[5-6]],-1,0) )-TblMagic[[#This Row],[Wiz str cost]]</f>
        <v>0.93</v>
      </c>
      <c r="E102" s="162">
        <f ca="1">OFFSET(TblMagic[[#This Row],[Time]],-1,0)+1/24</f>
        <v>45433.833333333096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10</v>
      </c>
      <c r="AD102" s="57">
        <f ca="1">IF(TblMagic[[#This Row],[Midas Touch]],12,IF(OFFSET(TblMagic[[#This Row],[Active Midas Touch]],-1,0)&gt;0,OFFSET(TblMagic[[#This Row],[Active Midas Touch]],-1,0)-1,0))</f>
        <v>10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10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700</v>
      </c>
      <c r="C103" s="97">
        <f ca="1">TblProd[[#This Row],[Mana]]</f>
        <v>4742.5</v>
      </c>
      <c r="D103" s="159">
        <f ca="1">MIN(1,OFFSET(TblMagic[[#This Row],[Wiz str]],-1,0)+0.04+ROUNDDOWN(10*OFFSET(TblMili[[#This Row],[WG''s]],-1,0),0)+ tech_2_7*OFFSET(TblTech[[#This Row],[2-7]],-1,0) + tech_5_6*OFFSET(TblTech[[#This Row],[5-6]],-1,0) )-TblMagic[[#This Row],[Wiz str cost]]</f>
        <v>0.97000000000000008</v>
      </c>
      <c r="E103" s="162">
        <f ca="1">OFFSET(TblMagic[[#This Row],[Time]],-1,0)+1/24</f>
        <v>45433.87499999976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9</v>
      </c>
      <c r="AD103" s="57">
        <f ca="1">IF(TblMagic[[#This Row],[Midas Touch]],12,IF(OFFSET(TblMagic[[#This Row],[Active Midas Touch]],-1,0)&gt;0,OFFSET(TblMagic[[#This Row],[Active Midas Touch]],-1,0)-1,0))</f>
        <v>9</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9</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700</v>
      </c>
      <c r="C104" s="97">
        <f ca="1">TblProd[[#This Row],[Mana]]</f>
        <v>5372.5</v>
      </c>
      <c r="D104" s="159">
        <f ca="1">MIN(1,OFFSET(TblMagic[[#This Row],[Wiz str]],-1,0)+0.04+ROUNDDOWN(10*OFFSET(TblMili[[#This Row],[WG''s]],-1,0),0)+ tech_2_7*OFFSET(TblTech[[#This Row],[2-7]],-1,0) + tech_5_6*OFFSET(TblTech[[#This Row],[5-6]],-1,0) )-TblMagic[[#This Row],[Wiz str cost]]</f>
        <v>1</v>
      </c>
      <c r="E104" s="162">
        <f ca="1">OFFSET(TblMagic[[#This Row],[Time]],-1,0)+1/24</f>
        <v>45433.916666666424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8</v>
      </c>
      <c r="AD104" s="57">
        <f ca="1">IF(TblMagic[[#This Row],[Midas Touch]],12,IF(OFFSET(TblMagic[[#This Row],[Active Midas Touch]],-1,0)&gt;0,OFFSET(TblMagic[[#This Row],[Active Midas Touch]],-1,0)-1,0))</f>
        <v>8</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8</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700</v>
      </c>
      <c r="C105" s="97">
        <f ca="1">TblProd[[#This Row],[Mana]]</f>
        <v>5990.5</v>
      </c>
      <c r="D105" s="159">
        <f ca="1">MIN(1,OFFSET(TblMagic[[#This Row],[Wiz str]],-1,0)+0.04+ROUNDDOWN(10*OFFSET(TblMili[[#This Row],[WG''s]],-1,0),0)+ tech_2_7*OFFSET(TblTech[[#This Row],[2-7]],-1,0) + tech_5_6*OFFSET(TblTech[[#This Row],[5-6]],-1,0) )-TblMagic[[#This Row],[Wiz str cost]]</f>
        <v>1</v>
      </c>
      <c r="E105" s="162">
        <f ca="1">OFFSET(TblMagic[[#This Row],[Time]],-1,0)+1/24</f>
        <v>45433.958333333088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7</v>
      </c>
      <c r="AD105" s="57">
        <f ca="1">IF(TblMagic[[#This Row],[Midas Touch]],12,IF(OFFSET(TblMagic[[#This Row],[Active Midas Touch]],-1,0)&gt;0,OFFSET(TblMagic[[#This Row],[Active Midas Touch]],-1,0)-1,0))</f>
        <v>7</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7</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700</v>
      </c>
      <c r="C106" s="97">
        <f ca="1">TblProd[[#This Row],[Mana]]</f>
        <v>6595.5</v>
      </c>
      <c r="D106" s="159">
        <f ca="1">MIN(1,OFFSET(TblMagic[[#This Row],[Wiz str]],-1,0)+0.04+ROUNDDOWN(10*OFFSET(TblMili[[#This Row],[WG''s]],-1,0),0)+ tech_2_7*OFFSET(TblTech[[#This Row],[2-7]],-1,0) + tech_5_6*OFFSET(TblTech[[#This Row],[5-6]],-1,0) )-TblMagic[[#This Row],[Wiz str cost]]</f>
        <v>1</v>
      </c>
      <c r="E106" s="162">
        <f ca="1">OFFSET(TblMagic[[#This Row],[Time]],-1,0)+1/24</f>
        <v>45433.999999999753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6</v>
      </c>
      <c r="AD106" s="57">
        <f ca="1">IF(TblMagic[[#This Row],[Midas Touch]],12,IF(OFFSET(TblMagic[[#This Row],[Active Midas Touch]],-1,0)&gt;0,OFFSET(TblMagic[[#This Row],[Active Midas Touch]],-1,0)-1,0))</f>
        <v>6</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6</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700</v>
      </c>
      <c r="C107" s="97">
        <f ca="1">TblProd[[#This Row],[Mana]]</f>
        <v>7188.5</v>
      </c>
      <c r="D107" s="159">
        <f ca="1">MIN(1,OFFSET(TblMagic[[#This Row],[Wiz str]],-1,0)+0.04+ROUNDDOWN(10*OFFSET(TblMili[[#This Row],[WG''s]],-1,0),0)+ tech_2_7*OFFSET(TblTech[[#This Row],[2-7]],-1,0) + tech_5_6*OFFSET(TblTech[[#This Row],[5-6]],-1,0) )-TblMagic[[#This Row],[Wiz str cost]]</f>
        <v>1</v>
      </c>
      <c r="E107" s="162">
        <f ca="1">OFFSET(TblMagic[[#This Row],[Time]],-1,0)+1/24</f>
        <v>45434.041666666417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5</v>
      </c>
      <c r="AD107" s="57">
        <f ca="1">IF(TblMagic[[#This Row],[Midas Touch]],12,IF(OFFSET(TblMagic[[#This Row],[Active Midas Touch]],-1,0)&gt;0,OFFSET(TblMagic[[#This Row],[Active Midas Touch]],-1,0)-1,0))</f>
        <v>5</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5</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700</v>
      </c>
      <c r="C108" s="97">
        <f ca="1">TblProd[[#This Row],[Mana]]</f>
        <v>7769.5</v>
      </c>
      <c r="D108" s="159">
        <f ca="1">MIN(1,OFFSET(TblMagic[[#This Row],[Wiz str]],-1,0)+0.04+ROUNDDOWN(10*OFFSET(TblMili[[#This Row],[WG''s]],-1,0),0)+ tech_2_7*OFFSET(TblTech[[#This Row],[2-7]],-1,0) + tech_5_6*OFFSET(TblTech[[#This Row],[5-6]],-1,0) )-TblMagic[[#This Row],[Wiz str cost]]</f>
        <v>1</v>
      </c>
      <c r="E108" s="162">
        <f ca="1">OFFSET(TblMagic[[#This Row],[Time]],-1,0)+1/24</f>
        <v>45434.083333333081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4</v>
      </c>
      <c r="AD108" s="57">
        <f ca="1">IF(TblMagic[[#This Row],[Midas Touch]],12,IF(OFFSET(TblMagic[[#This Row],[Active Midas Touch]],-1,0)&gt;0,OFFSET(TblMagic[[#This Row],[Active Midas Touch]],-1,0)-1,0))</f>
        <v>4</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4</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700</v>
      </c>
      <c r="C109" s="97">
        <f ca="1">TblProd[[#This Row],[Mana]]</f>
        <v>8339.5</v>
      </c>
      <c r="D109" s="159">
        <f ca="1">MIN(1,OFFSET(TblMagic[[#This Row],[Wiz str]],-1,0)+0.04+ROUNDDOWN(10*OFFSET(TblMili[[#This Row],[WG''s]],-1,0),0)+ tech_2_7*OFFSET(TblTech[[#This Row],[2-7]],-1,0) + tech_5_6*OFFSET(TblTech[[#This Row],[5-6]],-1,0) )-TblMagic[[#This Row],[Wiz str cost]]</f>
        <v>1</v>
      </c>
      <c r="E109" s="162">
        <f ca="1">OFFSET(TblMagic[[#This Row],[Time]],-1,0)+1/24</f>
        <v>45434.124999999745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3</v>
      </c>
      <c r="AD109" s="57">
        <f ca="1">IF(TblMagic[[#This Row],[Midas Touch]],12,IF(OFFSET(TblMagic[[#This Row],[Active Midas Touch]],-1,0)&gt;0,OFFSET(TblMagic[[#This Row],[Active Midas Touch]],-1,0)-1,0))</f>
        <v>3</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3</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700</v>
      </c>
      <c r="C110" s="97">
        <f ca="1">TblProd[[#This Row],[Mana]]</f>
        <v>8897.5</v>
      </c>
      <c r="D110" s="159">
        <f ca="1">MIN(1,OFFSET(TblMagic[[#This Row],[Wiz str]],-1,0)+0.04+ROUNDDOWN(10*OFFSET(TblMili[[#This Row],[WG''s]],-1,0),0)+ tech_2_7*OFFSET(TblTech[[#This Row],[2-7]],-1,0) + tech_5_6*OFFSET(TblTech[[#This Row],[5-6]],-1,0) )-TblMagic[[#This Row],[Wiz str cost]]</f>
        <v>1</v>
      </c>
      <c r="E110" s="162">
        <f ca="1">OFFSET(TblMagic[[#This Row],[Time]],-1,0)+1/24</f>
        <v>45434.16666666641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2</v>
      </c>
      <c r="AD110" s="57">
        <f ca="1">IF(TblMagic[[#This Row],[Midas Touch]],12,IF(OFFSET(TblMagic[[#This Row],[Active Midas Touch]],-1,0)&gt;0,OFFSET(TblMagic[[#This Row],[Active Midas Touch]],-1,0)-1,0))</f>
        <v>2</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2</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700</v>
      </c>
      <c r="C111" s="97">
        <f ca="1">TblProd[[#This Row],[Mana]]</f>
        <v>9444.5</v>
      </c>
      <c r="D111" s="159">
        <f ca="1">MIN(1,OFFSET(TblMagic[[#This Row],[Wiz str]],-1,0)+0.04+ROUNDDOWN(10*OFFSET(TblMili[[#This Row],[WG''s]],-1,0),0)+ tech_2_7*OFFSET(TblTech[[#This Row],[2-7]],-1,0) + tech_5_6*OFFSET(TblTech[[#This Row],[5-6]],-1,0) )-TblMagic[[#This Row],[Wiz str cost]]</f>
        <v>1</v>
      </c>
      <c r="E111" s="162">
        <f ca="1">OFFSET(TblMagic[[#This Row],[Time]],-1,0)+1/24</f>
        <v>45434.208333333074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1</v>
      </c>
      <c r="AD111" s="57">
        <f ca="1">IF(TblMagic[[#This Row],[Midas Touch]],12,IF(OFFSET(TblMagic[[#This Row],[Active Midas Touch]],-1,0)&gt;0,OFFSET(TblMagic[[#This Row],[Active Midas Touch]],-1,0)-1,0))</f>
        <v>1</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1</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700</v>
      </c>
      <c r="C112" s="97">
        <f ca="1">TblProd[[#This Row],[Mana]]</f>
        <v>9980.5</v>
      </c>
      <c r="D112" s="159">
        <f ca="1">MIN(1,OFFSET(TblMagic[[#This Row],[Wiz str]],-1,0)+0.04+ROUNDDOWN(10*OFFSET(TblMili[[#This Row],[WG''s]],-1,0),0)+ tech_2_7*OFFSET(TblTech[[#This Row],[2-7]],-1,0) + tech_5_6*OFFSET(TblTech[[#This Row],[5-6]],-1,0) )-TblMagic[[#This Row],[Wiz str cost]]</f>
        <v>1</v>
      </c>
      <c r="E112" s="162">
        <f ca="1">OFFSET(TblMagic[[#This Row],[Time]],-1,0)+1/24</f>
        <v>45434.249999999738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700</v>
      </c>
      <c r="C113" s="97">
        <f ca="1">TblProd[[#This Row],[Mana]]</f>
        <v>10505.5</v>
      </c>
      <c r="D113" s="159">
        <f ca="1">MIN(1,OFFSET(TblMagic[[#This Row],[Wiz str]],-1,0)+0.04+ROUNDDOWN(10*OFFSET(TblMili[[#This Row],[WG''s]],-1,0),0)+ tech_2_7*OFFSET(TblTech[[#This Row],[2-7]],-1,0) + tech_5_6*OFFSET(TblTech[[#This Row],[5-6]],-1,0) )-TblMagic[[#This Row],[Wiz str cost]]</f>
        <v>1</v>
      </c>
      <c r="E113" s="162">
        <f ca="1">OFFSET(TblMagic[[#This Row],[Time]],-1,0)+1/24</f>
        <v>45434.291666666402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700</v>
      </c>
      <c r="C114" s="97">
        <f ca="1">TblProd[[#This Row],[Mana]]</f>
        <v>11020.5</v>
      </c>
      <c r="D114" s="159">
        <f ca="1">MIN(1,OFFSET(TblMagic[[#This Row],[Wiz str]],-1,0)+0.04+ROUNDDOWN(10*OFFSET(TblMili[[#This Row],[WG''s]],-1,0),0)+ tech_2_7*OFFSET(TblTech[[#This Row],[2-7]],-1,0) + tech_5_6*OFFSET(TblTech[[#This Row],[5-6]],-1,0) )-TblMagic[[#This Row],[Wiz str cost]]</f>
        <v>1</v>
      </c>
      <c r="E114" s="162">
        <f ca="1">OFFSET(TblMagic[[#This Row],[Time]],-1,0)+1/24</f>
        <v>45434.333333333067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700</v>
      </c>
      <c r="C115" s="97">
        <f ca="1">TblProd[[#This Row],[Mana]]</f>
        <v>11525.5</v>
      </c>
      <c r="D115" s="159">
        <f ca="1">MIN(1,OFFSET(TblMagic[[#This Row],[Wiz str]],-1,0)+0.04+ROUNDDOWN(10*OFFSET(TblMili[[#This Row],[WG''s]],-1,0),0)+ tech_2_7*OFFSET(TblTech[[#This Row],[2-7]],-1,0) + tech_5_6*OFFSET(TblTech[[#This Row],[5-6]],-1,0) )-TblMagic[[#This Row],[Wiz str cost]]</f>
        <v>1</v>
      </c>
      <c r="E115" s="162">
        <f ca="1">OFFSET(TblMagic[[#This Row],[Time]],-1,0)+1/24</f>
        <v>45434.374999999731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700</v>
      </c>
      <c r="C116" s="97">
        <f ca="1">TblProd[[#This Row],[Mana]]</f>
        <v>12019.5</v>
      </c>
      <c r="D116" s="159">
        <f ca="1">MIN(1,OFFSET(TblMagic[[#This Row],[Wiz str]],-1,0)+0.04+ROUNDDOWN(10*OFFSET(TblMili[[#This Row],[WG''s]],-1,0),0)+ tech_2_7*OFFSET(TblTech[[#This Row],[2-7]],-1,0) + tech_5_6*OFFSET(TblTech[[#This Row],[5-6]],-1,0) )-TblMagic[[#This Row],[Wiz str cost]]</f>
        <v>1</v>
      </c>
      <c r="E116" s="162">
        <f ca="1">OFFSET(TblMagic[[#This Row],[Time]],-1,0)+1/24</f>
        <v>45434.416666666395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700</v>
      </c>
      <c r="C117" s="97">
        <f ca="1">TblProd[[#This Row],[Mana]]</f>
        <v>12504.5</v>
      </c>
      <c r="D117" s="159">
        <f ca="1">MIN(1,OFFSET(TblMagic[[#This Row],[Wiz str]],-1,0)+0.04+ROUNDDOWN(10*OFFSET(TblMili[[#This Row],[WG''s]],-1,0),0)+ tech_2_7*OFFSET(TblTech[[#This Row],[2-7]],-1,0) + tech_5_6*OFFSET(TblTech[[#This Row],[5-6]],-1,0) )-TblMagic[[#This Row],[Wiz str cost]]</f>
        <v>1</v>
      </c>
      <c r="E117" s="162">
        <f ca="1">OFFSET(TblMagic[[#This Row],[Time]],-1,0)+1/24</f>
        <v>45434.458333333059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700</v>
      </c>
      <c r="C118" s="97">
        <f ca="1">TblProd[[#This Row],[Mana]]</f>
        <v>12979.5</v>
      </c>
      <c r="D118" s="159">
        <f ca="1">MIN(1,OFFSET(TblMagic[[#This Row],[Wiz str]],-1,0)+0.04+ROUNDDOWN(10*OFFSET(TblMili[[#This Row],[WG''s]],-1,0),0)+ tech_2_7*OFFSET(TblTech[[#This Row],[2-7]],-1,0) + tech_5_6*OFFSET(TblTech[[#This Row],[5-6]],-1,0) )-TblMagic[[#This Row],[Wiz str cost]]</f>
        <v>1</v>
      </c>
      <c r="E118" s="162">
        <f ca="1">OFFSET(TblMagic[[#This Row],[Time]],-1,0)+1/24</f>
        <v>45434.499999999724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700</v>
      </c>
      <c r="C119" s="97">
        <f ca="1">TblProd[[#This Row],[Mana]]</f>
        <v>13444.5</v>
      </c>
      <c r="D119" s="159">
        <f ca="1">MIN(1,OFFSET(TblMagic[[#This Row],[Wiz str]],-1,0)+0.04+ROUNDDOWN(10*OFFSET(TblMili[[#This Row],[WG''s]],-1,0),0)+ tech_2_7*OFFSET(TblTech[[#This Row],[2-7]],-1,0) + tech_5_6*OFFSET(TblTech[[#This Row],[5-6]],-1,0) )-TblMagic[[#This Row],[Wiz str cost]]</f>
        <v>1</v>
      </c>
      <c r="E119" s="162">
        <f ca="1">OFFSET(TblMagic[[#This Row],[Time]],-1,0)+1/24</f>
        <v>45434.541666666388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700</v>
      </c>
      <c r="C120" s="97">
        <f ca="1">TblProd[[#This Row],[Mana]]</f>
        <v>13900.5</v>
      </c>
      <c r="D120" s="159">
        <f ca="1">MIN(1,OFFSET(TblMagic[[#This Row],[Wiz str]],-1,0)+0.04+ROUNDDOWN(10*OFFSET(TblMili[[#This Row],[WG''s]],-1,0),0)+ tech_2_7*OFFSET(TblTech[[#This Row],[2-7]],-1,0) + tech_5_6*OFFSET(TblTech[[#This Row],[5-6]],-1,0) )-TblMagic[[#This Row],[Wiz str cost]]</f>
        <v>1</v>
      </c>
      <c r="E120" s="162">
        <f ca="1">OFFSET(TblMagic[[#This Row],[Time]],-1,0)+1/24</f>
        <v>45434.583333333052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700</v>
      </c>
      <c r="C121" s="97">
        <f ca="1">TblProd[[#This Row],[Mana]]</f>
        <v>14347.5</v>
      </c>
      <c r="D121" s="159">
        <f ca="1">MIN(1,OFFSET(TblMagic[[#This Row],[Wiz str]],-1,0)+0.04+ROUNDDOWN(10*OFFSET(TblMili[[#This Row],[WG''s]],-1,0),0)+ tech_2_7*OFFSET(TblTech[[#This Row],[2-7]],-1,0) + tech_5_6*OFFSET(TblTech[[#This Row],[5-6]],-1,0) )-TblMagic[[#This Row],[Wiz str cost]]</f>
        <v>1</v>
      </c>
      <c r="E121" s="162">
        <f ca="1">OFFSET(TblMagic[[#This Row],[Time]],-1,0)+1/24</f>
        <v>45434.624999999716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700</v>
      </c>
      <c r="C122" s="97">
        <f ca="1">TblProd[[#This Row],[Mana]]</f>
        <v>14785.5</v>
      </c>
      <c r="D122" s="159">
        <f ca="1">MIN(1,OFFSET(TblMagic[[#This Row],[Wiz str]],-1,0)+0.04+ROUNDDOWN(10*OFFSET(TblMili[[#This Row],[WG''s]],-1,0),0)+ tech_2_7*OFFSET(TblTech[[#This Row],[2-7]],-1,0) + tech_5_6*OFFSET(TblTech[[#This Row],[5-6]],-1,0) )-TblMagic[[#This Row],[Wiz str cost]]</f>
        <v>1</v>
      </c>
      <c r="E122" s="162">
        <f ca="1">OFFSET(TblMagic[[#This Row],[Time]],-1,0)+1/24</f>
        <v>45434.66666666638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700</v>
      </c>
      <c r="C123" s="97">
        <f ca="1">TblProd[[#This Row],[Mana]]</f>
        <v>15214.5</v>
      </c>
      <c r="D123" s="159">
        <f ca="1">MIN(1,OFFSET(TblMagic[[#This Row],[Wiz str]],-1,0)+0.04+ROUNDDOWN(10*OFFSET(TblMili[[#This Row],[WG''s]],-1,0),0)+ tech_2_7*OFFSET(TblTech[[#This Row],[2-7]],-1,0) + tech_5_6*OFFSET(TblTech[[#This Row],[5-6]],-1,0) )-TblMagic[[#This Row],[Wiz str cost]]</f>
        <v>1</v>
      </c>
      <c r="E123" s="162">
        <f ca="1">OFFSET(TblMagic[[#This Row],[Time]],-1,0)+1/24</f>
        <v>45434.708333333045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700</v>
      </c>
      <c r="C124" s="97">
        <f ca="1">TblProd[[#This Row],[Mana]]</f>
        <v>15635.5</v>
      </c>
      <c r="D124" s="159">
        <f ca="1">MIN(1,OFFSET(TblMagic[[#This Row],[Wiz str]],-1,0)+0.04+ROUNDDOWN(10*OFFSET(TblMili[[#This Row],[WG''s]],-1,0),0)+ tech_2_7*OFFSET(TblTech[[#This Row],[2-7]],-1,0) + tech_5_6*OFFSET(TblTech[[#This Row],[5-6]],-1,0) )-TblMagic[[#This Row],[Wiz str cost]]</f>
        <v>1</v>
      </c>
      <c r="E124" s="162">
        <f ca="1">OFFSET(TblMagic[[#This Row],[Time]],-1,0)+1/24</f>
        <v>45434.749999999709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700</v>
      </c>
      <c r="C125" s="97">
        <f ca="1">TblProd[[#This Row],[Mana]]</f>
        <v>16047.5</v>
      </c>
      <c r="D125" s="159">
        <f ca="1">MIN(1,OFFSET(TblMagic[[#This Row],[Wiz str]],-1,0)+0.04+ROUNDDOWN(10*OFFSET(TblMili[[#This Row],[WG''s]],-1,0),0)+ tech_2_7*OFFSET(TblTech[[#This Row],[2-7]],-1,0) + tech_5_6*OFFSET(TblTech[[#This Row],[5-6]],-1,0) )-TblMagic[[#This Row],[Wiz str cost]]</f>
        <v>1</v>
      </c>
      <c r="E125" s="162">
        <f ca="1">OFFSET(TblMagic[[#This Row],[Time]],-1,0)+1/24</f>
        <v>45434.791666666373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700</v>
      </c>
      <c r="C126" s="97">
        <f ca="1">TblProd[[#This Row],[Mana]]</f>
        <v>16451.5</v>
      </c>
      <c r="D126" s="159">
        <f ca="1">MIN(1,OFFSET(TblMagic[[#This Row],[Wiz str]],-1,0)+0.04+ROUNDDOWN(10*OFFSET(TblMili[[#This Row],[WG''s]],-1,0),0)+ tech_2_7*OFFSET(TblTech[[#This Row],[2-7]],-1,0) + tech_5_6*OFFSET(TblTech[[#This Row],[5-6]],-1,0) )-TblMagic[[#This Row],[Wiz str cost]]</f>
        <v>1</v>
      </c>
      <c r="E126" s="162">
        <f ca="1">OFFSET(TblMagic[[#This Row],[Time]],-1,0)+1/24</f>
        <v>45434.833333333037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700</v>
      </c>
      <c r="C127" s="97">
        <f ca="1">TblProd[[#This Row],[Mana]]</f>
        <v>16847.5</v>
      </c>
      <c r="D127" s="159">
        <f ca="1">MIN(1,OFFSET(TblMagic[[#This Row],[Wiz str]],-1,0)+0.04+ROUNDDOWN(10*OFFSET(TblMili[[#This Row],[WG''s]],-1,0),0)+ tech_2_7*OFFSET(TblTech[[#This Row],[2-7]],-1,0) + tech_5_6*OFFSET(TblTech[[#This Row],[5-6]],-1,0) )-TblMagic[[#This Row],[Wiz str cost]]</f>
        <v>1</v>
      </c>
      <c r="E127" s="162">
        <f ca="1">OFFSET(TblMagic[[#This Row],[Time]],-1,0)+1/24</f>
        <v>45434.874999999702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700</v>
      </c>
      <c r="C128" s="97">
        <f ca="1">TblProd[[#This Row],[Mana]]</f>
        <v>17235.5</v>
      </c>
      <c r="D128" s="159">
        <f ca="1">MIN(1,OFFSET(TblMagic[[#This Row],[Wiz str]],-1,0)+0.04+ROUNDDOWN(10*OFFSET(TblMili[[#This Row],[WG''s]],-1,0),0)+ tech_2_7*OFFSET(TblTech[[#This Row],[2-7]],-1,0) + tech_5_6*OFFSET(TblTech[[#This Row],[5-6]],-1,0) )-TblMagic[[#This Row],[Wiz str cost]]</f>
        <v>1</v>
      </c>
      <c r="E128" s="162">
        <f ca="1">OFFSET(TblMagic[[#This Row],[Time]],-1,0)+1/24</f>
        <v>45434.916666666366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700</v>
      </c>
      <c r="C129" s="97">
        <f ca="1">TblProd[[#This Row],[Mana]]</f>
        <v>17615.5</v>
      </c>
      <c r="D129" s="159">
        <f ca="1">MIN(1,OFFSET(TblMagic[[#This Row],[Wiz str]],-1,0)+0.04+ROUNDDOWN(10*OFFSET(TblMili[[#This Row],[WG''s]],-1,0),0)+ tech_2_7*OFFSET(TblTech[[#This Row],[2-7]],-1,0) + tech_5_6*OFFSET(TblTech[[#This Row],[5-6]],-1,0) )-TblMagic[[#This Row],[Wiz str cost]]</f>
        <v>1</v>
      </c>
      <c r="E129" s="162">
        <f ca="1">OFFSET(TblMagic[[#This Row],[Time]],-1,0)+1/24</f>
        <v>45434.95833333303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700</v>
      </c>
      <c r="C130" s="97">
        <f ca="1">TblProd[[#This Row],[Mana]]</f>
        <v>17988.5</v>
      </c>
      <c r="D130" s="159">
        <f ca="1">MIN(1,OFFSET(TblMagic[[#This Row],[Wiz str]],-1,0)+0.04+ROUNDDOWN(10*OFFSET(TblMili[[#This Row],[WG''s]],-1,0),0)+ tech_2_7*OFFSET(TblTech[[#This Row],[2-7]],-1,0) + tech_5_6*OFFSET(TblTech[[#This Row],[5-6]],-1,0) )-TblMagic[[#This Row],[Wiz str cost]]</f>
        <v>1</v>
      </c>
      <c r="E130" s="162">
        <f ca="1">OFFSET(TblMagic[[#This Row],[Time]],-1,0)+1/24</f>
        <v>45434.999999999694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700</v>
      </c>
      <c r="C131" s="97">
        <f ca="1">TblProd[[#This Row],[Mana]]</f>
        <v>18353.5</v>
      </c>
      <c r="D131" s="159">
        <f ca="1">MIN(1,OFFSET(TblMagic[[#This Row],[Wiz str]],-1,0)+0.04+ROUNDDOWN(10*OFFSET(TblMili[[#This Row],[WG''s]],-1,0),0)+ tech_2_7*OFFSET(TblTech[[#This Row],[2-7]],-1,0) + tech_5_6*OFFSET(TblTech[[#This Row],[5-6]],-1,0) )-TblMagic[[#This Row],[Wiz str cost]]</f>
        <v>1</v>
      </c>
      <c r="E131" s="162">
        <f ca="1">OFFSET(TblMagic[[#This Row],[Time]],-1,0)+1/24</f>
        <v>45435.041666666359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700</v>
      </c>
      <c r="C132" s="97">
        <f ca="1">TblProd[[#This Row],[Mana]]</f>
        <v>18711.5</v>
      </c>
      <c r="D132" s="159">
        <f ca="1">MIN(1,OFFSET(TblMagic[[#This Row],[Wiz str]],-1,0)+0.04+ROUNDDOWN(10*OFFSET(TblMili[[#This Row],[WG''s]],-1,0),0)+ tech_2_7*OFFSET(TblTech[[#This Row],[2-7]],-1,0) + tech_5_6*OFFSET(TblTech[[#This Row],[5-6]],-1,0) )-TblMagic[[#This Row],[Wiz str cost]]</f>
        <v>1</v>
      </c>
      <c r="E132" s="162">
        <f ca="1">OFFSET(TblMagic[[#This Row],[Time]],-1,0)+1/24</f>
        <v>45435.083333333023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700</v>
      </c>
      <c r="C133" s="97">
        <f ca="1">TblProd[[#This Row],[Mana]]</f>
        <v>19062.5</v>
      </c>
      <c r="D133" s="159">
        <f ca="1">MIN(1,OFFSET(TblMagic[[#This Row],[Wiz str]],-1,0)+0.04+ROUNDDOWN(10*OFFSET(TblMili[[#This Row],[WG''s]],-1,0),0)+ tech_2_7*OFFSET(TblTech[[#This Row],[2-7]],-1,0) + tech_5_6*OFFSET(TblTech[[#This Row],[5-6]],-1,0) )-TblMagic[[#This Row],[Wiz str cost]]</f>
        <v>1</v>
      </c>
      <c r="E133" s="162">
        <f ca="1">OFFSET(TblMagic[[#This Row],[Time]],-1,0)+1/24</f>
        <v>45435.124999999687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700</v>
      </c>
      <c r="C134" s="97">
        <f ca="1">TblProd[[#This Row],[Mana]]</f>
        <v>19406.5</v>
      </c>
      <c r="D134" s="159">
        <f ca="1">MIN(1,OFFSET(TblMagic[[#This Row],[Wiz str]],-1,0)+0.04+ROUNDDOWN(10*OFFSET(TblMili[[#This Row],[WG''s]],-1,0),0)+ tech_2_7*OFFSET(TblTech[[#This Row],[2-7]],-1,0) + tech_5_6*OFFSET(TblTech[[#This Row],[5-6]],-1,0) )-TblMagic[[#This Row],[Wiz str cost]]</f>
        <v>1</v>
      </c>
      <c r="E134" s="162">
        <f ca="1">OFFSET(TblMagic[[#This Row],[Time]],-1,0)+1/24</f>
        <v>45435.166666666351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700</v>
      </c>
      <c r="C135" s="97">
        <f ca="1">TblProd[[#This Row],[Mana]]</f>
        <v>19743.5</v>
      </c>
      <c r="D135" s="159">
        <f ca="1">MIN(1,OFFSET(TblMagic[[#This Row],[Wiz str]],-1,0)+0.04+ROUNDDOWN(10*OFFSET(TblMili[[#This Row],[WG''s]],-1,0),0)+ tech_2_7*OFFSET(TblTech[[#This Row],[2-7]],-1,0) + tech_5_6*OFFSET(TblTech[[#This Row],[5-6]],-1,0) )-TblMagic[[#This Row],[Wiz str cost]]</f>
        <v>1</v>
      </c>
      <c r="E135" s="162">
        <f ca="1">OFFSET(TblMagic[[#This Row],[Time]],-1,0)+1/24</f>
        <v>45435.208333333016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700</v>
      </c>
      <c r="C136" s="97">
        <f ca="1">TblProd[[#This Row],[Mana]]</f>
        <v>20073.5</v>
      </c>
      <c r="D136" s="159">
        <f ca="1">MIN(1,OFFSET(TblMagic[[#This Row],[Wiz str]],-1,0)+0.04+ROUNDDOWN(10*OFFSET(TblMili[[#This Row],[WG''s]],-1,0),0)+ tech_2_7*OFFSET(TblTech[[#This Row],[2-7]],-1,0) + tech_5_6*OFFSET(TblTech[[#This Row],[5-6]],-1,0) )-TblMagic[[#This Row],[Wiz str cost]]</f>
        <v>1</v>
      </c>
      <c r="E136" s="162">
        <f ca="1">OFFSET(TblMagic[[#This Row],[Time]],-1,0)+1/24</f>
        <v>45435.24999999968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316</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31"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1009</v>
      </c>
      <c r="F2" s="304">
        <f>IFERROR(SMALL(TblTech[Activate @ hour],1),0)</f>
        <v>0</v>
      </c>
      <c r="G2" s="45" t="s">
        <v>1072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372</v>
      </c>
      <c r="D3" s="290" t="s">
        <v>33</v>
      </c>
      <c r="E3" s="290" t="s">
        <v>774</v>
      </c>
      <c r="F3" s="290" t="s">
        <v>1010</v>
      </c>
      <c r="G3" s="290" t="s">
        <v>937</v>
      </c>
      <c r="H3" s="290" t="s">
        <v>981</v>
      </c>
      <c r="I3" s="290" t="s">
        <v>982</v>
      </c>
      <c r="J3" s="290" t="s">
        <v>775</v>
      </c>
      <c r="K3" s="258" t="s">
        <v>776</v>
      </c>
      <c r="L3" s="290" t="s">
        <v>938</v>
      </c>
      <c r="M3" s="224" t="s">
        <v>538</v>
      </c>
      <c r="N3" s="224" t="s">
        <v>540</v>
      </c>
      <c r="O3" s="224" t="s">
        <v>541</v>
      </c>
      <c r="P3" s="224" t="s">
        <v>543</v>
      </c>
      <c r="Q3" s="224" t="s">
        <v>545</v>
      </c>
      <c r="R3" s="224" t="s">
        <v>546</v>
      </c>
      <c r="S3" s="224" t="s">
        <v>547</v>
      </c>
      <c r="T3" s="224" t="s">
        <v>548</v>
      </c>
      <c r="U3" s="224" t="s">
        <v>549</v>
      </c>
      <c r="V3" s="224" t="s">
        <v>551</v>
      </c>
      <c r="W3" s="224" t="s">
        <v>553</v>
      </c>
      <c r="X3" s="224" t="s">
        <v>554</v>
      </c>
      <c r="Y3" s="224" t="s">
        <v>555</v>
      </c>
      <c r="Z3" s="224" t="s">
        <v>556</v>
      </c>
      <c r="AA3" s="224" t="s">
        <v>558</v>
      </c>
      <c r="AB3" s="224" t="s">
        <v>559</v>
      </c>
      <c r="AC3" s="224" t="s">
        <v>560</v>
      </c>
      <c r="AD3" s="224" t="s">
        <v>562</v>
      </c>
      <c r="AE3" s="224" t="s">
        <v>564</v>
      </c>
      <c r="AF3" s="224" t="s">
        <v>565</v>
      </c>
      <c r="AG3" s="224" t="s">
        <v>566</v>
      </c>
      <c r="AH3" s="224" t="s">
        <v>568</v>
      </c>
      <c r="AI3" s="224" t="s">
        <v>570</v>
      </c>
      <c r="AJ3" s="224" t="s">
        <v>572</v>
      </c>
      <c r="AK3" s="224" t="s">
        <v>573</v>
      </c>
      <c r="AL3" s="224" t="s">
        <v>574</v>
      </c>
      <c r="AM3" s="224" t="s">
        <v>575</v>
      </c>
      <c r="AN3" s="224" t="s">
        <v>576</v>
      </c>
      <c r="AO3" s="224" t="s">
        <v>577</v>
      </c>
      <c r="AP3" s="224" t="s">
        <v>579</v>
      </c>
      <c r="AQ3" s="224" t="s">
        <v>581</v>
      </c>
      <c r="AR3" s="224" t="s">
        <v>582</v>
      </c>
      <c r="AS3" s="224" t="s">
        <v>583</v>
      </c>
      <c r="AT3" s="224" t="s">
        <v>584</v>
      </c>
      <c r="AU3" s="224" t="s">
        <v>585</v>
      </c>
      <c r="AV3" s="224" t="s">
        <v>586</v>
      </c>
      <c r="AW3" s="224" t="s">
        <v>588</v>
      </c>
      <c r="AX3" s="224" t="s">
        <v>589</v>
      </c>
      <c r="AY3" s="224" t="s">
        <v>590</v>
      </c>
      <c r="AZ3" s="224" t="s">
        <v>591</v>
      </c>
      <c r="BA3" s="224" t="s">
        <v>592</v>
      </c>
      <c r="BB3" s="224" t="s">
        <v>593</v>
      </c>
      <c r="BC3" s="224" t="s">
        <v>594</v>
      </c>
      <c r="BD3" s="224" t="s">
        <v>595</v>
      </c>
      <c r="BE3" s="224" t="s">
        <v>596</v>
      </c>
      <c r="BF3" s="224" t="s">
        <v>597</v>
      </c>
      <c r="BG3" s="224" t="s">
        <v>598</v>
      </c>
      <c r="BH3" s="224" t="s">
        <v>600</v>
      </c>
      <c r="BI3" s="224" t="s">
        <v>601</v>
      </c>
      <c r="BJ3" s="224" t="s">
        <v>603</v>
      </c>
      <c r="BK3" s="224" t="s">
        <v>604</v>
      </c>
      <c r="BL3" s="224" t="s">
        <v>605</v>
      </c>
      <c r="BM3" s="224" t="s">
        <v>607</v>
      </c>
      <c r="BN3" s="224" t="s">
        <v>609</v>
      </c>
      <c r="BO3" s="224" t="s">
        <v>610</v>
      </c>
      <c r="BP3" s="224" t="s">
        <v>611</v>
      </c>
      <c r="BQ3" s="224" t="s">
        <v>613</v>
      </c>
      <c r="BR3" s="224" t="s">
        <v>614</v>
      </c>
      <c r="BS3" s="224" t="s">
        <v>616</v>
      </c>
      <c r="BT3" s="224" t="s">
        <v>618</v>
      </c>
      <c r="BU3" s="224" t="s">
        <v>619</v>
      </c>
      <c r="BV3" s="224" t="s">
        <v>621</v>
      </c>
      <c r="BW3" s="224" t="s">
        <v>622</v>
      </c>
      <c r="BX3" s="224" t="s">
        <v>623</v>
      </c>
      <c r="BY3" s="224" t="s">
        <v>625</v>
      </c>
      <c r="BZ3" s="224" t="s">
        <v>626</v>
      </c>
      <c r="CA3" s="224" t="s">
        <v>681</v>
      </c>
    </row>
    <row r="4" spans="1:79" x14ac:dyDescent="0.2">
      <c r="A4" s="291">
        <f>TblRezone[[#This Row],[Hour]]</f>
        <v>1</v>
      </c>
      <c r="B4" s="292">
        <f ca="1">TblExplore[[#This Row],[Land-DB]]</f>
        <v>250</v>
      </c>
      <c r="C4" s="293">
        <f ca="1">TblProd[[#This Row],[Techpoints]]</f>
        <v>0</v>
      </c>
      <c r="D4" s="293">
        <f ca="1">TblProd[[#This Row],[Required]]</f>
        <v>3750</v>
      </c>
      <c r="E4" s="294"/>
      <c r="F4" s="295"/>
      <c r="G4" s="296" t="s">
        <v>538</v>
      </c>
      <c r="H4" s="297" t="s">
        <v>682</v>
      </c>
      <c r="I4" s="296" t="s">
        <v>539</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540</v>
      </c>
      <c r="H5" s="297" t="s">
        <v>683</v>
      </c>
      <c r="I5" s="296" t="s">
        <v>1110</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541</v>
      </c>
      <c r="H6" s="297" t="s">
        <v>684</v>
      </c>
      <c r="I6" s="296" t="s">
        <v>542</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543</v>
      </c>
      <c r="H7" s="297" t="s">
        <v>685</v>
      </c>
      <c r="I7" s="296" t="s">
        <v>544</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545</v>
      </c>
      <c r="H8" s="297" t="s">
        <v>686</v>
      </c>
      <c r="I8" s="296" t="s">
        <v>1107</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546</v>
      </c>
      <c r="H9" s="297" t="s">
        <v>697</v>
      </c>
      <c r="I9" s="296" t="s">
        <v>561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547</v>
      </c>
      <c r="H10" s="297" t="s">
        <v>726</v>
      </c>
      <c r="I10" s="296" t="s">
        <v>741</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548</v>
      </c>
      <c r="H11" s="297" t="s">
        <v>689</v>
      </c>
      <c r="I11" s="296" t="s">
        <v>1056</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549</v>
      </c>
      <c r="H12" s="297" t="s">
        <v>708</v>
      </c>
      <c r="I12" s="296" t="s">
        <v>580</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551</v>
      </c>
      <c r="H13" s="297" t="s">
        <v>690</v>
      </c>
      <c r="I13" s="296" t="s">
        <v>550</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553</v>
      </c>
      <c r="H14" s="297" t="s">
        <v>1066</v>
      </c>
      <c r="I14" s="296" t="s">
        <v>742</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554</v>
      </c>
      <c r="H16" s="297" t="s">
        <v>692</v>
      </c>
      <c r="I16" s="296" t="s">
        <v>750</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555</v>
      </c>
      <c r="H17" s="297" t="s">
        <v>693</v>
      </c>
      <c r="I17" s="296" t="s">
        <v>751</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556</v>
      </c>
      <c r="H18" s="297" t="s">
        <v>694</v>
      </c>
      <c r="I18" s="296" t="s">
        <v>1103</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558</v>
      </c>
      <c r="H19" s="297" t="s">
        <v>695</v>
      </c>
      <c r="I19" s="296" t="s">
        <v>1109</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559</v>
      </c>
      <c r="H20" s="297" t="s">
        <v>696</v>
      </c>
      <c r="I20" s="296" t="s">
        <v>1057</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274</v>
      </c>
      <c r="C21" s="293">
        <f ca="1">TblProd[[#This Row],[Techpoints]]</f>
        <v>0</v>
      </c>
      <c r="D21" s="293">
        <f ca="1">TblProd[[#This Row],[Required]]</f>
        <v>3750</v>
      </c>
      <c r="E21" s="294"/>
      <c r="F21" s="295"/>
      <c r="G21" s="296" t="s">
        <v>560</v>
      </c>
      <c r="H21" s="297" t="s">
        <v>688</v>
      </c>
      <c r="I21" s="296" t="s">
        <v>1105</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275</v>
      </c>
      <c r="C22" s="293">
        <f ca="1">TblProd[[#This Row],[Techpoints]]</f>
        <v>0</v>
      </c>
      <c r="D22" s="293">
        <f ca="1">TblProd[[#This Row],[Required]]</f>
        <v>3750</v>
      </c>
      <c r="E22" s="294"/>
      <c r="F22" s="295"/>
      <c r="G22" s="296" t="s">
        <v>562</v>
      </c>
      <c r="H22" s="297" t="s">
        <v>715</v>
      </c>
      <c r="I22" s="296" t="s">
        <v>1058</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276</v>
      </c>
      <c r="C23" s="293">
        <f ca="1">TblProd[[#This Row],[Techpoints]]</f>
        <v>0</v>
      </c>
      <c r="D23" s="293">
        <f ca="1">TblProd[[#This Row],[Required]]</f>
        <v>3750</v>
      </c>
      <c r="E23" s="294"/>
      <c r="F23" s="295"/>
      <c r="G23" s="296" t="s">
        <v>564</v>
      </c>
      <c r="H23" s="297" t="s">
        <v>699</v>
      </c>
      <c r="I23" s="296" t="s">
        <v>743</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277</v>
      </c>
      <c r="C24" s="293">
        <f ca="1">TblProd[[#This Row],[Techpoints]]</f>
        <v>0</v>
      </c>
      <c r="D24" s="293">
        <f ca="1">TblProd[[#This Row],[Required]]</f>
        <v>3750</v>
      </c>
      <c r="E24" s="294"/>
      <c r="F24" s="295"/>
      <c r="G24" s="296" t="s">
        <v>565</v>
      </c>
      <c r="H24" s="297" t="s">
        <v>700</v>
      </c>
      <c r="I24" s="296" t="s">
        <v>744</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278</v>
      </c>
      <c r="C25" s="293">
        <f ca="1">TblProd[[#This Row],[Techpoints]]</f>
        <v>0</v>
      </c>
      <c r="D25" s="293">
        <f ca="1">TblProd[[#This Row],[Required]]</f>
        <v>3750</v>
      </c>
      <c r="E25" s="294"/>
      <c r="F25" s="295"/>
      <c r="G25" s="296" t="s">
        <v>566</v>
      </c>
      <c r="H25" s="297" t="s">
        <v>701</v>
      </c>
      <c r="I25" s="296" t="s">
        <v>567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279</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279</v>
      </c>
      <c r="C27" s="293">
        <f ca="1">TblProd[[#This Row],[Techpoints]]</f>
        <v>350</v>
      </c>
      <c r="D27" s="293">
        <f ca="1">TblProd[[#This Row],[Required]]</f>
        <v>3750</v>
      </c>
      <c r="E27" s="294"/>
      <c r="F27" s="295"/>
      <c r="G27" s="296" t="s">
        <v>568</v>
      </c>
      <c r="H27" s="297" t="s">
        <v>702</v>
      </c>
      <c r="I27" s="296" t="s">
        <v>569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299</v>
      </c>
      <c r="C28" s="293">
        <f ca="1">TblProd[[#This Row],[Techpoints]]</f>
        <v>350</v>
      </c>
      <c r="D28" s="293">
        <f ca="1">TblProd[[#This Row],[Required]]</f>
        <v>3750</v>
      </c>
      <c r="E28" s="294"/>
      <c r="F28" s="295"/>
      <c r="G28" s="296" t="s">
        <v>570</v>
      </c>
      <c r="H28" s="297" t="s">
        <v>703</v>
      </c>
      <c r="I28" s="296" t="s">
        <v>571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299</v>
      </c>
      <c r="C29" s="293">
        <f ca="1">TblProd[[#This Row],[Techpoints]]</f>
        <v>350</v>
      </c>
      <c r="D29" s="293">
        <f ca="1">TblProd[[#This Row],[Required]]</f>
        <v>3750</v>
      </c>
      <c r="E29" s="294"/>
      <c r="F29" s="295"/>
      <c r="G29" s="296" t="s">
        <v>572</v>
      </c>
      <c r="H29" s="297" t="s">
        <v>704</v>
      </c>
      <c r="I29" s="296" t="s">
        <v>1111</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299</v>
      </c>
      <c r="C30" s="293">
        <f ca="1">TblProd[[#This Row],[Techpoints]]</f>
        <v>350</v>
      </c>
      <c r="D30" s="293">
        <f ca="1">TblProd[[#This Row],[Required]]</f>
        <v>3750</v>
      </c>
      <c r="E30" s="294"/>
      <c r="F30" s="295"/>
      <c r="G30" s="296" t="s">
        <v>573</v>
      </c>
      <c r="H30" s="297" t="s">
        <v>705</v>
      </c>
      <c r="I30" s="296" t="s">
        <v>1104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299</v>
      </c>
      <c r="C31" s="293">
        <f ca="1">TblProd[[#This Row],[Techpoints]]</f>
        <v>350</v>
      </c>
      <c r="D31" s="293">
        <f ca="1">TblProd[[#This Row],[Required]]</f>
        <v>3750</v>
      </c>
      <c r="E31" s="294"/>
      <c r="F31" s="295"/>
      <c r="G31" s="296" t="s">
        <v>574</v>
      </c>
      <c r="H31" s="297" t="s">
        <v>687</v>
      </c>
      <c r="I31" s="296" t="s">
        <v>1059</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299</v>
      </c>
      <c r="C32" s="293">
        <f ca="1">TblProd[[#This Row],[Techpoints]]</f>
        <v>350</v>
      </c>
      <c r="D32" s="293">
        <f ca="1">TblProd[[#This Row],[Required]]</f>
        <v>3750</v>
      </c>
      <c r="E32" s="294"/>
      <c r="F32" s="295"/>
      <c r="G32" s="296" t="s">
        <v>575</v>
      </c>
      <c r="H32" s="297" t="s">
        <v>698</v>
      </c>
      <c r="I32" s="296" t="s">
        <v>563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369</v>
      </c>
      <c r="C33" s="293">
        <f ca="1">TblProd[[#This Row],[Techpoints]]</f>
        <v>350</v>
      </c>
      <c r="D33" s="293">
        <f ca="1">TblProd[[#This Row],[Required]]</f>
        <v>3750</v>
      </c>
      <c r="E33" s="294"/>
      <c r="F33" s="295"/>
      <c r="G33" s="296" t="s">
        <v>576</v>
      </c>
      <c r="H33" s="297" t="s">
        <v>706</v>
      </c>
      <c r="I33" s="296" t="s">
        <v>745</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380</v>
      </c>
      <c r="C34" s="293">
        <f ca="1">TblProd[[#This Row],[Techpoints]]</f>
        <v>350</v>
      </c>
      <c r="D34" s="293">
        <f ca="1">TblProd[[#This Row],[Required]]</f>
        <v>3750</v>
      </c>
      <c r="E34" s="294"/>
      <c r="F34" s="295"/>
      <c r="G34" s="296" t="s">
        <v>577</v>
      </c>
      <c r="H34" s="297" t="s">
        <v>707</v>
      </c>
      <c r="I34" s="296" t="s">
        <v>578</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392</v>
      </c>
      <c r="C35" s="293">
        <f ca="1">TblProd[[#This Row],[Techpoints]]</f>
        <v>350</v>
      </c>
      <c r="D35" s="293">
        <f ca="1">TblProd[[#This Row],[Required]]</f>
        <v>3750</v>
      </c>
      <c r="E35" s="294"/>
      <c r="F35" s="295"/>
      <c r="G35" s="296" t="s">
        <v>579</v>
      </c>
      <c r="H35" s="297" t="s">
        <v>691</v>
      </c>
      <c r="I35" s="296" t="s">
        <v>552</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404</v>
      </c>
      <c r="C36" s="293">
        <f ca="1">TblProd[[#This Row],[Techpoints]]</f>
        <v>350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407</v>
      </c>
      <c r="C37" s="293">
        <f ca="1">TblProd[[#This Row],[Techpoints]]</f>
        <v>350</v>
      </c>
      <c r="D37" s="293">
        <f ca="1">TblProd[[#This Row],[Required]]</f>
        <v>3750</v>
      </c>
      <c r="E37" s="294"/>
      <c r="F37" s="295"/>
      <c r="G37" s="296" t="s">
        <v>581</v>
      </c>
      <c r="H37" s="297" t="s">
        <v>709</v>
      </c>
      <c r="I37" s="296" t="s">
        <v>759</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409</v>
      </c>
      <c r="C38" s="293">
        <f ca="1">TblProd[[#This Row],[Techpoints]]</f>
        <v>350</v>
      </c>
      <c r="D38" s="293">
        <f ca="1">TblProd[[#This Row],[Required]]</f>
        <v>3750</v>
      </c>
      <c r="E38" s="294"/>
      <c r="F38" s="295"/>
      <c r="G38" s="296" t="s">
        <v>582</v>
      </c>
      <c r="H38" s="297" t="s">
        <v>710</v>
      </c>
      <c r="I38" s="296" t="s">
        <v>629</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419</v>
      </c>
      <c r="C39" s="293">
        <f ca="1">TblProd[[#This Row],[Techpoints]]</f>
        <v>350</v>
      </c>
      <c r="D39" s="293">
        <f ca="1">TblProd[[#This Row],[Required]]</f>
        <v>3750</v>
      </c>
      <c r="E39" s="294"/>
      <c r="F39" s="295"/>
      <c r="G39" s="296" t="s">
        <v>583</v>
      </c>
      <c r="H39" s="297" t="s">
        <v>711</v>
      </c>
      <c r="I39" s="296" t="s">
        <v>1060</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419</v>
      </c>
      <c r="C40" s="293">
        <f ca="1">TblProd[[#This Row],[Techpoints]]</f>
        <v>350</v>
      </c>
      <c r="D40" s="293">
        <f ca="1">TblProd[[#This Row],[Required]]</f>
        <v>3750</v>
      </c>
      <c r="E40" s="294"/>
      <c r="F40" s="295"/>
      <c r="G40" s="296" t="s">
        <v>584</v>
      </c>
      <c r="H40" s="297" t="s">
        <v>712</v>
      </c>
      <c r="I40" s="296" t="s">
        <v>1108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419</v>
      </c>
      <c r="C41" s="293">
        <f ca="1">TblProd[[#This Row],[Techpoints]]</f>
        <v>350</v>
      </c>
      <c r="D41" s="293">
        <f ca="1">TblProd[[#This Row],[Required]]</f>
        <v>3750</v>
      </c>
      <c r="E41" s="294"/>
      <c r="F41" s="295"/>
      <c r="G41" s="296" t="s">
        <v>585</v>
      </c>
      <c r="H41" s="297" t="s">
        <v>1065</v>
      </c>
      <c r="I41" s="296" t="s">
        <v>1061</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419</v>
      </c>
      <c r="C42" s="293">
        <f ca="1">TblProd[[#This Row],[Techpoints]]</f>
        <v>350</v>
      </c>
      <c r="D42" s="293">
        <f ca="1">TblProd[[#This Row],[Required]]</f>
        <v>3750</v>
      </c>
      <c r="E42" s="294"/>
      <c r="F42" s="295"/>
      <c r="G42" s="296" t="s">
        <v>586</v>
      </c>
      <c r="H42" s="297" t="s">
        <v>714</v>
      </c>
      <c r="I42" s="296" t="s">
        <v>1103</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419</v>
      </c>
      <c r="C43" s="293">
        <f ca="1">TblProd[[#This Row],[Techpoints]]</f>
        <v>350</v>
      </c>
      <c r="D43" s="293">
        <f ca="1">TblProd[[#This Row],[Required]]</f>
        <v>3750</v>
      </c>
      <c r="E43" s="294"/>
      <c r="F43" s="295"/>
      <c r="G43" s="296" t="s">
        <v>588</v>
      </c>
      <c r="H43" s="297" t="s">
        <v>1067</v>
      </c>
      <c r="I43" s="296" t="s">
        <v>746</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501</v>
      </c>
      <c r="C44" s="293">
        <f ca="1">TblProd[[#This Row],[Techpoints]]</f>
        <v>350</v>
      </c>
      <c r="D44" s="293">
        <f ca="1">TblProd[[#This Row],[Required]]</f>
        <v>3750</v>
      </c>
      <c r="E44" s="294"/>
      <c r="F44" s="295"/>
      <c r="G44" s="296" t="s">
        <v>589</v>
      </c>
      <c r="H44" s="297" t="s">
        <v>713</v>
      </c>
      <c r="I44" s="296" t="s">
        <v>587</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510</v>
      </c>
      <c r="C45" s="293">
        <f ca="1">TblProd[[#This Row],[Techpoints]]</f>
        <v>350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520</v>
      </c>
      <c r="C46" s="293">
        <f ca="1">TblProd[[#This Row],[Techpoints]]</f>
        <v>350</v>
      </c>
      <c r="D46" s="293">
        <f ca="1">TblProd[[#This Row],[Required]]</f>
        <v>3750</v>
      </c>
      <c r="E46" s="294"/>
      <c r="F46" s="295"/>
      <c r="G46" s="296" t="s">
        <v>590</v>
      </c>
      <c r="H46" s="297" t="s">
        <v>717</v>
      </c>
      <c r="I46" s="296" t="s">
        <v>1062</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530</v>
      </c>
      <c r="C47" s="293">
        <f ca="1">TblProd[[#This Row],[Techpoints]]</f>
        <v>350</v>
      </c>
      <c r="D47" s="293">
        <f ca="1">TblProd[[#This Row],[Required]]</f>
        <v>3750</v>
      </c>
      <c r="E47" s="294"/>
      <c r="F47" s="295"/>
      <c r="G47" s="296" t="s">
        <v>591</v>
      </c>
      <c r="H47" s="297" t="s">
        <v>716</v>
      </c>
      <c r="I47" s="296" t="s">
        <v>1106</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540</v>
      </c>
      <c r="C48" s="293">
        <f ca="1">TblProd[[#This Row],[Techpoints]]</f>
        <v>350</v>
      </c>
      <c r="D48" s="293">
        <f ca="1">TblProd[[#This Row],[Required]]</f>
        <v>3750</v>
      </c>
      <c r="E48" s="294"/>
      <c r="F48" s="295"/>
      <c r="G48" s="296" t="s">
        <v>592</v>
      </c>
      <c r="H48" s="297" t="s">
        <v>718</v>
      </c>
      <c r="I48" s="296" t="s">
        <v>1059</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551</v>
      </c>
      <c r="C49" s="293">
        <f ca="1">TblProd[[#This Row],[Techpoints]]</f>
        <v>350</v>
      </c>
      <c r="D49" s="293">
        <f ca="1">TblProd[[#This Row],[Required]]</f>
        <v>3750</v>
      </c>
      <c r="E49" s="294"/>
      <c r="F49" s="295"/>
      <c r="G49" s="296" t="s">
        <v>593</v>
      </c>
      <c r="H49" s="297" t="s">
        <v>719</v>
      </c>
      <c r="I49" s="296" t="s">
        <v>630</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563</v>
      </c>
      <c r="C50" s="293">
        <f ca="1">TblProd[[#This Row],[Techpoints]]</f>
        <v>350</v>
      </c>
      <c r="D50" s="293">
        <f ca="1">TblProd[[#This Row],[Required]]</f>
        <v>3750</v>
      </c>
      <c r="E50" s="294"/>
      <c r="F50" s="295"/>
      <c r="G50" s="296" t="s">
        <v>594</v>
      </c>
      <c r="H50" s="297" t="s">
        <v>720</v>
      </c>
      <c r="I50" s="296" t="s">
        <v>1059</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576</v>
      </c>
      <c r="C51" s="293">
        <f ca="1">TblProd[[#This Row],[Techpoints]]</f>
        <v>700</v>
      </c>
      <c r="D51" s="293">
        <f ca="1">TblProd[[#This Row],[Required]]</f>
        <v>3750</v>
      </c>
      <c r="E51" s="294"/>
      <c r="F51" s="295"/>
      <c r="G51" s="296" t="s">
        <v>595</v>
      </c>
      <c r="H51" s="297" t="s">
        <v>394</v>
      </c>
      <c r="I51" s="296" t="s">
        <v>1063</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609</v>
      </c>
      <c r="C52" s="293">
        <f ca="1">TblProd[[#This Row],[Techpoints]]</f>
        <v>700</v>
      </c>
      <c r="D52" s="293">
        <f ca="1">TblProd[[#This Row],[Required]]</f>
        <v>3750</v>
      </c>
      <c r="E52" s="294"/>
      <c r="F52" s="295"/>
      <c r="G52" s="296" t="s">
        <v>596</v>
      </c>
      <c r="H52" s="297" t="s">
        <v>722</v>
      </c>
      <c r="I52" s="296" t="s">
        <v>631</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642</v>
      </c>
      <c r="C53" s="293">
        <f ca="1">TblProd[[#This Row],[Techpoints]]</f>
        <v>700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656</v>
      </c>
      <c r="C54" s="293">
        <f ca="1">TblProd[[#This Row],[Techpoints]]</f>
        <v>700</v>
      </c>
      <c r="D54" s="293">
        <f ca="1">TblProd[[#This Row],[Required]]</f>
        <v>3750</v>
      </c>
      <c r="E54" s="294"/>
      <c r="F54" s="295"/>
      <c r="G54" s="296" t="s">
        <v>597</v>
      </c>
      <c r="H54" s="297" t="s">
        <v>723</v>
      </c>
      <c r="I54" s="296" t="s">
        <v>563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669</v>
      </c>
      <c r="C55" s="293">
        <f ca="1">TblProd[[#This Row],[Techpoints]]</f>
        <v>700</v>
      </c>
      <c r="D55" s="293">
        <f ca="1">TblProd[[#This Row],[Required]]</f>
        <v>3750</v>
      </c>
      <c r="E55" s="294"/>
      <c r="F55" s="295"/>
      <c r="G55" s="296" t="s">
        <v>598</v>
      </c>
      <c r="H55" s="297" t="s">
        <v>724</v>
      </c>
      <c r="I55" s="296" t="s">
        <v>599</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680</v>
      </c>
      <c r="C56" s="293">
        <f ca="1">TblProd[[#This Row],[Techpoints]]</f>
        <v>700</v>
      </c>
      <c r="D56" s="293">
        <f ca="1">TblProd[[#This Row],[Required]]</f>
        <v>3750</v>
      </c>
      <c r="E56" s="294"/>
      <c r="F56" s="295"/>
      <c r="G56" s="296" t="s">
        <v>600</v>
      </c>
      <c r="H56" s="297" t="s">
        <v>1068</v>
      </c>
      <c r="I56" s="296" t="s">
        <v>1112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692</v>
      </c>
      <c r="C57" s="293">
        <f ca="1">TblProd[[#This Row],[Techpoints]]</f>
        <v>700</v>
      </c>
      <c r="D57" s="293">
        <f ca="1">TblProd[[#This Row],[Required]]</f>
        <v>3750</v>
      </c>
      <c r="E57" s="294"/>
      <c r="F57" s="295"/>
      <c r="G57" s="296" t="s">
        <v>601</v>
      </c>
      <c r="H57" s="297" t="s">
        <v>725</v>
      </c>
      <c r="I57" s="296" t="s">
        <v>602</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700</v>
      </c>
      <c r="C58" s="293">
        <f ca="1">TblProd[[#This Row],[Techpoints]]</f>
        <v>700</v>
      </c>
      <c r="D58" s="293">
        <f ca="1">TblProd[[#This Row],[Required]]</f>
        <v>3750</v>
      </c>
      <c r="E58" s="294"/>
      <c r="F58" s="295"/>
      <c r="G58" s="296" t="s">
        <v>603</v>
      </c>
      <c r="H58" s="297" t="s">
        <v>721</v>
      </c>
      <c r="I58" s="296" t="s">
        <v>1121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700</v>
      </c>
      <c r="C59" s="293">
        <f ca="1">TblProd[[#This Row],[Techpoints]]</f>
        <v>700</v>
      </c>
      <c r="D59" s="293">
        <f ca="1">TblProd[[#This Row],[Required]]</f>
        <v>3750</v>
      </c>
      <c r="E59" s="294"/>
      <c r="F59" s="295"/>
      <c r="G59" s="296" t="s">
        <v>604</v>
      </c>
      <c r="H59" s="297" t="s">
        <v>727</v>
      </c>
      <c r="I59" s="296" t="s">
        <v>747</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700</v>
      </c>
      <c r="C60" s="293">
        <f ca="1">TblProd[[#This Row],[Techpoints]]</f>
        <v>700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700</v>
      </c>
      <c r="C61" s="293">
        <f ca="1">TblProd[[#This Row],[Techpoints]]</f>
        <v>700</v>
      </c>
      <c r="D61" s="293">
        <f ca="1">TblProd[[#This Row],[Required]]</f>
        <v>3750</v>
      </c>
      <c r="E61" s="294"/>
      <c r="F61" s="295"/>
      <c r="G61" s="296" t="s">
        <v>605</v>
      </c>
      <c r="H61" s="297" t="s">
        <v>728</v>
      </c>
      <c r="I61" s="296" t="s">
        <v>606</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700</v>
      </c>
      <c r="C62" s="293">
        <f ca="1">TblProd[[#This Row],[Techpoints]]</f>
        <v>700</v>
      </c>
      <c r="D62" s="293">
        <f ca="1">TblProd[[#This Row],[Required]]</f>
        <v>3750</v>
      </c>
      <c r="E62" s="294"/>
      <c r="F62" s="295"/>
      <c r="G62" s="296" t="s">
        <v>607</v>
      </c>
      <c r="H62" s="297" t="s">
        <v>732</v>
      </c>
      <c r="I62" s="296" t="s">
        <v>1064</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700</v>
      </c>
      <c r="C63" s="293">
        <f ca="1">TblProd[[#This Row],[Techpoints]]</f>
        <v>700</v>
      </c>
      <c r="D63" s="293">
        <f ca="1">TblProd[[#This Row],[Required]]</f>
        <v>3750</v>
      </c>
      <c r="E63" s="294"/>
      <c r="F63" s="295"/>
      <c r="G63" s="296" t="s">
        <v>609</v>
      </c>
      <c r="H63" s="297" t="s">
        <v>1069</v>
      </c>
      <c r="I63" s="296" t="s">
        <v>748</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700</v>
      </c>
      <c r="C64" s="293">
        <f ca="1">TblProd[[#This Row],[Techpoints]]</f>
        <v>1050</v>
      </c>
      <c r="D64" s="293">
        <f ca="1">TblProd[[#This Row],[Required]]</f>
        <v>3750</v>
      </c>
      <c r="E64" s="294"/>
      <c r="F64" s="295"/>
      <c r="G64" s="296" t="s">
        <v>610</v>
      </c>
      <c r="H64" s="297" t="s">
        <v>730</v>
      </c>
      <c r="I64" s="296" t="s">
        <v>632</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700</v>
      </c>
      <c r="C65" s="293">
        <f ca="1">TblProd[[#This Row],[Techpoints]]</f>
        <v>1050</v>
      </c>
      <c r="D65" s="293">
        <f ca="1">TblProd[[#This Row],[Required]]</f>
        <v>3750</v>
      </c>
      <c r="E65" s="294"/>
      <c r="F65" s="295"/>
      <c r="G65" s="296" t="s">
        <v>611</v>
      </c>
      <c r="H65" s="297" t="s">
        <v>731</v>
      </c>
      <c r="I65" s="296" t="s">
        <v>612</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700</v>
      </c>
      <c r="C66" s="293">
        <f ca="1">TblProd[[#This Row],[Techpoints]]</f>
        <v>1050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700</v>
      </c>
      <c r="C67" s="293">
        <f ca="1">TblProd[[#This Row],[Techpoints]]</f>
        <v>1050</v>
      </c>
      <c r="D67" s="293">
        <f ca="1">TblProd[[#This Row],[Required]]</f>
        <v>3750</v>
      </c>
      <c r="E67" s="294"/>
      <c r="F67" s="295"/>
      <c r="G67" s="296" t="s">
        <v>613</v>
      </c>
      <c r="H67" s="297" t="s">
        <v>1070</v>
      </c>
      <c r="I67" s="296" t="s">
        <v>749</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700</v>
      </c>
      <c r="C68" s="293">
        <f ca="1">TblProd[[#This Row],[Techpoints]]</f>
        <v>1050</v>
      </c>
      <c r="D68" s="293">
        <f ca="1">TblProd[[#This Row],[Required]]</f>
        <v>3750</v>
      </c>
      <c r="E68" s="294"/>
      <c r="F68" s="295"/>
      <c r="G68" s="296" t="s">
        <v>614</v>
      </c>
      <c r="H68" s="297" t="s">
        <v>733</v>
      </c>
      <c r="I68" s="296" t="s">
        <v>615</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700</v>
      </c>
      <c r="C69" s="293">
        <f ca="1">TblProd[[#This Row],[Techpoints]]</f>
        <v>1050</v>
      </c>
      <c r="D69" s="293">
        <f ca="1">TblProd[[#This Row],[Required]]</f>
        <v>3750</v>
      </c>
      <c r="E69" s="294"/>
      <c r="F69" s="295"/>
      <c r="G69" s="296" t="s">
        <v>616</v>
      </c>
      <c r="H69" s="297" t="s">
        <v>734</v>
      </c>
      <c r="I69" s="296" t="s">
        <v>617</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700</v>
      </c>
      <c r="C70" s="293">
        <f ca="1">TblProd[[#This Row],[Techpoints]]</f>
        <v>1050</v>
      </c>
      <c r="D70" s="293">
        <f ca="1">TblProd[[#This Row],[Required]]</f>
        <v>3750</v>
      </c>
      <c r="E70" s="294"/>
      <c r="F70" s="295"/>
      <c r="G70" s="296" t="s">
        <v>618</v>
      </c>
      <c r="H70" s="297" t="s">
        <v>735</v>
      </c>
      <c r="I70" s="296" t="s">
        <v>760</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700</v>
      </c>
      <c r="C71" s="293">
        <f ca="1">TblProd[[#This Row],[Techpoints]]</f>
        <v>1050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700</v>
      </c>
      <c r="C72" s="293">
        <f ca="1">TblProd[[#This Row],[Techpoints]]</f>
        <v>1050</v>
      </c>
      <c r="D72" s="293">
        <f ca="1">TblProd[[#This Row],[Required]]</f>
        <v>3750</v>
      </c>
      <c r="E72" s="294"/>
      <c r="F72" s="295"/>
      <c r="G72" s="296" t="s">
        <v>619</v>
      </c>
      <c r="H72" s="297" t="s">
        <v>736</v>
      </c>
      <c r="I72" s="296" t="s">
        <v>620</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700</v>
      </c>
      <c r="C73" s="293">
        <f ca="1">TblProd[[#This Row],[Techpoints]]</f>
        <v>1050</v>
      </c>
      <c r="D73" s="293">
        <f ca="1">TblProd[[#This Row],[Required]]</f>
        <v>3750</v>
      </c>
      <c r="E73" s="294"/>
      <c r="F73" s="295"/>
      <c r="G73" s="296" t="s">
        <v>621</v>
      </c>
      <c r="H73" s="297" t="s">
        <v>737</v>
      </c>
      <c r="I73" s="296" t="s">
        <v>557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700</v>
      </c>
      <c r="C74" s="293">
        <f ca="1">TblProd[[#This Row],[Techpoints]]</f>
        <v>1050</v>
      </c>
      <c r="D74" s="293">
        <f ca="1">TblProd[[#This Row],[Required]]</f>
        <v>3750</v>
      </c>
      <c r="E74" s="294"/>
      <c r="F74" s="295"/>
      <c r="G74" s="296" t="s">
        <v>622</v>
      </c>
      <c r="H74" s="297" t="s">
        <v>738</v>
      </c>
      <c r="I74" s="296" t="s">
        <v>761</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700</v>
      </c>
      <c r="C75" s="293">
        <f ca="1">TblProd[[#This Row],[Techpoints]]</f>
        <v>1050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700</v>
      </c>
      <c r="C76" s="293">
        <f ca="1">TblProd[[#This Row],[Techpoints]]</f>
        <v>1050</v>
      </c>
      <c r="D76" s="293">
        <f ca="1">TblProd[[#This Row],[Required]]</f>
        <v>3750</v>
      </c>
      <c r="E76" s="294"/>
      <c r="F76" s="295"/>
      <c r="G76" s="296" t="s">
        <v>623</v>
      </c>
      <c r="H76" s="297" t="s">
        <v>729</v>
      </c>
      <c r="I76" s="296" t="s">
        <v>608</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700</v>
      </c>
      <c r="C77" s="293">
        <f ca="1">TblProd[[#This Row],[Techpoints]]</f>
        <v>1050</v>
      </c>
      <c r="D77" s="293">
        <f ca="1">TblProd[[#This Row],[Required]]</f>
        <v>3750</v>
      </c>
      <c r="E77" s="294"/>
      <c r="F77" s="295"/>
      <c r="G77" s="296" t="s">
        <v>625</v>
      </c>
      <c r="H77" s="297" t="s">
        <v>739</v>
      </c>
      <c r="I77" s="296" t="s">
        <v>624</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700</v>
      </c>
      <c r="C78" s="293">
        <f ca="1">TblProd[[#This Row],[Techpoints]]</f>
        <v>1050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700</v>
      </c>
      <c r="C79" s="293">
        <f ca="1">TblProd[[#This Row],[Techpoints]]</f>
        <v>1050</v>
      </c>
      <c r="D79" s="293">
        <f ca="1">TblProd[[#This Row],[Required]]</f>
        <v>3750</v>
      </c>
      <c r="E79" s="294"/>
      <c r="F79" s="295"/>
      <c r="G79" s="296" t="s">
        <v>626</v>
      </c>
      <c r="H79" s="297" t="s">
        <v>740</v>
      </c>
      <c r="I79" s="296" t="s">
        <v>627</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700</v>
      </c>
      <c r="C80" s="293">
        <f ca="1">TblProd[[#This Row],[Techpoints]]</f>
        <v>1400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700</v>
      </c>
      <c r="C81" s="293">
        <f ca="1">TblProd[[#This Row],[Techpoints]]</f>
        <v>1400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700</v>
      </c>
      <c r="C82" s="293">
        <f ca="1">TblProd[[#This Row],[Techpoints]]</f>
        <v>1400</v>
      </c>
      <c r="D82" s="293">
        <f ca="1">TblProd[[#This Row],[Required]]</f>
        <v>3750</v>
      </c>
      <c r="E82" s="302"/>
      <c r="F82" s="303"/>
      <c r="G82" s="296" t="s">
        <v>983</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700</v>
      </c>
      <c r="C83" s="293">
        <f ca="1">TblProd[[#This Row],[Techpoints]]</f>
        <v>1400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700</v>
      </c>
      <c r="C84" s="293">
        <f ca="1">TblProd[[#This Row],[Techpoints]]</f>
        <v>1400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700</v>
      </c>
      <c r="C85" s="293">
        <f ca="1">TblProd[[#This Row],[Techpoints]]</f>
        <v>1400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700</v>
      </c>
      <c r="C86" s="293">
        <f ca="1">TblProd[[#This Row],[Techpoints]]</f>
        <v>1400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700</v>
      </c>
      <c r="C87" s="293">
        <f ca="1">TblProd[[#This Row],[Techpoints]]</f>
        <v>1400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700</v>
      </c>
      <c r="C88" s="293">
        <f ca="1">TblProd[[#This Row],[Techpoints]]</f>
        <v>1400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700</v>
      </c>
      <c r="C89" s="293">
        <f ca="1">TblProd[[#This Row],[Techpoints]]</f>
        <v>1400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700</v>
      </c>
      <c r="C90" s="293">
        <f ca="1">TblProd[[#This Row],[Techpoints]]</f>
        <v>1400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700</v>
      </c>
      <c r="C91" s="293">
        <f ca="1">TblProd[[#This Row],[Techpoints]]</f>
        <v>1400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700</v>
      </c>
      <c r="C92" s="293">
        <f ca="1">TblProd[[#This Row],[Techpoints]]</f>
        <v>1400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700</v>
      </c>
      <c r="C93" s="293">
        <f ca="1">TblProd[[#This Row],[Techpoints]]</f>
        <v>1400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700</v>
      </c>
      <c r="C94" s="293">
        <f ca="1">TblProd[[#This Row],[Techpoints]]</f>
        <v>1400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700</v>
      </c>
      <c r="C95" s="293">
        <f ca="1">TblProd[[#This Row],[Techpoints]]</f>
        <v>1400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700</v>
      </c>
      <c r="C96" s="293">
        <f ca="1">TblProd[[#This Row],[Techpoints]]</f>
        <v>1400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700</v>
      </c>
      <c r="C97" s="293">
        <f ca="1">TblProd[[#This Row],[Techpoints]]</f>
        <v>1400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700</v>
      </c>
      <c r="C98" s="293">
        <f ca="1">TblProd[[#This Row],[Techpoints]]</f>
        <v>1400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700</v>
      </c>
      <c r="C99" s="293">
        <f ca="1">TblProd[[#This Row],[Techpoints]]</f>
        <v>1400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700</v>
      </c>
      <c r="C100" s="293">
        <f ca="1">TblProd[[#This Row],[Techpoints]]</f>
        <v>1400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700</v>
      </c>
      <c r="C101" s="293">
        <f ca="1">TblProd[[#This Row],[Techpoints]]</f>
        <v>1400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700</v>
      </c>
      <c r="C102" s="293">
        <f ca="1">TblProd[[#This Row],[Techpoints]]</f>
        <v>1400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700</v>
      </c>
      <c r="C103" s="293">
        <f ca="1">TblProd[[#This Row],[Techpoints]]</f>
        <v>1400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700</v>
      </c>
      <c r="C104" s="293">
        <f ca="1">TblProd[[#This Row],[Techpoints]]</f>
        <v>1400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700</v>
      </c>
      <c r="C105" s="293">
        <f ca="1">TblProd[[#This Row],[Techpoints]]</f>
        <v>1400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700</v>
      </c>
      <c r="C106" s="293">
        <f ca="1">TblProd[[#This Row],[Techpoints]]</f>
        <v>1400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700</v>
      </c>
      <c r="C107" s="293">
        <f ca="1">TblProd[[#This Row],[Techpoints]]</f>
        <v>1400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700</v>
      </c>
      <c r="C108" s="293">
        <f ca="1">TblProd[[#This Row],[Techpoints]]</f>
        <v>1400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700</v>
      </c>
      <c r="C109" s="293">
        <f ca="1">TblProd[[#This Row],[Techpoints]]</f>
        <v>1400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700</v>
      </c>
      <c r="C110" s="293">
        <f ca="1">TblProd[[#This Row],[Techpoints]]</f>
        <v>1400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700</v>
      </c>
      <c r="C111" s="293">
        <f ca="1">TblProd[[#This Row],[Techpoints]]</f>
        <v>1400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700</v>
      </c>
      <c r="C112" s="293">
        <f ca="1">TblProd[[#This Row],[Techpoints]]</f>
        <v>1400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700</v>
      </c>
      <c r="C113" s="293">
        <f ca="1">TblProd[[#This Row],[Techpoints]]</f>
        <v>1400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700</v>
      </c>
      <c r="C114" s="293">
        <f ca="1">TblProd[[#This Row],[Techpoints]]</f>
        <v>1400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700</v>
      </c>
      <c r="C115" s="293">
        <f ca="1">TblProd[[#This Row],[Techpoints]]</f>
        <v>1400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700</v>
      </c>
      <c r="C116" s="293">
        <f ca="1">TblProd[[#This Row],[Techpoints]]</f>
        <v>1400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700</v>
      </c>
      <c r="C117" s="293">
        <f ca="1">TblProd[[#This Row],[Techpoints]]</f>
        <v>1400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700</v>
      </c>
      <c r="C118" s="293">
        <f ca="1">TblProd[[#This Row],[Techpoints]]</f>
        <v>1400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700</v>
      </c>
      <c r="C119" s="293">
        <f ca="1">TblProd[[#This Row],[Techpoints]]</f>
        <v>1400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700</v>
      </c>
      <c r="C120" s="293">
        <f ca="1">TblProd[[#This Row],[Techpoints]]</f>
        <v>1400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700</v>
      </c>
      <c r="C121" s="293">
        <f ca="1">TblProd[[#This Row],[Techpoints]]</f>
        <v>1400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700</v>
      </c>
      <c r="C122" s="293">
        <f ca="1">TblProd[[#This Row],[Techpoints]]</f>
        <v>1400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700</v>
      </c>
      <c r="C123" s="293">
        <f ca="1">TblProd[[#This Row],[Techpoints]]</f>
        <v>1400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700</v>
      </c>
      <c r="C124" s="293">
        <f ca="1">TblProd[[#This Row],[Techpoints]]</f>
        <v>1400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700</v>
      </c>
      <c r="C125" s="293">
        <f ca="1">TblProd[[#This Row],[Techpoints]]</f>
        <v>1400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700</v>
      </c>
      <c r="C126" s="293">
        <f ca="1">TblProd[[#This Row],[Techpoints]]</f>
        <v>1400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700</v>
      </c>
      <c r="C127" s="293">
        <f ca="1">TblProd[[#This Row],[Techpoints]]</f>
        <v>1400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700</v>
      </c>
      <c r="C128" s="293">
        <f ca="1">TblProd[[#This Row],[Techpoints]]</f>
        <v>1400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700</v>
      </c>
      <c r="C129" s="293">
        <f ca="1">TblProd[[#This Row],[Techpoints]]</f>
        <v>1400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700</v>
      </c>
      <c r="C130" s="293">
        <f ca="1">TblProd[[#This Row],[Techpoints]]</f>
        <v>1400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700</v>
      </c>
      <c r="C131" s="293">
        <f ca="1">TblProd[[#This Row],[Techpoints]]</f>
        <v>1400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700</v>
      </c>
      <c r="C132" s="293">
        <f ca="1">TblProd[[#This Row],[Techpoints]]</f>
        <v>1400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700</v>
      </c>
      <c r="C133" s="293">
        <f ca="1">TblProd[[#This Row],[Techpoints]]</f>
        <v>1400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700</v>
      </c>
      <c r="C134" s="293">
        <f ca="1">TblProd[[#This Row],[Techpoints]]</f>
        <v>1400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700</v>
      </c>
      <c r="C135" s="293">
        <f ca="1">TblProd[[#This Row],[Techpoints]]</f>
        <v>1400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700</v>
      </c>
      <c r="C136" s="293">
        <f ca="1">TblProd[[#This Row],[Techpoints]]</f>
        <v>1400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282</v>
      </c>
      <c r="K1" s="28"/>
      <c r="O1" s="5" t="s">
        <v>216</v>
      </c>
      <c r="W1" s="5" t="s">
        <v>1011</v>
      </c>
      <c r="Y1" s="28" t="s">
        <v>37</v>
      </c>
      <c r="Z1" s="28"/>
      <c r="AA1" s="28"/>
      <c r="AB1" s="28"/>
      <c r="AC1" s="28"/>
      <c r="AD1" s="28"/>
      <c r="AF1" s="497" t="s">
        <v>210</v>
      </c>
      <c r="AG1" s="497"/>
      <c r="AH1" s="28"/>
      <c r="AI1" s="28"/>
      <c r="AJ1" s="28"/>
      <c r="AK1" s="28"/>
      <c r="AM1" s="497" t="s">
        <v>218</v>
      </c>
      <c r="AN1" s="497"/>
      <c r="AO1" s="28"/>
      <c r="AP1" s="28"/>
      <c r="AR1" s="497" t="s">
        <v>219</v>
      </c>
      <c r="AS1" s="497"/>
      <c r="AT1" s="498"/>
      <c r="AU1" s="28"/>
      <c r="AW1" s="497" t="s">
        <v>220</v>
      </c>
      <c r="AX1" s="497"/>
      <c r="AY1" s="497"/>
      <c r="AZ1" s="28"/>
      <c r="BB1" s="497" t="s">
        <v>221</v>
      </c>
      <c r="BC1" s="497"/>
      <c r="BD1" s="497"/>
      <c r="BE1" s="497"/>
      <c r="BG1" s="497" t="s">
        <v>222</v>
      </c>
      <c r="BH1" s="497"/>
      <c r="BI1" s="497"/>
      <c r="BJ1" s="28"/>
      <c r="BL1" s="497" t="s">
        <v>223</v>
      </c>
      <c r="BM1" s="498"/>
      <c r="BN1" s="498"/>
      <c r="BO1" s="28"/>
      <c r="BQ1" s="497" t="s">
        <v>224</v>
      </c>
      <c r="BR1" s="497"/>
      <c r="BS1" s="497"/>
      <c r="BT1" s="28"/>
      <c r="BV1" s="5" t="s">
        <v>308</v>
      </c>
    </row>
    <row r="2" spans="1:84" s="5" customFormat="1" x14ac:dyDescent="0.2">
      <c r="C2" s="28"/>
      <c r="D2" s="28"/>
      <c r="E2" s="28"/>
      <c r="F2" s="28"/>
      <c r="K2" s="28"/>
      <c r="Y2" s="289" t="s">
        <v>209</v>
      </c>
      <c r="Z2" s="289" t="s">
        <v>211</v>
      </c>
      <c r="AA2" s="289" t="s">
        <v>212</v>
      </c>
      <c r="AB2" s="289" t="s">
        <v>213</v>
      </c>
      <c r="AC2" s="289" t="s">
        <v>214</v>
      </c>
      <c r="AD2" s="289" t="s">
        <v>215</v>
      </c>
      <c r="AF2" s="289" t="s">
        <v>209</v>
      </c>
      <c r="AG2" s="289" t="s">
        <v>211</v>
      </c>
      <c r="AH2" s="289" t="s">
        <v>212</v>
      </c>
      <c r="AI2" s="289" t="s">
        <v>213</v>
      </c>
      <c r="AJ2" s="289" t="s">
        <v>214</v>
      </c>
      <c r="AK2" s="289" t="s">
        <v>215</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774</v>
      </c>
      <c r="C3" s="138" t="s">
        <v>2</v>
      </c>
      <c r="D3" s="138" t="s">
        <v>7</v>
      </c>
      <c r="E3" s="138" t="s">
        <v>3</v>
      </c>
      <c r="F3" s="138" t="s">
        <v>4</v>
      </c>
      <c r="G3" s="138" t="s">
        <v>775</v>
      </c>
      <c r="H3" s="138" t="s">
        <v>274</v>
      </c>
      <c r="I3" s="138" t="s">
        <v>225</v>
      </c>
      <c r="J3" s="138" t="s">
        <v>23</v>
      </c>
      <c r="K3" s="138" t="s">
        <v>0</v>
      </c>
      <c r="L3" s="138" t="s">
        <v>311</v>
      </c>
      <c r="M3" s="138" t="s">
        <v>307</v>
      </c>
      <c r="N3" s="138" t="s">
        <v>972</v>
      </c>
      <c r="O3" s="138" t="s">
        <v>314</v>
      </c>
      <c r="P3" s="138" t="s">
        <v>217</v>
      </c>
      <c r="Q3" s="138" t="s">
        <v>315</v>
      </c>
      <c r="R3" s="138" t="s">
        <v>973</v>
      </c>
      <c r="S3" s="138" t="s">
        <v>974</v>
      </c>
      <c r="T3" s="138" t="s">
        <v>975</v>
      </c>
      <c r="U3" s="138" t="s">
        <v>976</v>
      </c>
      <c r="V3" s="138" t="s">
        <v>977</v>
      </c>
      <c r="W3" s="138" t="s">
        <v>978</v>
      </c>
      <c r="X3" s="138" t="s">
        <v>776</v>
      </c>
      <c r="Y3" s="138" t="s">
        <v>209</v>
      </c>
      <c r="Z3" s="138" t="s">
        <v>211</v>
      </c>
      <c r="AA3" s="138" t="s">
        <v>212</v>
      </c>
      <c r="AB3" s="138" t="s">
        <v>213</v>
      </c>
      <c r="AC3" s="138" t="s">
        <v>214</v>
      </c>
      <c r="AD3" s="138" t="s">
        <v>215</v>
      </c>
      <c r="AE3" s="138" t="s">
        <v>791</v>
      </c>
      <c r="AF3" s="138" t="s">
        <v>1041</v>
      </c>
      <c r="AG3" s="138" t="s">
        <v>939</v>
      </c>
      <c r="AH3" s="138" t="s">
        <v>940</v>
      </c>
      <c r="AI3" s="138" t="s">
        <v>941</v>
      </c>
      <c r="AJ3" s="138" t="s">
        <v>942</v>
      </c>
      <c r="AK3" s="138" t="s">
        <v>943</v>
      </c>
      <c r="AL3" s="138" t="s">
        <v>792</v>
      </c>
      <c r="AM3" s="258" t="s">
        <v>944</v>
      </c>
      <c r="AN3" s="258" t="s">
        <v>945</v>
      </c>
      <c r="AO3" s="258" t="s">
        <v>946</v>
      </c>
      <c r="AP3" s="258" t="s">
        <v>947</v>
      </c>
      <c r="AQ3" s="258" t="s">
        <v>793</v>
      </c>
      <c r="AR3" s="258" t="s">
        <v>948</v>
      </c>
      <c r="AS3" s="258" t="s">
        <v>949</v>
      </c>
      <c r="AT3" s="258" t="s">
        <v>950</v>
      </c>
      <c r="AU3" s="258" t="s">
        <v>951</v>
      </c>
      <c r="AV3" s="258" t="s">
        <v>867</v>
      </c>
      <c r="AW3" s="258" t="s">
        <v>952</v>
      </c>
      <c r="AX3" s="258" t="s">
        <v>953</v>
      </c>
      <c r="AY3" s="258" t="s">
        <v>954</v>
      </c>
      <c r="AZ3" s="258" t="s">
        <v>955</v>
      </c>
      <c r="BA3" s="258" t="s">
        <v>868</v>
      </c>
      <c r="BB3" s="258" t="s">
        <v>956</v>
      </c>
      <c r="BC3" s="258" t="s">
        <v>957</v>
      </c>
      <c r="BD3" s="258" t="s">
        <v>958</v>
      </c>
      <c r="BE3" s="258" t="s">
        <v>959</v>
      </c>
      <c r="BF3" s="258" t="s">
        <v>1042</v>
      </c>
      <c r="BG3" s="258" t="s">
        <v>960</v>
      </c>
      <c r="BH3" s="258" t="s">
        <v>961</v>
      </c>
      <c r="BI3" s="258" t="s">
        <v>962</v>
      </c>
      <c r="BJ3" s="258" t="s">
        <v>963</v>
      </c>
      <c r="BK3" s="258" t="s">
        <v>1043</v>
      </c>
      <c r="BL3" s="258" t="s">
        <v>964</v>
      </c>
      <c r="BM3" s="258" t="s">
        <v>965</v>
      </c>
      <c r="BN3" s="258" t="s">
        <v>966</v>
      </c>
      <c r="BO3" s="258" t="s">
        <v>967</v>
      </c>
      <c r="BP3" s="258" t="s">
        <v>1044</v>
      </c>
      <c r="BQ3" s="258" t="s">
        <v>968</v>
      </c>
      <c r="BR3" s="258" t="s">
        <v>969</v>
      </c>
      <c r="BS3" s="258" t="s">
        <v>970</v>
      </c>
      <c r="BT3" s="258" t="s">
        <v>971</v>
      </c>
      <c r="BU3" s="138" t="s">
        <v>1045</v>
      </c>
      <c r="BV3" s="305" t="s">
        <v>309</v>
      </c>
      <c r="BW3" s="138" t="s">
        <v>979</v>
      </c>
      <c r="BX3" s="138" t="s">
        <v>1046</v>
      </c>
      <c r="BY3" s="138" t="s">
        <v>980</v>
      </c>
      <c r="BZ3" s="138" t="s">
        <v>310</v>
      </c>
    </row>
    <row r="4" spans="1:84" x14ac:dyDescent="0.2">
      <c r="A4" s="225">
        <f ca="1">TblConstr[[#This Row],[Land]]</f>
        <v>250</v>
      </c>
      <c r="B4" s="145"/>
      <c r="C4" s="97">
        <f ca="1">TblProd[[#This Row],[Platinum]]</f>
        <v>9830</v>
      </c>
      <c r="D4" s="97">
        <f ca="1">TblProd[[#This Row],[Lumber]]</f>
        <v>0</v>
      </c>
      <c r="E4" s="97">
        <f ca="1">TblProd[[#This Row],[Ore]]</f>
        <v>0</v>
      </c>
      <c r="F4" s="97">
        <f>TblProd[[#This Row],[Gems]]</f>
        <v>0</v>
      </c>
      <c r="G4" s="157"/>
      <c r="H4" s="97">
        <f ca="1">TblMili[[#This Row],[Draftees]]</f>
        <v>300</v>
      </c>
      <c r="I4" s="183">
        <f ca="1">TblPop[[#This Row],[Employment]]</f>
        <v>1</v>
      </c>
      <c r="J4" s="183">
        <f ca="1">TblPop[[#This Row],[Total]]/TblPop[[#This Row],[Net max]]</f>
        <v>0.64646464646464652</v>
      </c>
      <c r="K4" s="306">
        <f>TblRezone[[#This Row],[Hour]]</f>
        <v>1</v>
      </c>
      <c r="L4" s="307">
        <f>TblImps[[#This Row],[Real time]]</f>
        <v>45429.75</v>
      </c>
      <c r="M4" s="62">
        <f>IF(ISERROR(TblImps[[#This Row],[algorithm]]),0,TblImps[[#This Row],[algorithm]]*1)</f>
        <v>1</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45429.75</v>
      </c>
      <c r="BZ4" s="313">
        <f>Overview!B15</f>
        <v>45430</v>
      </c>
      <c r="CA4" s="57"/>
      <c r="CB4" s="314"/>
      <c r="CC4" s="315"/>
    </row>
    <row r="5" spans="1:84" x14ac:dyDescent="0.2">
      <c r="A5" s="225">
        <f ca="1">TblConstr[[#This Row],[Land]]</f>
        <v>250</v>
      </c>
      <c r="B5" s="145"/>
      <c r="C5" s="97">
        <f ca="1">TblProd[[#This Row],[Platinum]]</f>
        <v>15140</v>
      </c>
      <c r="D5" s="97">
        <f ca="1">TblProd[[#This Row],[Lumber]]</f>
        <v>0</v>
      </c>
      <c r="E5" s="97">
        <f ca="1">TblProd[[#This Row],[Ore]]</f>
        <v>0</v>
      </c>
      <c r="F5" s="97">
        <f ca="1">TblProd[[#This Row],[Gems]]</f>
        <v>0</v>
      </c>
      <c r="G5" s="157"/>
      <c r="H5" s="97">
        <f ca="1">TblMili[[#This Row],[Draftees]]</f>
        <v>313</v>
      </c>
      <c r="I5" s="183">
        <f ca="1">TblPop[[#This Row],[Employment]]</f>
        <v>1</v>
      </c>
      <c r="J5" s="183">
        <f ca="1">TblPop[[#This Row],[Total]]/TblPop[[#This Row],[Net max]]</f>
        <v>0.42296774193548387</v>
      </c>
      <c r="K5" s="306">
        <f>TblRezone[[#This Row],[Hour]]</f>
        <v>2</v>
      </c>
      <c r="L5" s="307">
        <f ca="1">TblImps[[#This Row],[Real time]]</f>
        <v>45429.791666666664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45429.791666666664</v>
      </c>
      <c r="BZ5" s="317">
        <f ca="1">OFFSET(TblImps[[#This Row],[Servertime]],-1,0)+1/24</f>
        <v>45430.041666666664</v>
      </c>
      <c r="CA5" s="57"/>
      <c r="CB5" s="315"/>
      <c r="CC5" s="315"/>
    </row>
    <row r="6" spans="1:84" x14ac:dyDescent="0.2">
      <c r="A6" s="225">
        <f ca="1">TblConstr[[#This Row],[Land]]</f>
        <v>250</v>
      </c>
      <c r="B6" s="145"/>
      <c r="C6" s="97">
        <f ca="1">TblProd[[#This Row],[Platinum]]</f>
        <v>20520</v>
      </c>
      <c r="D6" s="97">
        <f ca="1">TblProd[[#This Row],[Lumber]]</f>
        <v>0</v>
      </c>
      <c r="E6" s="97">
        <f ca="1">TblProd[[#This Row],[Ore]]</f>
        <v>0</v>
      </c>
      <c r="F6" s="97">
        <f ca="1">TblProd[[#This Row],[Gems]]</f>
        <v>0</v>
      </c>
      <c r="G6" s="157"/>
      <c r="H6" s="97">
        <f ca="1">TblMili[[#This Row],[Draftees]]</f>
        <v>326</v>
      </c>
      <c r="I6" s="183">
        <f ca="1">TblPop[[#This Row],[Employment]]</f>
        <v>1</v>
      </c>
      <c r="J6" s="183">
        <f ca="1">TblPop[[#This Row],[Total]]/TblPop[[#This Row],[Net max]]</f>
        <v>0.43303225806451612</v>
      </c>
      <c r="K6" s="306">
        <f>TblRezone[[#This Row],[Hour]]</f>
        <v>3</v>
      </c>
      <c r="L6" s="307">
        <f ca="1">TblImps[[#This Row],[Real time]]</f>
        <v>45429.833333333328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45429.833333333328</v>
      </c>
      <c r="BZ6" s="317">
        <f ca="1">OFFSET(TblImps[[#This Row],[Servertime]],-1,0)+1/24</f>
        <v>45430.083333333328</v>
      </c>
      <c r="CA6" s="57"/>
      <c r="CB6" s="315"/>
      <c r="CC6" s="315"/>
      <c r="CF6" s="318"/>
    </row>
    <row r="7" spans="1:84" x14ac:dyDescent="0.2">
      <c r="A7" s="225">
        <f ca="1">TblConstr[[#This Row],[Land]]</f>
        <v>250</v>
      </c>
      <c r="B7" s="145"/>
      <c r="C7" s="97">
        <f ca="1">TblProd[[#This Row],[Platinum]]</f>
        <v>25970</v>
      </c>
      <c r="D7" s="97">
        <f ca="1">TblProd[[#This Row],[Lumber]]</f>
        <v>0</v>
      </c>
      <c r="E7" s="97">
        <f ca="1">TblProd[[#This Row],[Ore]]</f>
        <v>0</v>
      </c>
      <c r="F7" s="97">
        <f ca="1">TblProd[[#This Row],[Gems]]</f>
        <v>0</v>
      </c>
      <c r="G7" s="157"/>
      <c r="H7" s="97">
        <f ca="1">TblMili[[#This Row],[Draftees]]</f>
        <v>340</v>
      </c>
      <c r="I7" s="183">
        <f ca="1">TblPop[[#This Row],[Employment]]</f>
        <v>1</v>
      </c>
      <c r="J7" s="183">
        <f ca="1">TblPop[[#This Row],[Total]]/TblPop[[#This Row],[Net max]]</f>
        <v>0.4433548387096774</v>
      </c>
      <c r="K7" s="306">
        <f>TblRezone[[#This Row],[Hour]]</f>
        <v>4</v>
      </c>
      <c r="L7" s="307">
        <f ca="1">TblImps[[#This Row],[Real time]]</f>
        <v>45429.874999999993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45429.874999999993</v>
      </c>
      <c r="BZ7" s="317">
        <f ca="1">OFFSET(TblImps[[#This Row],[Servertime]],-1,0)+1/24</f>
        <v>45430.124999999993</v>
      </c>
      <c r="CA7" s="57"/>
      <c r="CB7" s="315"/>
      <c r="CC7" s="315"/>
      <c r="CF7" s="319"/>
    </row>
    <row r="8" spans="1:84" x14ac:dyDescent="0.2">
      <c r="A8" s="225">
        <f ca="1">TblConstr[[#This Row],[Land]]</f>
        <v>250</v>
      </c>
      <c r="B8" s="145"/>
      <c r="C8" s="97">
        <f ca="1">TblProd[[#This Row],[Platinum]]</f>
        <v>31490</v>
      </c>
      <c r="D8" s="97">
        <f ca="1">TblProd[[#This Row],[Lumber]]</f>
        <v>0</v>
      </c>
      <c r="E8" s="97">
        <f ca="1">TblProd[[#This Row],[Ore]]</f>
        <v>0</v>
      </c>
      <c r="F8" s="97">
        <f ca="1">TblProd[[#This Row],[Gems]]</f>
        <v>0</v>
      </c>
      <c r="G8" s="157"/>
      <c r="H8" s="97">
        <f ca="1">TblMili[[#This Row],[Draftees]]</f>
        <v>354</v>
      </c>
      <c r="I8" s="183">
        <f ca="1">TblPop[[#This Row],[Employment]]</f>
        <v>1</v>
      </c>
      <c r="J8" s="183">
        <f ca="1">TblPop[[#This Row],[Total]]/TblPop[[#This Row],[Net max]]</f>
        <v>0.45393548387096772</v>
      </c>
      <c r="K8" s="306">
        <f>TblRezone[[#This Row],[Hour]]</f>
        <v>5</v>
      </c>
      <c r="L8" s="307">
        <f ca="1">TblImps[[#This Row],[Real time]]</f>
        <v>45429.916666666657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45429.916666666657</v>
      </c>
      <c r="BZ8" s="317">
        <f ca="1">OFFSET(TblImps[[#This Row],[Servertime]],-1,0)+1/24</f>
        <v>45430.166666666657</v>
      </c>
      <c r="CA8" s="57"/>
      <c r="CB8" s="315"/>
      <c r="CC8" s="315"/>
      <c r="CF8" s="318"/>
    </row>
    <row r="9" spans="1:84" x14ac:dyDescent="0.2">
      <c r="A9" s="225">
        <f ca="1">TblConstr[[#This Row],[Land]]</f>
        <v>250</v>
      </c>
      <c r="B9" s="145"/>
      <c r="C9" s="97">
        <f ca="1">TblProd[[#This Row],[Platinum]]</f>
        <v>16683</v>
      </c>
      <c r="D9" s="97">
        <f ca="1">TblProd[[#This Row],[Lumber]]</f>
        <v>0</v>
      </c>
      <c r="E9" s="97">
        <f ca="1">TblProd[[#This Row],[Ore]]</f>
        <v>0</v>
      </c>
      <c r="F9" s="97">
        <f ca="1">TblProd[[#This Row],[Gems]]</f>
        <v>0</v>
      </c>
      <c r="G9" s="157"/>
      <c r="H9" s="97">
        <f ca="1">TblMili[[#This Row],[Draftees]]</f>
        <v>272</v>
      </c>
      <c r="I9" s="183">
        <f ca="1">TblPop[[#This Row],[Employment]]</f>
        <v>1</v>
      </c>
      <c r="J9" s="183">
        <f ca="1">TblPop[[#This Row],[Total]]/TblPop[[#This Row],[Net max]]</f>
        <v>0.44</v>
      </c>
      <c r="K9" s="306">
        <f>TblRezone[[#This Row],[Hour]]</f>
        <v>6</v>
      </c>
      <c r="L9" s="307">
        <f ca="1">TblImps[[#This Row],[Real time]]</f>
        <v>45429.958333333321</v>
      </c>
      <c r="M9" s="62">
        <f>IF(ISERROR(TblImps[[#This Row],[algorithm]]),0,TblImps[[#This Row],[algorithm]]*1)</f>
        <v>1</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62">
        <f>TblImps[[#This Row],[Login]]</f>
        <v>1</v>
      </c>
      <c r="BX9" s="140"/>
      <c r="BY9" s="316">
        <f ca="1">OFFSET(TblImps[[#This Row],[Real time]],-1,0)+1/24</f>
        <v>45429.958333333321</v>
      </c>
      <c r="BZ9" s="317">
        <f ca="1">OFFSET(TblImps[[#This Row],[Servertime]],-1,0)+1/24</f>
        <v>45430.208333333321</v>
      </c>
      <c r="CA9" s="57"/>
      <c r="CB9" s="315"/>
      <c r="CC9" s="315"/>
      <c r="CF9" s="318"/>
    </row>
    <row r="10" spans="1:84" x14ac:dyDescent="0.2">
      <c r="A10" s="225">
        <f ca="1">TblConstr[[#This Row],[Land]]</f>
        <v>250</v>
      </c>
      <c r="B10" s="145"/>
      <c r="C10" s="97">
        <f ca="1">TblProd[[#This Row],[Platinum]]</f>
        <v>21502</v>
      </c>
      <c r="D10" s="97">
        <f ca="1">TblProd[[#This Row],[Lumber]]</f>
        <v>0</v>
      </c>
      <c r="E10" s="97">
        <f ca="1">TblProd[[#This Row],[Ore]]</f>
        <v>0</v>
      </c>
      <c r="F10" s="97">
        <f ca="1">TblProd[[#This Row],[Gems]]</f>
        <v>0</v>
      </c>
      <c r="G10" s="157"/>
      <c r="H10" s="97">
        <f ca="1">TblMili[[#This Row],[Draftees]]</f>
        <v>282</v>
      </c>
      <c r="I10" s="183">
        <f ca="1">TblPop[[#This Row],[Employment]]</f>
        <v>1</v>
      </c>
      <c r="J10" s="183">
        <f ca="1">TblPop[[#This Row],[Total]]/TblPop[[#This Row],[Net max]]</f>
        <v>0.45006451612903225</v>
      </c>
      <c r="K10" s="306">
        <f>TblRezone[[#This Row],[Hour]]</f>
        <v>7</v>
      </c>
      <c r="L10" s="307">
        <f ca="1">TblImps[[#This Row],[Real time]]</f>
        <v>45429.999999999985</v>
      </c>
      <c r="M10" s="62">
        <f>IF(ISERROR(TblImps[[#This Row],[algorithm]]),0,TblImps[[#This Row],[algorithm]]*1)</f>
        <v>1</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62">
        <f>TblImps[[#This Row],[Login]]</f>
        <v>1</v>
      </c>
      <c r="BX10" s="140"/>
      <c r="BY10" s="316">
        <f ca="1">OFFSET(TblImps[[#This Row],[Real time]],-1,0)+1/24</f>
        <v>45429.999999999985</v>
      </c>
      <c r="BZ10" s="317">
        <f ca="1">OFFSET(TblImps[[#This Row],[Servertime]],-1,0)+1/24</f>
        <v>45430.249999999985</v>
      </c>
      <c r="CA10" s="57"/>
      <c r="CB10" s="315"/>
      <c r="CC10" s="315"/>
    </row>
    <row r="11" spans="1:84" x14ac:dyDescent="0.2">
      <c r="A11" s="225">
        <f ca="1">TblConstr[[#This Row],[Land]]</f>
        <v>250</v>
      </c>
      <c r="B11" s="145"/>
      <c r="C11" s="97">
        <f ca="1">TblProd[[#This Row],[Platinum]]</f>
        <v>26399</v>
      </c>
      <c r="D11" s="97">
        <f ca="1">TblProd[[#This Row],[Lumber]]</f>
        <v>0</v>
      </c>
      <c r="E11" s="97">
        <f ca="1">TblProd[[#This Row],[Ore]]</f>
        <v>0</v>
      </c>
      <c r="F11" s="97">
        <f ca="1">TblProd[[#This Row],[Gems]]</f>
        <v>0</v>
      </c>
      <c r="G11" s="157"/>
      <c r="H11" s="97">
        <f ca="1">TblMili[[#This Row],[Draftees]]</f>
        <v>293</v>
      </c>
      <c r="I11" s="183">
        <f ca="1">TblPop[[#This Row],[Employment]]</f>
        <v>1</v>
      </c>
      <c r="J11" s="183">
        <f ca="1">TblPop[[#This Row],[Total]]/TblPop[[#This Row],[Net max]]</f>
        <v>0.46012903225806451</v>
      </c>
      <c r="K11" s="306">
        <f>TblRezone[[#This Row],[Hour]]</f>
        <v>8</v>
      </c>
      <c r="L11" s="307">
        <f ca="1">TblImps[[#This Row],[Real time]]</f>
        <v>45430.04166666665</v>
      </c>
      <c r="M11" s="62">
        <f>IF(ISERROR(TblImps[[#This Row],[algorithm]]),0,TblImps[[#This Row],[algorithm]]*1)</f>
        <v>1</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62">
        <f>TblImps[[#This Row],[Login]]</f>
        <v>1</v>
      </c>
      <c r="BX11" s="140"/>
      <c r="BY11" s="316">
        <f ca="1">OFFSET(TblImps[[#This Row],[Real time]],-1,0)+1/24</f>
        <v>45430.04166666665</v>
      </c>
      <c r="BZ11" s="317">
        <f ca="1">OFFSET(TblImps[[#This Row],[Servertime]],-1,0)+1/24</f>
        <v>45430.29166666665</v>
      </c>
      <c r="CA11" s="57"/>
      <c r="CB11" s="315"/>
      <c r="CC11" s="315"/>
    </row>
    <row r="12" spans="1:84" x14ac:dyDescent="0.2">
      <c r="A12" s="225">
        <f ca="1">TblConstr[[#This Row],[Land]]</f>
        <v>250</v>
      </c>
      <c r="B12" s="145"/>
      <c r="C12" s="97">
        <f ca="1">TblProd[[#This Row],[Platinum]]</f>
        <v>31372</v>
      </c>
      <c r="D12" s="97">
        <f ca="1">TblProd[[#This Row],[Lumber]]</f>
        <v>0</v>
      </c>
      <c r="E12" s="97">
        <f ca="1">TblProd[[#This Row],[Ore]]</f>
        <v>0</v>
      </c>
      <c r="F12" s="97">
        <f ca="1">TblProd[[#This Row],[Gems]]</f>
        <v>0</v>
      </c>
      <c r="G12" s="157"/>
      <c r="H12" s="97">
        <f ca="1">TblMili[[#This Row],[Draftees]]</f>
        <v>304</v>
      </c>
      <c r="I12" s="183">
        <f ca="1">TblPop[[#This Row],[Employment]]</f>
        <v>1</v>
      </c>
      <c r="J12" s="183">
        <f ca="1">TblPop[[#This Row],[Total]]/TblPop[[#This Row],[Net max]]</f>
        <v>0.47045161290322579</v>
      </c>
      <c r="K12" s="306">
        <f>TblRezone[[#This Row],[Hour]]</f>
        <v>9</v>
      </c>
      <c r="L12" s="307">
        <f ca="1">TblImps[[#This Row],[Real time]]</f>
        <v>45430.083333333314</v>
      </c>
      <c r="M12" s="62">
        <f>IF(ISERROR(TblImps[[#This Row],[algorithm]]),0,TblImps[[#This Row],[algorithm]]*1)</f>
        <v>1</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62">
        <f>TblImps[[#This Row],[Login]]</f>
        <v>1</v>
      </c>
      <c r="BX12" s="140"/>
      <c r="BY12" s="316">
        <f ca="1">OFFSET(TblImps[[#This Row],[Real time]],-1,0)+1/24</f>
        <v>45430.083333333314</v>
      </c>
      <c r="BZ12" s="317">
        <f ca="1">OFFSET(TblImps[[#This Row],[Servertime]],-1,0)+1/24</f>
        <v>45430.333333333314</v>
      </c>
      <c r="CA12" s="57"/>
      <c r="CB12" s="315"/>
      <c r="CC12" s="315"/>
    </row>
    <row r="13" spans="1:84" x14ac:dyDescent="0.2">
      <c r="A13" s="225">
        <f ca="1">TblConstr[[#This Row],[Land]]</f>
        <v>250</v>
      </c>
      <c r="B13" s="145"/>
      <c r="C13" s="97">
        <f ca="1">TblProd[[#This Row],[Platinum]]</f>
        <v>36323</v>
      </c>
      <c r="D13" s="97">
        <f ca="1">TblProd[[#This Row],[Lumber]]</f>
        <v>200</v>
      </c>
      <c r="E13" s="97">
        <f ca="1">TblProd[[#This Row],[Ore]]</f>
        <v>0</v>
      </c>
      <c r="F13" s="97">
        <f ca="1">TblProd[[#This Row],[Gems]]</f>
        <v>0</v>
      </c>
      <c r="G13" s="157"/>
      <c r="H13" s="97">
        <f ca="1">TblMili[[#This Row],[Draftees]]</f>
        <v>315</v>
      </c>
      <c r="I13" s="183">
        <f ca="1">TblPop[[#This Row],[Employment]]</f>
        <v>1</v>
      </c>
      <c r="J13" s="183">
        <f ca="1">TblPop[[#This Row],[Total]]/TblPop[[#This Row],[Net max]]</f>
        <v>0.48103225806451611</v>
      </c>
      <c r="K13" s="306">
        <f>TblRezone[[#This Row],[Hour]]</f>
        <v>10</v>
      </c>
      <c r="L13" s="307">
        <f ca="1">TblImps[[#This Row],[Real time]]</f>
        <v>45430.124999999978</v>
      </c>
      <c r="M13" s="62">
        <f>IF(ISERROR(TblImps[[#This Row],[algorithm]]),0,TblImps[[#This Row],[algorithm]]*1)</f>
        <v>1</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62">
        <f>TblImps[[#This Row],[Login]]</f>
        <v>1</v>
      </c>
      <c r="BX13" s="140"/>
      <c r="BY13" s="316">
        <f ca="1">OFFSET(TblImps[[#This Row],[Real time]],-1,0)+1/24</f>
        <v>45430.124999999978</v>
      </c>
      <c r="BZ13" s="317">
        <f ca="1">OFFSET(TblImps[[#This Row],[Servertime]],-1,0)+1/24</f>
        <v>45430.374999999978</v>
      </c>
      <c r="CA13" s="57"/>
      <c r="CB13" s="315"/>
      <c r="CC13" s="315"/>
    </row>
    <row r="14" spans="1:84" x14ac:dyDescent="0.2">
      <c r="A14" s="225">
        <f ca="1">TblConstr[[#This Row],[Land]]</f>
        <v>250</v>
      </c>
      <c r="B14" s="145"/>
      <c r="C14" s="97">
        <f ca="1">TblProd[[#This Row],[Platinum]]</f>
        <v>41005</v>
      </c>
      <c r="D14" s="97">
        <f ca="1">TblProd[[#This Row],[Lumber]]</f>
        <v>1098</v>
      </c>
      <c r="E14" s="97">
        <f ca="1">TblProd[[#This Row],[Ore]]</f>
        <v>0</v>
      </c>
      <c r="F14" s="97">
        <f ca="1">TblProd[[#This Row],[Gems]]</f>
        <v>0</v>
      </c>
      <c r="G14" s="157"/>
      <c r="H14" s="97">
        <f ca="1">TblMili[[#This Row],[Draftees]]</f>
        <v>326</v>
      </c>
      <c r="I14" s="183">
        <f ca="1">TblPop[[#This Row],[Employment]]</f>
        <v>1</v>
      </c>
      <c r="J14" s="183">
        <f ca="1">TblPop[[#This Row],[Total]]/TblPop[[#This Row],[Net max]]</f>
        <v>0.49187096774193551</v>
      </c>
      <c r="K14" s="306">
        <f>TblRezone[[#This Row],[Hour]]</f>
        <v>11</v>
      </c>
      <c r="L14" s="307">
        <f ca="1">TblImps[[#This Row],[Real time]]</f>
        <v>45430.166666666642</v>
      </c>
      <c r="M14" s="62">
        <f>IF(ISERROR(TblImps[[#This Row],[algorithm]]),0,TblImps[[#This Row],[algorithm]]*1)</f>
        <v>1</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62">
        <f>TblImps[[#This Row],[Login]]</f>
        <v>1</v>
      </c>
      <c r="BX14" s="140"/>
      <c r="BY14" s="316">
        <f ca="1">OFFSET(TblImps[[#This Row],[Real time]],-1,0)+1/24</f>
        <v>45430.166666666642</v>
      </c>
      <c r="BZ14" s="317">
        <f ca="1">OFFSET(TblImps[[#This Row],[Servertime]],-1,0)+1/24</f>
        <v>45430.416666666642</v>
      </c>
      <c r="CA14" s="57"/>
      <c r="CB14" s="315"/>
      <c r="CC14" s="315"/>
    </row>
    <row r="15" spans="1:84" x14ac:dyDescent="0.2">
      <c r="A15" s="225">
        <f ca="1">TblConstr[[#This Row],[Land]]</f>
        <v>250</v>
      </c>
      <c r="B15" s="145"/>
      <c r="C15" s="97">
        <f ca="1">TblProd[[#This Row],[Platinum]]</f>
        <v>46621</v>
      </c>
      <c r="D15" s="97">
        <f ca="1">TblProd[[#This Row],[Lumber]]</f>
        <v>1987</v>
      </c>
      <c r="E15" s="97">
        <f ca="1">TblProd[[#This Row],[Ore]]</f>
        <v>0</v>
      </c>
      <c r="F15" s="97">
        <f ca="1">TblProd[[#This Row],[Gems]]</f>
        <v>0</v>
      </c>
      <c r="G15" s="157"/>
      <c r="H15" s="97">
        <f ca="1">TblMili[[#This Row],[Draftees]]</f>
        <v>342</v>
      </c>
      <c r="I15" s="183">
        <f ca="1">TblPop[[#This Row],[Employment]]</f>
        <v>1</v>
      </c>
      <c r="J15" s="183">
        <f ca="1">TblPop[[#This Row],[Total]]/TblPop[[#This Row],[Net max]]</f>
        <v>0.504</v>
      </c>
      <c r="K15" s="306">
        <f>TblRezone[[#This Row],[Hour]]</f>
        <v>12</v>
      </c>
      <c r="L15" s="307">
        <f ca="1">TblImps[[#This Row],[Real time]]</f>
        <v>45430.208333333307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45430.208333333307</v>
      </c>
      <c r="BZ15" s="317">
        <f ca="1">OFFSET(TblImps[[#This Row],[Servertime]],-1,0)+1/24</f>
        <v>45430.458333333307</v>
      </c>
      <c r="CA15" s="57"/>
      <c r="CB15" s="315"/>
      <c r="CC15" s="315"/>
    </row>
    <row r="16" spans="1:84" x14ac:dyDescent="0.2">
      <c r="A16" s="225">
        <f ca="1">TblConstr[[#This Row],[Land]]</f>
        <v>250</v>
      </c>
      <c r="B16" s="145"/>
      <c r="C16" s="97">
        <f ca="1">TblProd[[#This Row],[Platinum]]</f>
        <v>27645</v>
      </c>
      <c r="D16" s="97">
        <f ca="1">TblProd[[#This Row],[Lumber]]</f>
        <v>7</v>
      </c>
      <c r="E16" s="97">
        <f ca="1">TblProd[[#This Row],[Ore]]</f>
        <v>0</v>
      </c>
      <c r="F16" s="97">
        <f ca="1">TblProd[[#This Row],[Gems]]</f>
        <v>0</v>
      </c>
      <c r="G16" s="157"/>
      <c r="H16" s="97">
        <f ca="1">TblMili[[#This Row],[Draftees]]</f>
        <v>358</v>
      </c>
      <c r="I16" s="183">
        <f ca="1">TblPop[[#This Row],[Employment]]</f>
        <v>1</v>
      </c>
      <c r="J16" s="183">
        <f ca="1">TblPop[[#This Row],[Total]]/TblPop[[#This Row],[Net max]]</f>
        <v>0.53032258064516125</v>
      </c>
      <c r="K16" s="306">
        <f>TblRezone[[#This Row],[Hour]]</f>
        <v>13</v>
      </c>
      <c r="L16" s="307">
        <f ca="1">TblImps[[#This Row],[Real time]]</f>
        <v>45430.249999999971</v>
      </c>
      <c r="M16" s="62">
        <f>IF(ISERROR(TblImps[[#This Row],[algorithm]]),0,TblImps[[#This Row],[algorithm]]*1)</f>
        <v>1</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62">
        <f>TblImps[[#This Row],[Login]]</f>
        <v>1</v>
      </c>
      <c r="BX16" s="140"/>
      <c r="BY16" s="316">
        <f ca="1">OFFSET(TblImps[[#This Row],[Real time]],-1,0)+1/24</f>
        <v>45430.249999999971</v>
      </c>
      <c r="BZ16" s="317">
        <f ca="1">OFFSET(TblImps[[#This Row],[Servertime]],-1,0)+1/24</f>
        <v>45430.499999999971</v>
      </c>
      <c r="CA16" s="57"/>
      <c r="CB16" s="315"/>
      <c r="CC16" s="315"/>
    </row>
    <row r="17" spans="1:84" x14ac:dyDescent="0.2">
      <c r="A17" s="225">
        <f ca="1">TblConstr[[#This Row],[Land]]</f>
        <v>250</v>
      </c>
      <c r="B17" s="145"/>
      <c r="C17" s="97">
        <f ca="1">TblProd[[#This Row],[Platinum]]</f>
        <v>35376</v>
      </c>
      <c r="D17" s="97">
        <f ca="1">TblProd[[#This Row],[Lumber]]</f>
        <v>907</v>
      </c>
      <c r="E17" s="97">
        <f ca="1">TblProd[[#This Row],[Ore]]</f>
        <v>0</v>
      </c>
      <c r="F17" s="97">
        <f ca="1">TblProd[[#This Row],[Gems]]</f>
        <v>0</v>
      </c>
      <c r="G17" s="157"/>
      <c r="H17" s="97">
        <f ca="1">TblMili[[#This Row],[Draftees]]</f>
        <v>375</v>
      </c>
      <c r="I17" s="183">
        <f ca="1">TblPop[[#This Row],[Employment]]</f>
        <v>1</v>
      </c>
      <c r="J17" s="183">
        <f ca="1">TblPop[[#This Row],[Total]]/TblPop[[#This Row],[Net max]]</f>
        <v>0.53567888999008917</v>
      </c>
      <c r="K17" s="306">
        <f>TblRezone[[#This Row],[Hour]]</f>
        <v>14</v>
      </c>
      <c r="L17" s="307">
        <f ca="1">TblImps[[#This Row],[Real time]]</f>
        <v>45430.291666666635</v>
      </c>
      <c r="M17" s="62">
        <f>IF(ISERROR(TblImps[[#This Row],[algorithm]]),0,TblImps[[#This Row],[algorithm]]*1)</f>
        <v>1</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7" s="62">
        <f>TblImps[[#This Row],[Login]]</f>
        <v>1</v>
      </c>
      <c r="BX17" s="140"/>
      <c r="BY17" s="316">
        <f ca="1">OFFSET(TblImps[[#This Row],[Real time]],-1,0)+1/24</f>
        <v>45430.291666666635</v>
      </c>
      <c r="BZ17" s="317">
        <f ca="1">OFFSET(TblImps[[#This Row],[Servertime]],-1,0)+1/24</f>
        <v>45430.541666666635</v>
      </c>
      <c r="CA17" s="57"/>
      <c r="CB17" s="315"/>
      <c r="CC17" s="315"/>
      <c r="CD17" s="162"/>
    </row>
    <row r="18" spans="1:84" x14ac:dyDescent="0.2">
      <c r="A18" s="225">
        <f ca="1">TblConstr[[#This Row],[Land]]</f>
        <v>250</v>
      </c>
      <c r="B18" s="145"/>
      <c r="C18" s="97">
        <f ca="1">TblProd[[#This Row],[Platinum]]</f>
        <v>43350</v>
      </c>
      <c r="D18" s="97">
        <f ca="1">TblProd[[#This Row],[Lumber]]</f>
        <v>1798</v>
      </c>
      <c r="E18" s="97">
        <f ca="1">TblProd[[#This Row],[Ore]]</f>
        <v>0</v>
      </c>
      <c r="F18" s="97">
        <f ca="1">TblProd[[#This Row],[Gems]]</f>
        <v>0</v>
      </c>
      <c r="G18" s="157"/>
      <c r="H18" s="97">
        <f ca="1">TblMili[[#This Row],[Draftees]]</f>
        <v>393</v>
      </c>
      <c r="I18" s="183">
        <f ca="1">TblPop[[#This Row],[Employment]]</f>
        <v>1</v>
      </c>
      <c r="J18" s="183">
        <f ca="1">TblPop[[#This Row],[Total]]/TblPop[[#This Row],[Net max]]</f>
        <v>0.57011892963330024</v>
      </c>
      <c r="K18" s="306">
        <f>TblRezone[[#This Row],[Hour]]</f>
        <v>15</v>
      </c>
      <c r="L18" s="307">
        <f ca="1">TblImps[[#This Row],[Real time]]</f>
        <v>45430.333333333299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45430.333333333299</v>
      </c>
      <c r="BZ18" s="317">
        <f ca="1">OFFSET(TblImps[[#This Row],[Servertime]],-1,0)+1/24</f>
        <v>45430.583333333299</v>
      </c>
      <c r="CA18" s="320"/>
      <c r="CB18" s="315"/>
      <c r="CC18" s="315"/>
      <c r="CF18" s="318"/>
    </row>
    <row r="19" spans="1:84" x14ac:dyDescent="0.2">
      <c r="A19" s="225">
        <f ca="1">TblConstr[[#This Row],[Land]]</f>
        <v>250</v>
      </c>
      <c r="B19" s="145"/>
      <c r="C19" s="97">
        <f ca="1">TblProd[[#This Row],[Platinum]]</f>
        <v>51651</v>
      </c>
      <c r="D19" s="97">
        <f ca="1">TblProd[[#This Row],[Lumber]]</f>
        <v>2680</v>
      </c>
      <c r="E19" s="97">
        <f ca="1">TblProd[[#This Row],[Ore]]</f>
        <v>0</v>
      </c>
      <c r="F19" s="97">
        <f ca="1">TblProd[[#This Row],[Gems]]</f>
        <v>0</v>
      </c>
      <c r="G19" s="157"/>
      <c r="H19" s="97">
        <f ca="1">TblMili[[#This Row],[Draftees]]</f>
        <v>412</v>
      </c>
      <c r="I19" s="183">
        <f ca="1">TblPop[[#This Row],[Employment]]</f>
        <v>1</v>
      </c>
      <c r="J19" s="183">
        <f ca="1">TblPop[[#This Row],[Total]]/TblPop[[#This Row],[Net max]]</f>
        <v>0.60703666997026762</v>
      </c>
      <c r="K19" s="306">
        <f>TblRezone[[#This Row],[Hour]]</f>
        <v>16</v>
      </c>
      <c r="L19" s="307">
        <f ca="1">TblImps[[#This Row],[Real time]]</f>
        <v>45430.374999999964</v>
      </c>
      <c r="M19" s="62">
        <f>IF(ISERROR(TblImps[[#This Row],[algorithm]]),0,TblImps[[#This Row],[algorithm]]*1)</f>
        <v>1</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9" s="62">
        <f>TblImps[[#This Row],[Login]]</f>
        <v>1</v>
      </c>
      <c r="BX19" s="140"/>
      <c r="BY19" s="316">
        <f ca="1">OFFSET(TblImps[[#This Row],[Real time]],-1,0)+1/24</f>
        <v>45430.374999999964</v>
      </c>
      <c r="BZ19" s="317">
        <f ca="1">OFFSET(TblImps[[#This Row],[Servertime]],-1,0)+1/24</f>
        <v>45430.624999999964</v>
      </c>
      <c r="CA19" s="57"/>
      <c r="CB19" s="315"/>
      <c r="CC19" s="315"/>
      <c r="CF19" s="319"/>
    </row>
    <row r="20" spans="1:84" x14ac:dyDescent="0.2">
      <c r="A20" s="225">
        <f ca="1">TblConstr[[#This Row],[Land]]</f>
        <v>250</v>
      </c>
      <c r="B20" s="145"/>
      <c r="C20" s="97">
        <f ca="1">TblProd[[#This Row],[Platinum]]</f>
        <v>61168</v>
      </c>
      <c r="D20" s="97">
        <f ca="1">TblProd[[#This Row],[Lumber]]</f>
        <v>3553</v>
      </c>
      <c r="E20" s="97">
        <f ca="1">TblProd[[#This Row],[Ore]]</f>
        <v>0</v>
      </c>
      <c r="F20" s="97">
        <f ca="1">TblProd[[#This Row],[Gems]]</f>
        <v>0</v>
      </c>
      <c r="G20" s="157"/>
      <c r="H20" s="97">
        <f ca="1">TblMili[[#This Row],[Draftees]]</f>
        <v>432</v>
      </c>
      <c r="I20" s="183">
        <f ca="1">TblPop[[#This Row],[Employment]]</f>
        <v>1</v>
      </c>
      <c r="J20" s="183">
        <f ca="1">TblPop[[#This Row],[Total]]/TblPop[[#This Row],[Net max]]</f>
        <v>0.64643211100099107</v>
      </c>
      <c r="K20" s="306">
        <f>TblRezone[[#This Row],[Hour]]</f>
        <v>17</v>
      </c>
      <c r="L20" s="307">
        <f ca="1">TblImps[[#This Row],[Real time]]</f>
        <v>45430.416666666628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45430.416666666628</v>
      </c>
      <c r="BZ20" s="317">
        <f ca="1">OFFSET(TblImps[[#This Row],[Servertime]],-1,0)+1/24</f>
        <v>45430.666666666628</v>
      </c>
      <c r="CA20" s="57"/>
      <c r="CB20" s="315"/>
      <c r="CC20" s="315"/>
      <c r="CF20" s="318"/>
    </row>
    <row r="21" spans="1:84" x14ac:dyDescent="0.2">
      <c r="A21" s="225">
        <f ca="1">TblConstr[[#This Row],[Land]]</f>
        <v>274</v>
      </c>
      <c r="B21" s="145"/>
      <c r="C21" s="97">
        <f ca="1">TblProd[[#This Row],[Platinum]]</f>
        <v>980</v>
      </c>
      <c r="D21" s="97">
        <f ca="1">TblProd[[#This Row],[Lumber]]</f>
        <v>3289</v>
      </c>
      <c r="E21" s="97">
        <f ca="1">TblProd[[#This Row],[Ore]]</f>
        <v>0</v>
      </c>
      <c r="F21" s="97">
        <f ca="1">TblProd[[#This Row],[Gems]]</f>
        <v>0</v>
      </c>
      <c r="G21" s="157"/>
      <c r="H21" s="97">
        <f ca="1">TblMili[[#This Row],[Draftees]]</f>
        <v>174</v>
      </c>
      <c r="I21" s="183">
        <f ca="1">TblPop[[#This Row],[Employment]]</f>
        <v>1</v>
      </c>
      <c r="J21" s="183">
        <f ca="1">TblPop[[#This Row],[Total]]/TblPop[[#This Row],[Net max]]</f>
        <v>0.59855942376950777</v>
      </c>
      <c r="K21" s="306">
        <f>TblRezone[[#This Row],[Hour]]</f>
        <v>18</v>
      </c>
      <c r="L21" s="307">
        <f ca="1">TblImps[[#This Row],[Real time]]</f>
        <v>45430.458333333292</v>
      </c>
      <c r="M21" s="62">
        <f>IF(ISERROR(TblImps[[#This Row],[algorithm]]),0,TblImps[[#This Row],[algorithm]]*1)</f>
        <v>1</v>
      </c>
      <c r="N21" s="97">
        <f ca="1">TblImps[[#This Row],[Land]]</f>
        <v>274</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62">
        <f>TblImps[[#This Row],[Login]]</f>
        <v>1</v>
      </c>
      <c r="BX21" s="140"/>
      <c r="BY21" s="316">
        <f ca="1">OFFSET(TblImps[[#This Row],[Real time]],-1,0)+1/24</f>
        <v>45430.458333333292</v>
      </c>
      <c r="BZ21" s="317">
        <f ca="1">OFFSET(TblImps[[#This Row],[Servertime]],-1,0)+1/24</f>
        <v>45430.708333333292</v>
      </c>
      <c r="CA21" s="57"/>
      <c r="CB21" s="315"/>
      <c r="CC21" s="315"/>
      <c r="CF21" s="318"/>
    </row>
    <row r="22" spans="1:84" x14ac:dyDescent="0.2">
      <c r="A22" s="225">
        <f ca="1">TblConstr[[#This Row],[Land]]</f>
        <v>275</v>
      </c>
      <c r="B22" s="145"/>
      <c r="C22" s="97">
        <f ca="1">TblProd[[#This Row],[Platinum]]</f>
        <v>1245</v>
      </c>
      <c r="D22" s="97">
        <f ca="1">TblProd[[#This Row],[Lumber]]</f>
        <v>4109</v>
      </c>
      <c r="E22" s="97">
        <f ca="1">TblProd[[#This Row],[Ore]]</f>
        <v>0</v>
      </c>
      <c r="F22" s="97">
        <f ca="1">TblProd[[#This Row],[Gems]]</f>
        <v>0</v>
      </c>
      <c r="G22" s="157"/>
      <c r="H22" s="97">
        <f ca="1">TblMili[[#This Row],[Draftees]]</f>
        <v>153</v>
      </c>
      <c r="I22" s="183">
        <f ca="1">TblPop[[#This Row],[Employment]]</f>
        <v>1</v>
      </c>
      <c r="J22" s="183">
        <f ca="1">TblPop[[#This Row],[Total]]/TblPop[[#This Row],[Net max]]</f>
        <v>0.59223300970873782</v>
      </c>
      <c r="K22" s="306">
        <f>TblRezone[[#This Row],[Hour]]</f>
        <v>19</v>
      </c>
      <c r="L22" s="307">
        <f ca="1">TblImps[[#This Row],[Real time]]</f>
        <v>45430.499999999956</v>
      </c>
      <c r="M22" s="62">
        <f>IF(ISERROR(TblImps[[#This Row],[algorithm]]),0,TblImps[[#This Row],[algorithm]]*1)</f>
        <v>1</v>
      </c>
      <c r="N22" s="97">
        <f ca="1">TblImps[[#This Row],[Land]]</f>
        <v>275</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62">
        <f>TblImps[[#This Row],[Login]]</f>
        <v>1</v>
      </c>
      <c r="BX22" s="140"/>
      <c r="BY22" s="316">
        <f ca="1">OFFSET(TblImps[[#This Row],[Real time]],-1,0)+1/24</f>
        <v>45430.499999999956</v>
      </c>
      <c r="BZ22" s="317">
        <f ca="1">OFFSET(TblImps[[#This Row],[Servertime]],-1,0)+1/24</f>
        <v>45430.749999999956</v>
      </c>
      <c r="CA22" s="57"/>
      <c r="CB22" s="315"/>
      <c r="CC22" s="315"/>
    </row>
    <row r="23" spans="1:84" x14ac:dyDescent="0.2">
      <c r="A23" s="225">
        <f ca="1">TblConstr[[#This Row],[Land]]</f>
        <v>276</v>
      </c>
      <c r="B23" s="145"/>
      <c r="C23" s="97">
        <f ca="1">TblProd[[#This Row],[Platinum]]</f>
        <v>1024</v>
      </c>
      <c r="D23" s="97">
        <f ca="1">TblProd[[#This Row],[Lumber]]</f>
        <v>4921</v>
      </c>
      <c r="E23" s="97">
        <f ca="1">TblProd[[#This Row],[Ore]]</f>
        <v>0</v>
      </c>
      <c r="F23" s="97">
        <f ca="1">TblProd[[#This Row],[Gems]]</f>
        <v>0</v>
      </c>
      <c r="G23" s="157"/>
      <c r="H23" s="97">
        <f ca="1">TblMili[[#This Row],[Draftees]]</f>
        <v>130</v>
      </c>
      <c r="I23" s="183">
        <f ca="1">TblPop[[#This Row],[Employment]]</f>
        <v>1</v>
      </c>
      <c r="J23" s="183">
        <f ca="1">TblPop[[#This Row],[Total]]/TblPop[[#This Row],[Net max]]</f>
        <v>0.6209223847019123</v>
      </c>
      <c r="K23" s="306">
        <f>TblRezone[[#This Row],[Hour]]</f>
        <v>20</v>
      </c>
      <c r="L23" s="307">
        <f ca="1">TblImps[[#This Row],[Real time]]</f>
        <v>45430.541666666621</v>
      </c>
      <c r="M23" s="62">
        <f>IF(ISERROR(TblImps[[#This Row],[algorithm]]),0,TblImps[[#This Row],[algorithm]]*1)</f>
        <v>1</v>
      </c>
      <c r="N23" s="97">
        <f ca="1">TblImps[[#This Row],[Land]]</f>
        <v>276</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62">
        <f>TblImps[[#This Row],[Login]]</f>
        <v>1</v>
      </c>
      <c r="BX23" s="140"/>
      <c r="BY23" s="316">
        <f ca="1">OFFSET(TblImps[[#This Row],[Real time]],-1,0)+1/24</f>
        <v>45430.541666666621</v>
      </c>
      <c r="BZ23" s="317">
        <f ca="1">OFFSET(TblImps[[#This Row],[Servertime]],-1,0)+1/24</f>
        <v>45430.791666666621</v>
      </c>
      <c r="CA23" s="57"/>
      <c r="CB23" s="315"/>
      <c r="CC23" s="315"/>
    </row>
    <row r="24" spans="1:84" x14ac:dyDescent="0.2">
      <c r="A24" s="225">
        <f ca="1">TblConstr[[#This Row],[Land]]</f>
        <v>277</v>
      </c>
      <c r="B24" s="145"/>
      <c r="C24" s="97">
        <f ca="1">TblProd[[#This Row],[Platinum]]</f>
        <v>1231</v>
      </c>
      <c r="D24" s="97">
        <f ca="1">TblProd[[#This Row],[Lumber]]</f>
        <v>5725</v>
      </c>
      <c r="E24" s="97">
        <f ca="1">TblProd[[#This Row],[Ore]]</f>
        <v>0</v>
      </c>
      <c r="F24" s="97">
        <f ca="1">TblProd[[#This Row],[Gems]]</f>
        <v>0</v>
      </c>
      <c r="G24" s="157"/>
      <c r="H24" s="97">
        <f ca="1">TblMili[[#This Row],[Draftees]]</f>
        <v>108</v>
      </c>
      <c r="I24" s="183">
        <f ca="1">TblPop[[#This Row],[Employment]]</f>
        <v>1</v>
      </c>
      <c r="J24" s="183">
        <f ca="1">TblPop[[#This Row],[Total]]/TblPop[[#This Row],[Net max]]</f>
        <v>0.65209594261376369</v>
      </c>
      <c r="K24" s="306">
        <f>TblRezone[[#This Row],[Hour]]</f>
        <v>21</v>
      </c>
      <c r="L24" s="307">
        <f ca="1">TblImps[[#This Row],[Real time]]</f>
        <v>45430.583333333285</v>
      </c>
      <c r="M24" s="62">
        <f>IF(ISERROR(TblImps[[#This Row],[algorithm]]),0,TblImps[[#This Row],[algorithm]]*1)</f>
        <v>1</v>
      </c>
      <c r="N24" s="97">
        <f ca="1">TblImps[[#This Row],[Land]]</f>
        <v>277</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62">
        <f>TblImps[[#This Row],[Login]]</f>
        <v>1</v>
      </c>
      <c r="BX24" s="140"/>
      <c r="BY24" s="316">
        <f ca="1">OFFSET(TblImps[[#This Row],[Real time]],-1,0)+1/24</f>
        <v>45430.583333333285</v>
      </c>
      <c r="BZ24" s="317">
        <f ca="1">OFFSET(TblImps[[#This Row],[Servertime]],-1,0)+1/24</f>
        <v>45430.833333333285</v>
      </c>
      <c r="CA24" s="57"/>
      <c r="CB24" s="315"/>
      <c r="CC24" s="315"/>
    </row>
    <row r="25" spans="1:84" x14ac:dyDescent="0.2">
      <c r="A25" s="225">
        <f ca="1">TblConstr[[#This Row],[Land]]</f>
        <v>278</v>
      </c>
      <c r="B25" s="145"/>
      <c r="C25" s="97">
        <f ca="1">TblProd[[#This Row],[Platinum]]</f>
        <v>9969</v>
      </c>
      <c r="D25" s="97">
        <f ca="1">TblProd[[#This Row],[Lumber]]</f>
        <v>6521</v>
      </c>
      <c r="E25" s="97">
        <f ca="1">TblProd[[#This Row],[Ore]]</f>
        <v>0</v>
      </c>
      <c r="F25" s="97">
        <f ca="1">TblProd[[#This Row],[Gems]]</f>
        <v>0</v>
      </c>
      <c r="G25" s="157"/>
      <c r="H25" s="97">
        <f ca="1">TblMili[[#This Row],[Draftees]]</f>
        <v>124</v>
      </c>
      <c r="I25" s="183">
        <f ca="1">TblPop[[#This Row],[Employment]]</f>
        <v>1</v>
      </c>
      <c r="J25" s="183">
        <f ca="1">TblPop[[#This Row],[Total]]/TblPop[[#This Row],[Net max]]</f>
        <v>0.69376814831360289</v>
      </c>
      <c r="K25" s="306">
        <f>TblRezone[[#This Row],[Hour]]</f>
        <v>22</v>
      </c>
      <c r="L25" s="307">
        <f ca="1">TblImps[[#This Row],[Real time]]</f>
        <v>45430.624999999949</v>
      </c>
      <c r="M25" s="62">
        <f>IF(ISERROR(TblImps[[#This Row],[algorithm]]),0,TblImps[[#This Row],[algorithm]]*1)</f>
        <v>1</v>
      </c>
      <c r="N25" s="97">
        <f ca="1">TblImps[[#This Row],[Land]]</f>
        <v>278</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62">
        <f>TblImps[[#This Row],[Login]]</f>
        <v>1</v>
      </c>
      <c r="BX25" s="140"/>
      <c r="BY25" s="316">
        <f ca="1">OFFSET(TblImps[[#This Row],[Real time]],-1,0)+1/24</f>
        <v>45430.624999999949</v>
      </c>
      <c r="BZ25" s="317">
        <f ca="1">OFFSET(TblImps[[#This Row],[Servertime]],-1,0)+1/24</f>
        <v>45430.874999999949</v>
      </c>
      <c r="CA25" s="57"/>
      <c r="CB25" s="315"/>
      <c r="CC25" s="315"/>
    </row>
    <row r="26" spans="1:84" x14ac:dyDescent="0.2">
      <c r="A26" s="225">
        <f ca="1">TblConstr[[#This Row],[Land]]</f>
        <v>279</v>
      </c>
      <c r="B26" s="145"/>
      <c r="C26" s="97">
        <f ca="1">TblProd[[#This Row],[Platinum]]</f>
        <v>20132</v>
      </c>
      <c r="D26" s="97">
        <f ca="1">TblProd[[#This Row],[Lumber]]</f>
        <v>7308</v>
      </c>
      <c r="E26" s="97">
        <f ca="1">TblProd[[#This Row],[Ore]]</f>
        <v>0</v>
      </c>
      <c r="F26" s="97">
        <f ca="1">TblProd[[#This Row],[Gems]]</f>
        <v>0</v>
      </c>
      <c r="G26" s="157"/>
      <c r="H26" s="97">
        <f ca="1">TblMili[[#This Row],[Draftees]]</f>
        <v>146</v>
      </c>
      <c r="I26" s="183">
        <f ca="1">TblPop[[#This Row],[Employment]]</f>
        <v>1</v>
      </c>
      <c r="J26" s="183">
        <f ca="1">TblPop[[#This Row],[Total]]/TblPop[[#This Row],[Net max]]</f>
        <v>0.73892722012018697</v>
      </c>
      <c r="K26" s="306">
        <f>TblRezone[[#This Row],[Hour]]</f>
        <v>23</v>
      </c>
      <c r="L26" s="307">
        <f ca="1">TblImps[[#This Row],[Real time]]</f>
        <v>45430.666666666613</v>
      </c>
      <c r="M26" s="62">
        <f>IF(ISERROR(TblImps[[#This Row],[algorithm]]),0,TblImps[[#This Row],[algorithm]]*1)</f>
        <v>1</v>
      </c>
      <c r="N26" s="97">
        <f ca="1">TblImps[[#This Row],[Land]]</f>
        <v>279</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62">
        <f>TblImps[[#This Row],[Login]]</f>
        <v>1</v>
      </c>
      <c r="BX26" s="140"/>
      <c r="BY26" s="316">
        <f ca="1">OFFSET(TblImps[[#This Row],[Real time]],-1,0)+1/24</f>
        <v>45430.666666666613</v>
      </c>
      <c r="BZ26" s="317">
        <f ca="1">OFFSET(TblImps[[#This Row],[Servertime]],-1,0)+1/24</f>
        <v>45430.916666666613</v>
      </c>
      <c r="CA26" s="57"/>
      <c r="CB26" s="315"/>
      <c r="CC26" s="315"/>
    </row>
    <row r="27" spans="1:84" x14ac:dyDescent="0.2">
      <c r="A27" s="225">
        <f ca="1">TblConstr[[#This Row],[Land]]</f>
        <v>299</v>
      </c>
      <c r="B27" s="145"/>
      <c r="C27" s="97">
        <f ca="1">TblProd[[#This Row],[Platinum]]</f>
        <v>26679</v>
      </c>
      <c r="D27" s="97">
        <f ca="1">TblProd[[#This Row],[Lumber]]</f>
        <v>7075</v>
      </c>
      <c r="E27" s="97">
        <f ca="1">TblProd[[#This Row],[Ore]]</f>
        <v>0</v>
      </c>
      <c r="F27" s="97">
        <f ca="1">TblProd[[#This Row],[Gems]]</f>
        <v>0</v>
      </c>
      <c r="G27" s="157"/>
      <c r="H27" s="97">
        <f ca="1">TblMili[[#This Row],[Draftees]]</f>
        <v>138</v>
      </c>
      <c r="I27" s="183">
        <f ca="1">TblPop[[#This Row],[Employment]]</f>
        <v>1</v>
      </c>
      <c r="J27" s="183">
        <f ca="1">TblPop[[#This Row],[Total]]/TblPop[[#This Row],[Net max]]</f>
        <v>0.7808614564831261</v>
      </c>
      <c r="K27" s="306">
        <f>TblRezone[[#This Row],[Hour]]</f>
        <v>24</v>
      </c>
      <c r="L27" s="307">
        <f ca="1">TblImps[[#This Row],[Real time]]</f>
        <v>45430.708333333278</v>
      </c>
      <c r="M27" s="62">
        <f>IF(ISERROR(TblImps[[#This Row],[algorithm]]),0,TblImps[[#This Row],[algorithm]]*1)</f>
        <v>1</v>
      </c>
      <c r="N27" s="97">
        <f ca="1">TblImps[[#This Row],[Land]]</f>
        <v>299</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62">
        <f>TblImps[[#This Row],[Login]]</f>
        <v>1</v>
      </c>
      <c r="BX27" s="140"/>
      <c r="BY27" s="316">
        <f ca="1">OFFSET(TblImps[[#This Row],[Real time]],-1,0)+1/24</f>
        <v>45430.708333333278</v>
      </c>
      <c r="BZ27" s="317">
        <f ca="1">OFFSET(TblImps[[#This Row],[Servertime]],-1,0)+1/24</f>
        <v>45430.958333333278</v>
      </c>
      <c r="CA27" s="57"/>
      <c r="CB27" s="315"/>
      <c r="CC27" s="315"/>
    </row>
    <row r="28" spans="1:84" x14ac:dyDescent="0.2">
      <c r="A28" s="225">
        <f ca="1">TblConstr[[#This Row],[Land]]</f>
        <v>299</v>
      </c>
      <c r="B28" s="145"/>
      <c r="C28" s="97">
        <f ca="1">TblProd[[#This Row],[Platinum]]</f>
        <v>42902</v>
      </c>
      <c r="D28" s="97">
        <f ca="1">TblProd[[#This Row],[Lumber]]</f>
        <v>7904</v>
      </c>
      <c r="E28" s="97">
        <f ca="1">TblProd[[#This Row],[Ore]]</f>
        <v>0</v>
      </c>
      <c r="F28" s="97">
        <f ca="1">TblProd[[#This Row],[Gems]]</f>
        <v>0</v>
      </c>
      <c r="G28" s="157"/>
      <c r="H28" s="97">
        <f ca="1">TblMili[[#This Row],[Draftees]]</f>
        <v>172</v>
      </c>
      <c r="I28" s="183">
        <f ca="1">TblPop[[#This Row],[Employment]]</f>
        <v>1</v>
      </c>
      <c r="J28" s="183">
        <f ca="1">TblPop[[#This Row],[Total]]/TblPop[[#This Row],[Net max]]</f>
        <v>0.77936606587942825</v>
      </c>
      <c r="K28" s="306">
        <f>TblRezone[[#This Row],[Hour]]</f>
        <v>25</v>
      </c>
      <c r="L28" s="307">
        <f ca="1">TblImps[[#This Row],[Real time]]</f>
        <v>45430.749999999942</v>
      </c>
      <c r="M28" s="62">
        <f>IF(ISERROR(TblImps[[#This Row],[algorithm]]),0,TblImps[[#This Row],[algorithm]]*1)</f>
        <v>0</v>
      </c>
      <c r="N28" s="97">
        <f ca="1">TblImps[[#This Row],[Land]]</f>
        <v>299</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45430.749999999942</v>
      </c>
      <c r="BZ28" s="317">
        <f ca="1">OFFSET(TblImps[[#This Row],[Servertime]],-1,0)+1/24</f>
        <v>45430.999999999942</v>
      </c>
      <c r="CA28" s="57"/>
      <c r="CB28" s="315"/>
      <c r="CC28" s="315"/>
    </row>
    <row r="29" spans="1:84" x14ac:dyDescent="0.2">
      <c r="A29" s="225">
        <f ca="1">TblConstr[[#This Row],[Land]]</f>
        <v>299</v>
      </c>
      <c r="B29" s="145"/>
      <c r="C29" s="97">
        <f ca="1">TblProd[[#This Row],[Platinum]]</f>
        <v>59751</v>
      </c>
      <c r="D29" s="97">
        <f ca="1">TblProd[[#This Row],[Lumber]]</f>
        <v>8725</v>
      </c>
      <c r="E29" s="97">
        <f ca="1">TblProd[[#This Row],[Ore]]</f>
        <v>0</v>
      </c>
      <c r="F29" s="97">
        <f ca="1">TblProd[[#This Row],[Gems]]</f>
        <v>0</v>
      </c>
      <c r="G29" s="157"/>
      <c r="H29" s="97">
        <f ca="1">TblMili[[#This Row],[Draftees]]</f>
        <v>208</v>
      </c>
      <c r="I29" s="183">
        <f ca="1">TblPop[[#This Row],[Employment]]</f>
        <v>1</v>
      </c>
      <c r="J29" s="183">
        <f ca="1">TblPop[[#This Row],[Total]]/TblPop[[#This Row],[Net max]]</f>
        <v>0.83322974932670391</v>
      </c>
      <c r="K29" s="306">
        <f>TblRezone[[#This Row],[Hour]]</f>
        <v>26</v>
      </c>
      <c r="L29" s="307">
        <f ca="1">TblImps[[#This Row],[Real time]]</f>
        <v>45430.791666666606</v>
      </c>
      <c r="M29" s="62">
        <f>IF(ISERROR(TblImps[[#This Row],[algorithm]]),0,TblImps[[#This Row],[algorithm]]*1)</f>
        <v>1</v>
      </c>
      <c r="N29" s="97">
        <f ca="1">TblImps[[#This Row],[Land]]</f>
        <v>299</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62">
        <f>TblImps[[#This Row],[Login]]</f>
        <v>1</v>
      </c>
      <c r="BX29" s="140"/>
      <c r="BY29" s="316">
        <f ca="1">OFFSET(TblImps[[#This Row],[Real time]],-1,0)+1/24</f>
        <v>45430.791666666606</v>
      </c>
      <c r="BZ29" s="317">
        <f ca="1">OFFSET(TblImps[[#This Row],[Servertime]],-1,0)+1/24</f>
        <v>45431.041666666606</v>
      </c>
      <c r="CA29" s="57"/>
      <c r="CB29" s="315"/>
      <c r="CC29" s="315"/>
    </row>
    <row r="30" spans="1:84" x14ac:dyDescent="0.2">
      <c r="A30" s="225">
        <f ca="1">TblConstr[[#This Row],[Land]]</f>
        <v>299</v>
      </c>
      <c r="B30" s="145"/>
      <c r="C30" s="97">
        <f ca="1">TblProd[[#This Row],[Platinum]]</f>
        <v>79053</v>
      </c>
      <c r="D30" s="97">
        <f ca="1">TblProd[[#This Row],[Lumber]]</f>
        <v>9538</v>
      </c>
      <c r="E30" s="97">
        <f ca="1">TblProd[[#This Row],[Ore]]</f>
        <v>0</v>
      </c>
      <c r="F30" s="97">
        <f ca="1">TblProd[[#This Row],[Gems]]</f>
        <v>0</v>
      </c>
      <c r="G30" s="157"/>
      <c r="H30" s="97">
        <f ca="1">TblMili[[#This Row],[Draftees]]</f>
        <v>246</v>
      </c>
      <c r="I30" s="183">
        <f ca="1">TblPop[[#This Row],[Employment]]</f>
        <v>1</v>
      </c>
      <c r="J30" s="183">
        <f ca="1">TblPop[[#This Row],[Total]]/TblPop[[#This Row],[Net max]]</f>
        <v>0.89061528899937847</v>
      </c>
      <c r="K30" s="306">
        <f>TblRezone[[#This Row],[Hour]]</f>
        <v>27</v>
      </c>
      <c r="L30" s="307">
        <f ca="1">TblImps[[#This Row],[Real time]]</f>
        <v>45430.83333333327</v>
      </c>
      <c r="M30" s="62">
        <f>IF(ISERROR(TblImps[[#This Row],[algorithm]]),0,TblImps[[#This Row],[algorithm]]*1)</f>
        <v>0</v>
      </c>
      <c r="N30" s="97">
        <f ca="1">TblImps[[#This Row],[Land]]</f>
        <v>299</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45430.83333333327</v>
      </c>
      <c r="BZ30" s="317">
        <f ca="1">OFFSET(TblImps[[#This Row],[Servertime]],-1,0)+1/24</f>
        <v>45431.08333333327</v>
      </c>
      <c r="CA30" s="57"/>
      <c r="CB30" s="315"/>
      <c r="CC30" s="315"/>
      <c r="CD30" s="45" t="s">
        <v>4</v>
      </c>
    </row>
    <row r="31" spans="1:84" x14ac:dyDescent="0.2">
      <c r="A31" s="225">
        <f ca="1">TblConstr[[#This Row],[Land]]</f>
        <v>299</v>
      </c>
      <c r="B31" s="145"/>
      <c r="C31" s="97">
        <f ca="1">TblProd[[#This Row],[Platinum]]</f>
        <v>99065</v>
      </c>
      <c r="D31" s="97">
        <f ca="1">TblProd[[#This Row],[Lumber]]</f>
        <v>10343</v>
      </c>
      <c r="E31" s="97">
        <f ca="1">TblProd[[#This Row],[Ore]]</f>
        <v>0</v>
      </c>
      <c r="F31" s="97">
        <f ca="1">TblProd[[#This Row],[Gems]]</f>
        <v>0</v>
      </c>
      <c r="G31" s="157"/>
      <c r="H31" s="97">
        <f ca="1">TblMili[[#This Row],[Draftees]]</f>
        <v>287</v>
      </c>
      <c r="I31" s="183">
        <f ca="1">TblPop[[#This Row],[Employment]]</f>
        <v>1</v>
      </c>
      <c r="J31" s="183">
        <f ca="1">TblPop[[#This Row],[Total]]/TblPop[[#This Row],[Net max]]</f>
        <v>0.95152268489745184</v>
      </c>
      <c r="K31" s="306">
        <f>TblRezone[[#This Row],[Hour]]</f>
        <v>28</v>
      </c>
      <c r="L31" s="307">
        <f ca="1">TblImps[[#This Row],[Real time]]</f>
        <v>45430.874999999935</v>
      </c>
      <c r="M31" s="62">
        <f>IF(ISERROR(TblImps[[#This Row],[algorithm]]),0,TblImps[[#This Row],[algorithm]]*1)</f>
        <v>1</v>
      </c>
      <c r="N31" s="97">
        <f ca="1">TblImps[[#This Row],[Land]]</f>
        <v>299</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62">
        <f>TblImps[[#This Row],[Login]]</f>
        <v>1</v>
      </c>
      <c r="BX31" s="140"/>
      <c r="BY31" s="316">
        <f ca="1">OFFSET(TblImps[[#This Row],[Real time]],-1,0)+1/24</f>
        <v>45430.874999999935</v>
      </c>
      <c r="BZ31" s="317">
        <f ca="1">OFFSET(TblImps[[#This Row],[Servertime]],-1,0)+1/24</f>
        <v>45431.124999999935</v>
      </c>
      <c r="CA31" s="57"/>
      <c r="CB31" s="315"/>
      <c r="CC31" s="315"/>
      <c r="CD31" s="45" t="s">
        <v>7</v>
      </c>
    </row>
    <row r="32" spans="1:84" x14ac:dyDescent="0.2">
      <c r="A32" s="225">
        <f ca="1">TblConstr[[#This Row],[Land]]</f>
        <v>299</v>
      </c>
      <c r="B32" s="145"/>
      <c r="C32" s="97">
        <f ca="1">TblProd[[#This Row],[Platinum]]</f>
        <v>38976</v>
      </c>
      <c r="D32" s="97">
        <f ca="1">TblProd[[#This Row],[Lumber]]</f>
        <v>11140</v>
      </c>
      <c r="E32" s="97">
        <f ca="1">TblProd[[#This Row],[Ore]]</f>
        <v>0</v>
      </c>
      <c r="F32" s="97">
        <f ca="1">TblProd[[#This Row],[Gems]]</f>
        <v>0</v>
      </c>
      <c r="G32" s="157"/>
      <c r="H32" s="97">
        <f ca="1">TblMili[[#This Row],[Draftees]]</f>
        <v>2</v>
      </c>
      <c r="I32" s="183">
        <f ca="1">TblPop[[#This Row],[Employment]]</f>
        <v>1</v>
      </c>
      <c r="J32" s="183">
        <f ca="1">TblPop[[#This Row],[Total]]/TblPop[[#This Row],[Net max]]</f>
        <v>0.93204889165112903</v>
      </c>
      <c r="K32" s="306">
        <f>TblRezone[[#This Row],[Hour]]</f>
        <v>29</v>
      </c>
      <c r="L32" s="307">
        <f ca="1">TblImps[[#This Row],[Real time]]</f>
        <v>45430.916666666599</v>
      </c>
      <c r="M32" s="62">
        <f>IF(ISERROR(TblImps[[#This Row],[algorithm]]),0,TblImps[[#This Row],[algorithm]]*1)</f>
        <v>1</v>
      </c>
      <c r="N32" s="97">
        <f ca="1">TblImps[[#This Row],[Land]]</f>
        <v>299</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62">
        <f>TblImps[[#This Row],[Login]]</f>
        <v>1</v>
      </c>
      <c r="BX32" s="140"/>
      <c r="BY32" s="316">
        <f ca="1">OFFSET(TblImps[[#This Row],[Real time]],-1,0)+1/24</f>
        <v>45430.916666666599</v>
      </c>
      <c r="BZ32" s="317">
        <f ca="1">OFFSET(TblImps[[#This Row],[Servertime]],-1,0)+1/24</f>
        <v>45431.166666666599</v>
      </c>
      <c r="CA32" s="57"/>
      <c r="CB32" s="315"/>
      <c r="CC32" s="315"/>
      <c r="CD32" s="45" t="s">
        <v>3</v>
      </c>
    </row>
    <row r="33" spans="1:82" x14ac:dyDescent="0.2">
      <c r="A33" s="225">
        <f ca="1">TblConstr[[#This Row],[Land]]</f>
        <v>369</v>
      </c>
      <c r="B33" s="145"/>
      <c r="C33" s="97">
        <f ca="1">TblProd[[#This Row],[Platinum]]</f>
        <v>21478</v>
      </c>
      <c r="D33" s="97">
        <f ca="1">TblProd[[#This Row],[Lumber]]</f>
        <v>7729</v>
      </c>
      <c r="E33" s="97">
        <f ca="1">TblProd[[#This Row],[Ore]]</f>
        <v>0</v>
      </c>
      <c r="F33" s="97">
        <f ca="1">TblProd[[#This Row],[Gems]]</f>
        <v>0</v>
      </c>
      <c r="G33" s="157"/>
      <c r="H33" s="97">
        <f ca="1">TblMili[[#This Row],[Draftees]]</f>
        <v>2</v>
      </c>
      <c r="I33" s="183">
        <f ca="1">TblPop[[#This Row],[Employment]]</f>
        <v>1</v>
      </c>
      <c r="J33" s="183">
        <f ca="1">TblPop[[#This Row],[Total]]/TblPop[[#This Row],[Net max]]</f>
        <v>0.91391237509607992</v>
      </c>
      <c r="K33" s="306">
        <f>TblRezone[[#This Row],[Hour]]</f>
        <v>30</v>
      </c>
      <c r="L33" s="307">
        <f ca="1">TblImps[[#This Row],[Real time]]</f>
        <v>45430.958333333263</v>
      </c>
      <c r="M33" s="62">
        <f>IF(ISERROR(TblImps[[#This Row],[algorithm]]),0,TblImps[[#This Row],[algorithm]]*1)</f>
        <v>1</v>
      </c>
      <c r="N33" s="97">
        <f ca="1">TblImps[[#This Row],[Land]]</f>
        <v>369</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62">
        <f>TblImps[[#This Row],[Login]]</f>
        <v>1</v>
      </c>
      <c r="BX33" s="140"/>
      <c r="BY33" s="316">
        <f ca="1">OFFSET(TblImps[[#This Row],[Real time]],-1,0)+1/24</f>
        <v>45430.958333333263</v>
      </c>
      <c r="BZ33" s="317">
        <f ca="1">OFFSET(TblImps[[#This Row],[Servertime]],-1,0)+1/24</f>
        <v>45431.208333333263</v>
      </c>
      <c r="CA33" s="57"/>
      <c r="CB33" s="315"/>
      <c r="CC33" s="315"/>
      <c r="CD33" s="45" t="s">
        <v>2</v>
      </c>
    </row>
    <row r="34" spans="1:82" x14ac:dyDescent="0.2">
      <c r="A34" s="225">
        <f ca="1">TblConstr[[#This Row],[Land]]</f>
        <v>380</v>
      </c>
      <c r="B34" s="145"/>
      <c r="C34" s="97">
        <f ca="1">TblProd[[#This Row],[Platinum]]</f>
        <v>26412</v>
      </c>
      <c r="D34" s="97">
        <f ca="1">TblProd[[#This Row],[Lumber]]</f>
        <v>8005</v>
      </c>
      <c r="E34" s="97">
        <f ca="1">TblProd[[#This Row],[Ore]]</f>
        <v>0</v>
      </c>
      <c r="F34" s="97">
        <f ca="1">TblProd[[#This Row],[Gems]]</f>
        <v>0</v>
      </c>
      <c r="G34" s="157"/>
      <c r="H34" s="97">
        <f ca="1">TblMili[[#This Row],[Draftees]]</f>
        <v>0</v>
      </c>
      <c r="I34" s="183">
        <f ca="1">TblPop[[#This Row],[Employment]]</f>
        <v>1</v>
      </c>
      <c r="J34" s="183">
        <f ca="1">TblPop[[#This Row],[Total]]/TblPop[[#This Row],[Net max]]</f>
        <v>0.8349401595744681</v>
      </c>
      <c r="K34" s="306">
        <f>TblRezone[[#This Row],[Hour]]</f>
        <v>31</v>
      </c>
      <c r="L34" s="307">
        <f ca="1">TblImps[[#This Row],[Real time]]</f>
        <v>45430.999999999927</v>
      </c>
      <c r="M34" s="62">
        <f>IF(ISERROR(TblImps[[#This Row],[algorithm]]),0,TblImps[[#This Row],[algorithm]]*1)</f>
        <v>1</v>
      </c>
      <c r="N34" s="97">
        <f ca="1">TblImps[[#This Row],[Land]]</f>
        <v>380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62">
        <f>TblImps[[#This Row],[Login]]</f>
        <v>1</v>
      </c>
      <c r="BX34" s="140"/>
      <c r="BY34" s="316">
        <f ca="1">OFFSET(TblImps[[#This Row],[Real time]],-1,0)+1/24</f>
        <v>45430.999999999927</v>
      </c>
      <c r="BZ34" s="317">
        <f ca="1">OFFSET(TblImps[[#This Row],[Servertime]],-1,0)+1/24</f>
        <v>45431.249999999927</v>
      </c>
      <c r="CA34" s="57"/>
      <c r="CB34" s="315"/>
      <c r="CC34" s="315"/>
    </row>
    <row r="35" spans="1:82" x14ac:dyDescent="0.2">
      <c r="A35" s="225">
        <f ca="1">TblConstr[[#This Row],[Land]]</f>
        <v>392</v>
      </c>
      <c r="B35" s="145"/>
      <c r="C35" s="97">
        <f ca="1">TblProd[[#This Row],[Platinum]]</f>
        <v>31118</v>
      </c>
      <c r="D35" s="97">
        <f ca="1">TblProd[[#This Row],[Lumber]]</f>
        <v>8192</v>
      </c>
      <c r="E35" s="97">
        <f ca="1">TblProd[[#This Row],[Ore]]</f>
        <v>0</v>
      </c>
      <c r="F35" s="97">
        <f ca="1">TblProd[[#This Row],[Gems]]</f>
        <v>0</v>
      </c>
      <c r="G35" s="157"/>
      <c r="H35" s="97">
        <f ca="1">TblMili[[#This Row],[Draftees]]</f>
        <v>0</v>
      </c>
      <c r="I35" s="183">
        <f ca="1">TblPop[[#This Row],[Employment]]</f>
        <v>1</v>
      </c>
      <c r="J35" s="183">
        <f ca="1">TblPop[[#This Row],[Total]]/TblPop[[#This Row],[Net max]]</f>
        <v>0.85562187449588645</v>
      </c>
      <c r="K35" s="306">
        <f>TblRezone[[#This Row],[Hour]]</f>
        <v>32</v>
      </c>
      <c r="L35" s="307">
        <f ca="1">TblImps[[#This Row],[Real time]]</f>
        <v>45431.041666666591</v>
      </c>
      <c r="M35" s="62">
        <f>IF(ISERROR(TblImps[[#This Row],[algorithm]]),0,TblImps[[#This Row],[algorithm]]*1)</f>
        <v>1</v>
      </c>
      <c r="N35" s="97">
        <f ca="1">TblImps[[#This Row],[Land]]</f>
        <v>392</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62">
        <f>TblImps[[#This Row],[Login]]</f>
        <v>1</v>
      </c>
      <c r="BX35" s="140"/>
      <c r="BY35" s="316">
        <f ca="1">OFFSET(TblImps[[#This Row],[Real time]],-1,0)+1/24</f>
        <v>45431.041666666591</v>
      </c>
      <c r="BZ35" s="317">
        <f ca="1">OFFSET(TblImps[[#This Row],[Servertime]],-1,0)+1/24</f>
        <v>45431.291666666591</v>
      </c>
      <c r="CA35" s="57"/>
      <c r="CB35" s="315"/>
      <c r="CC35" s="315"/>
      <c r="CD35" s="45" t="s">
        <v>209</v>
      </c>
    </row>
    <row r="36" spans="1:82" x14ac:dyDescent="0.2">
      <c r="A36" s="225">
        <f ca="1">TblConstr[[#This Row],[Land]]</f>
        <v>404</v>
      </c>
      <c r="B36" s="145"/>
      <c r="C36" s="97">
        <f ca="1">TblProd[[#This Row],[Platinum]]</f>
        <v>36027</v>
      </c>
      <c r="D36" s="97">
        <f ca="1">TblProd[[#This Row],[Lumber]]</f>
        <v>8365</v>
      </c>
      <c r="E36" s="97">
        <f ca="1">TblProd[[#This Row],[Ore]]</f>
        <v>0</v>
      </c>
      <c r="F36" s="97">
        <f ca="1">TblProd[[#This Row],[Gems]]</f>
        <v>0</v>
      </c>
      <c r="G36" s="157"/>
      <c r="H36" s="97">
        <f ca="1">TblMili[[#This Row],[Draftees]]</f>
        <v>3</v>
      </c>
      <c r="I36" s="183">
        <f ca="1">TblPop[[#This Row],[Employment]]</f>
        <v>1</v>
      </c>
      <c r="J36" s="183">
        <f ca="1">TblPop[[#This Row],[Total]]/TblPop[[#This Row],[Net max]]</f>
        <v>0.87595807914906931</v>
      </c>
      <c r="K36" s="306">
        <f>TblRezone[[#This Row],[Hour]]</f>
        <v>33</v>
      </c>
      <c r="L36" s="307">
        <f ca="1">TblImps[[#This Row],[Real time]]</f>
        <v>45431.083333333256</v>
      </c>
      <c r="M36" s="62">
        <f>IF(ISERROR(TblImps[[#This Row],[algorithm]]),0,TblImps[[#This Row],[algorithm]]*1)</f>
        <v>1</v>
      </c>
      <c r="N36" s="97">
        <f ca="1">TblImps[[#This Row],[Land]]</f>
        <v>404</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62">
        <f>TblImps[[#This Row],[Login]]</f>
        <v>1</v>
      </c>
      <c r="BX36" s="140"/>
      <c r="BY36" s="316">
        <f ca="1">OFFSET(TblImps[[#This Row],[Real time]],-1,0)+1/24</f>
        <v>45431.083333333256</v>
      </c>
      <c r="BZ36" s="317">
        <f ca="1">OFFSET(TblImps[[#This Row],[Servertime]],-1,0)+1/24</f>
        <v>45431.333333333256</v>
      </c>
      <c r="CA36" s="57"/>
      <c r="CB36" s="315"/>
      <c r="CC36" s="315"/>
      <c r="CD36" s="45" t="s">
        <v>211</v>
      </c>
    </row>
    <row r="37" spans="1:82" x14ac:dyDescent="0.2">
      <c r="A37" s="225">
        <f ca="1">TblConstr[[#This Row],[Land]]</f>
        <v>407</v>
      </c>
      <c r="B37" s="145"/>
      <c r="C37" s="97">
        <f ca="1">TblProd[[#This Row],[Platinum]]</f>
        <v>43944</v>
      </c>
      <c r="D37" s="97">
        <f ca="1">TblProd[[#This Row],[Lumber]]</f>
        <v>9118</v>
      </c>
      <c r="E37" s="97">
        <f ca="1">TblProd[[#This Row],[Ore]]</f>
        <v>0</v>
      </c>
      <c r="F37" s="97">
        <f ca="1">TblProd[[#This Row],[Gems]]</f>
        <v>0</v>
      </c>
      <c r="G37" s="157"/>
      <c r="H37" s="97">
        <f ca="1">TblMili[[#This Row],[Draftees]]</f>
        <v>4</v>
      </c>
      <c r="I37" s="183">
        <f ca="1">TblPop[[#This Row],[Employment]]</f>
        <v>0.98120555367422957</v>
      </c>
      <c r="J37" s="183">
        <f ca="1">TblPop[[#This Row],[Total]]/TblPop[[#This Row],[Net max]]</f>
        <v>0.90394616090547564</v>
      </c>
      <c r="K37" s="306">
        <f>TblRezone[[#This Row],[Hour]]</f>
        <v>34</v>
      </c>
      <c r="L37" s="307">
        <f ca="1">TblImps[[#This Row],[Real time]]</f>
        <v>45431.12499999992</v>
      </c>
      <c r="M37" s="62">
        <f>IF(ISERROR(TblImps[[#This Row],[algorithm]]),0,TblImps[[#This Row],[algorithm]]*1)</f>
        <v>1</v>
      </c>
      <c r="N37" s="97">
        <f ca="1">TblImps[[#This Row],[Land]]</f>
        <v>407</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62">
        <f>TblImps[[#This Row],[Login]]</f>
        <v>1</v>
      </c>
      <c r="BX37" s="140"/>
      <c r="BY37" s="316">
        <f ca="1">OFFSET(TblImps[[#This Row],[Real time]],-1,0)+1/24</f>
        <v>45431.12499999992</v>
      </c>
      <c r="BZ37" s="317">
        <f ca="1">OFFSET(TblImps[[#This Row],[Servertime]],-1,0)+1/24</f>
        <v>45431.37499999992</v>
      </c>
      <c r="CA37" s="57"/>
      <c r="CB37" s="315"/>
      <c r="CC37" s="315"/>
      <c r="CD37" s="45" t="s">
        <v>212</v>
      </c>
    </row>
    <row r="38" spans="1:82" x14ac:dyDescent="0.2">
      <c r="A38" s="225">
        <f ca="1">TblConstr[[#This Row],[Land]]</f>
        <v>409</v>
      </c>
      <c r="B38" s="145"/>
      <c r="C38" s="97">
        <f ca="1">TblProd[[#This Row],[Platinum]]</f>
        <v>51273</v>
      </c>
      <c r="D38" s="97">
        <f ca="1">TblProd[[#This Row],[Lumber]]</f>
        <v>9930</v>
      </c>
      <c r="E38" s="97">
        <f ca="1">TblProd[[#This Row],[Ore]]</f>
        <v>0</v>
      </c>
      <c r="F38" s="97">
        <f ca="1">TblProd[[#This Row],[Gems]]</f>
        <v>0</v>
      </c>
      <c r="G38" s="157"/>
      <c r="H38" s="97">
        <f ca="1">TblMili[[#This Row],[Draftees]]</f>
        <v>3</v>
      </c>
      <c r="I38" s="183">
        <f ca="1">TblPop[[#This Row],[Employment]]</f>
        <v>1</v>
      </c>
      <c r="J38" s="183">
        <f ca="1">TblPop[[#This Row],[Total]]/TblPop[[#This Row],[Net max]]</f>
        <v>0.94727245099528945</v>
      </c>
      <c r="K38" s="306">
        <f>TblRezone[[#This Row],[Hour]]</f>
        <v>35</v>
      </c>
      <c r="L38" s="307">
        <f ca="1">TblImps[[#This Row],[Real time]]</f>
        <v>45431.166666666584</v>
      </c>
      <c r="M38" s="62">
        <f>IF(ISERROR(TblImps[[#This Row],[algorithm]]),0,TblImps[[#This Row],[algorithm]]*1)</f>
        <v>1</v>
      </c>
      <c r="N38" s="97">
        <f ca="1">TblImps[[#This Row],[Land]]</f>
        <v>409</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62">
        <f>TblImps[[#This Row],[Login]]</f>
        <v>1</v>
      </c>
      <c r="BX38" s="140"/>
      <c r="BY38" s="316">
        <f ca="1">OFFSET(TblImps[[#This Row],[Real time]],-1,0)+1/24</f>
        <v>45431.166666666584</v>
      </c>
      <c r="BZ38" s="317">
        <f ca="1">OFFSET(TblImps[[#This Row],[Servertime]],-1,0)+1/24</f>
        <v>45431.416666666584</v>
      </c>
      <c r="CA38" s="57"/>
      <c r="CB38" s="315"/>
      <c r="CC38" s="315"/>
      <c r="CD38" s="45" t="s">
        <v>213</v>
      </c>
    </row>
    <row r="39" spans="1:82" x14ac:dyDescent="0.2">
      <c r="A39" s="225">
        <f ca="1">TblConstr[[#This Row],[Land]]</f>
        <v>419</v>
      </c>
      <c r="B39" s="145"/>
      <c r="C39" s="97">
        <f ca="1">TblProd[[#This Row],[Platinum]]</f>
        <v>55040</v>
      </c>
      <c r="D39" s="97">
        <f ca="1">TblProd[[#This Row],[Lumber]]</f>
        <v>10186</v>
      </c>
      <c r="E39" s="97">
        <f ca="1">TblProd[[#This Row],[Ore]]</f>
        <v>0</v>
      </c>
      <c r="F39" s="97">
        <f ca="1">TblProd[[#This Row],[Gems]]</f>
        <v>0</v>
      </c>
      <c r="G39" s="157"/>
      <c r="H39" s="97">
        <f ca="1">TblMili[[#This Row],[Draftees]]</f>
        <v>0</v>
      </c>
      <c r="I39" s="183">
        <f ca="1">TblPop[[#This Row],[Employment]]</f>
        <v>0.94886623040633089</v>
      </c>
      <c r="J39" s="183">
        <f ca="1">TblPop[[#This Row],[Total]]/TblPop[[#This Row],[Net max]]</f>
        <v>0.98708126783836558</v>
      </c>
      <c r="K39" s="306">
        <f>TblRezone[[#This Row],[Hour]]</f>
        <v>36</v>
      </c>
      <c r="L39" s="307">
        <f ca="1">TblImps[[#This Row],[Real time]]</f>
        <v>45431.208333333248</v>
      </c>
      <c r="M39" s="62">
        <f>IF(ISERROR(TblImps[[#This Row],[algorithm]]),0,TblImps[[#This Row],[algorithm]]*1)</f>
        <v>1</v>
      </c>
      <c r="N39" s="97">
        <f ca="1">TblImps[[#This Row],[Land]]</f>
        <v>419</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62">
        <f>TblImps[[#This Row],[Login]]</f>
        <v>1</v>
      </c>
      <c r="BX39" s="140"/>
      <c r="BY39" s="316">
        <f ca="1">OFFSET(TblImps[[#This Row],[Real time]],-1,0)+1/24</f>
        <v>45431.208333333248</v>
      </c>
      <c r="BZ39" s="317">
        <f ca="1">OFFSET(TblImps[[#This Row],[Servertime]],-1,0)+1/24</f>
        <v>45431.458333333248</v>
      </c>
      <c r="CA39" s="57"/>
      <c r="CB39" s="315"/>
      <c r="CC39" s="315"/>
      <c r="CD39" s="45" t="s">
        <v>214</v>
      </c>
    </row>
    <row r="40" spans="1:82" x14ac:dyDescent="0.2">
      <c r="A40" s="225">
        <f ca="1">TblConstr[[#This Row],[Land]]</f>
        <v>419</v>
      </c>
      <c r="B40" s="145"/>
      <c r="C40" s="97">
        <f ca="1">TblProd[[#This Row],[Platinum]]</f>
        <v>63059</v>
      </c>
      <c r="D40" s="97">
        <f ca="1">TblProd[[#This Row],[Lumber]]</f>
        <v>11119</v>
      </c>
      <c r="E40" s="97">
        <f ca="1">TblProd[[#This Row],[Ore]]</f>
        <v>0</v>
      </c>
      <c r="F40" s="97">
        <f ca="1">TblProd[[#This Row],[Gems]]</f>
        <v>0</v>
      </c>
      <c r="G40" s="157"/>
      <c r="H40" s="97">
        <f ca="1">TblMili[[#This Row],[Draftees]]</f>
        <v>1</v>
      </c>
      <c r="I40" s="183">
        <f ca="1">TblPop[[#This Row],[Employment]]</f>
        <v>0.93087488802627649</v>
      </c>
      <c r="J40" s="183">
        <f ca="1">TblPop[[#This Row],[Total]]/TblPop[[#This Row],[Net max]]</f>
        <v>0.99039030159668839</v>
      </c>
      <c r="K40" s="306">
        <f>TblRezone[[#This Row],[Hour]]</f>
        <v>37</v>
      </c>
      <c r="L40" s="307">
        <f ca="1">TblImps[[#This Row],[Real time]]</f>
        <v>45431.249999999913</v>
      </c>
      <c r="M40" s="62">
        <f>IF(ISERROR(TblImps[[#This Row],[algorithm]]),0,TblImps[[#This Row],[algorithm]]*1)</f>
        <v>1</v>
      </c>
      <c r="N40" s="97">
        <f ca="1">TblImps[[#This Row],[Land]]</f>
        <v>419</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62">
        <f>TblImps[[#This Row],[Login]]</f>
        <v>1</v>
      </c>
      <c r="BX40" s="140"/>
      <c r="BY40" s="316">
        <f ca="1">OFFSET(TblImps[[#This Row],[Real time]],-1,0)+1/24</f>
        <v>45431.249999999913</v>
      </c>
      <c r="BZ40" s="317">
        <f ca="1">OFFSET(TblImps[[#This Row],[Servertime]],-1,0)+1/24</f>
        <v>45431.499999999913</v>
      </c>
      <c r="CA40" s="57"/>
      <c r="CB40" s="315"/>
      <c r="CC40" s="315"/>
      <c r="CD40" s="45" t="s">
        <v>215</v>
      </c>
    </row>
    <row r="41" spans="1:82" x14ac:dyDescent="0.2">
      <c r="A41" s="225">
        <f ca="1">TblConstr[[#This Row],[Land]]</f>
        <v>419</v>
      </c>
      <c r="B41" s="145"/>
      <c r="C41" s="97">
        <f ca="1">TblProd[[#This Row],[Platinum]]</f>
        <v>71078</v>
      </c>
      <c r="D41" s="97">
        <f ca="1">TblProd[[#This Row],[Lumber]]</f>
        <v>12043</v>
      </c>
      <c r="E41" s="97">
        <f ca="1">TblProd[[#This Row],[Ore]]</f>
        <v>0</v>
      </c>
      <c r="F41" s="97">
        <f ca="1">TblProd[[#This Row],[Gems]]</f>
        <v>0</v>
      </c>
      <c r="G41" s="157"/>
      <c r="H41" s="97">
        <f ca="1">TblMili[[#This Row],[Draftees]]</f>
        <v>3</v>
      </c>
      <c r="I41" s="183">
        <f ca="1">TblPop[[#This Row],[Employment]]</f>
        <v>0.9311529271206691</v>
      </c>
      <c r="J41" s="183">
        <f ca="1">TblPop[[#This Row],[Total]]/TblPop[[#This Row],[Net max]]</f>
        <v>0.99039030159668839</v>
      </c>
      <c r="K41" s="306">
        <f>TblRezone[[#This Row],[Hour]]</f>
        <v>38</v>
      </c>
      <c r="L41" s="307">
        <f ca="1">TblImps[[#This Row],[Real time]]</f>
        <v>45431.291666666577</v>
      </c>
      <c r="M41" s="62">
        <f>IF(ISERROR(TblImps[[#This Row],[algorithm]]),0,TblImps[[#This Row],[algorithm]]*1)</f>
        <v>1</v>
      </c>
      <c r="N41" s="97">
        <f ca="1">TblImps[[#This Row],[Land]]</f>
        <v>419</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62">
        <f>TblImps[[#This Row],[Login]]</f>
        <v>1</v>
      </c>
      <c r="BX41" s="140"/>
      <c r="BY41" s="316">
        <f ca="1">OFFSET(TblImps[[#This Row],[Real time]],-1,0)+1/24</f>
        <v>45431.291666666577</v>
      </c>
      <c r="BZ41" s="317">
        <f ca="1">OFFSET(TblImps[[#This Row],[Servertime]],-1,0)+1/24</f>
        <v>45431.541666666577</v>
      </c>
      <c r="CA41" s="57"/>
      <c r="CB41" s="315"/>
      <c r="CC41" s="315"/>
    </row>
    <row r="42" spans="1:82" x14ac:dyDescent="0.2">
      <c r="A42" s="225">
        <f ca="1">TblConstr[[#This Row],[Land]]</f>
        <v>419</v>
      </c>
      <c r="B42" s="145"/>
      <c r="C42" s="97">
        <f ca="1">TblProd[[#This Row],[Platinum]]</f>
        <v>77568</v>
      </c>
      <c r="D42" s="97">
        <f ca="1">TblProd[[#This Row],[Lumber]]</f>
        <v>12958</v>
      </c>
      <c r="E42" s="97">
        <f ca="1">TblProd[[#This Row],[Ore]]</f>
        <v>0</v>
      </c>
      <c r="F42" s="97">
        <f ca="1">TblProd[[#This Row],[Gems]]</f>
        <v>0</v>
      </c>
      <c r="G42" s="157"/>
      <c r="H42" s="97">
        <f ca="1">TblMili[[#This Row],[Draftees]]</f>
        <v>0</v>
      </c>
      <c r="I42" s="183">
        <f ca="1">TblPop[[#This Row],[Employment]]</f>
        <v>0.93143113235733488</v>
      </c>
      <c r="J42" s="183">
        <f ca="1">TblPop[[#This Row],[Total]]/TblPop[[#This Row],[Net max]]</f>
        <v>0.98965109402720286</v>
      </c>
      <c r="K42" s="306">
        <f>TblRezone[[#This Row],[Hour]]</f>
        <v>39</v>
      </c>
      <c r="L42" s="307">
        <f ca="1">TblImps[[#This Row],[Real time]]</f>
        <v>45431.333333333241</v>
      </c>
      <c r="M42" s="62">
        <f>IF(ISERROR(TblImps[[#This Row],[algorithm]]),0,TblImps[[#This Row],[algorithm]]*1)</f>
        <v>1</v>
      </c>
      <c r="N42" s="97">
        <f ca="1">TblImps[[#This Row],[Land]]</f>
        <v>419</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62">
        <f>TblImps[[#This Row],[Login]]</f>
        <v>1</v>
      </c>
      <c r="BX42" s="140"/>
      <c r="BY42" s="316">
        <f ca="1">OFFSET(TblImps[[#This Row],[Real time]],-1,0)+1/24</f>
        <v>45431.333333333241</v>
      </c>
      <c r="BZ42" s="317">
        <f ca="1">OFFSET(TblImps[[#This Row],[Servertime]],-1,0)+1/24</f>
        <v>45431.583333333241</v>
      </c>
      <c r="CA42" s="320"/>
      <c r="CB42" s="315"/>
      <c r="CC42" s="315"/>
    </row>
    <row r="43" spans="1:82" x14ac:dyDescent="0.2">
      <c r="A43" s="225">
        <f ca="1">TblConstr[[#This Row],[Land]]</f>
        <v>419</v>
      </c>
      <c r="B43" s="145"/>
      <c r="C43" s="97">
        <f ca="1">TblProd[[#This Row],[Platinum]]</f>
        <v>85587</v>
      </c>
      <c r="D43" s="97">
        <f ca="1">TblProd[[#This Row],[Lumber]]</f>
        <v>13863</v>
      </c>
      <c r="E43" s="97">
        <f ca="1">TblProd[[#This Row],[Ore]]</f>
        <v>0</v>
      </c>
      <c r="F43" s="97">
        <f ca="1">TblProd[[#This Row],[Gems]]</f>
        <v>0</v>
      </c>
      <c r="G43" s="157"/>
      <c r="H43" s="97">
        <f ca="1">TblMili[[#This Row],[Draftees]]</f>
        <v>2</v>
      </c>
      <c r="I43" s="183">
        <f ca="1">TblPop[[#This Row],[Employment]]</f>
        <v>0.93101388681499175</v>
      </c>
      <c r="J43" s="183">
        <f ca="1">TblPop[[#This Row],[Total]]/TblPop[[#This Row],[Net max]]</f>
        <v>0.99039030159668839</v>
      </c>
      <c r="K43" s="306">
        <f>TblRezone[[#This Row],[Hour]]</f>
        <v>40</v>
      </c>
      <c r="L43" s="307">
        <f ca="1">TblImps[[#This Row],[Real time]]</f>
        <v>45431.374999999905</v>
      </c>
      <c r="M43" s="62">
        <f>IF(ISERROR(TblImps[[#This Row],[algorithm]]),0,TblImps[[#This Row],[algorithm]]*1)</f>
        <v>1</v>
      </c>
      <c r="N43" s="97">
        <f ca="1">TblImps[[#This Row],[Land]]</f>
        <v>419</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62">
        <f>TblImps[[#This Row],[Login]]</f>
        <v>1</v>
      </c>
      <c r="BX43" s="140"/>
      <c r="BY43" s="316">
        <f ca="1">OFFSET(TblImps[[#This Row],[Real time]],-1,0)+1/24</f>
        <v>45431.374999999905</v>
      </c>
      <c r="BZ43" s="317">
        <f ca="1">OFFSET(TblImps[[#This Row],[Servertime]],-1,0)+1/24</f>
        <v>45431.624999999905</v>
      </c>
      <c r="CA43" s="57"/>
      <c r="CB43" s="315"/>
      <c r="CC43" s="315"/>
    </row>
    <row r="44" spans="1:82" x14ac:dyDescent="0.2">
      <c r="A44" s="225">
        <f ca="1">TblConstr[[#This Row],[Land]]</f>
        <v>501</v>
      </c>
      <c r="B44" s="145"/>
      <c r="C44" s="97">
        <f ca="1">TblProd[[#This Row],[Platinum]]</f>
        <v>54134</v>
      </c>
      <c r="D44" s="97">
        <f ca="1">TblProd[[#This Row],[Lumber]]</f>
        <v>8281</v>
      </c>
      <c r="E44" s="97">
        <f ca="1">TblProd[[#This Row],[Ore]]</f>
        <v>0</v>
      </c>
      <c r="F44" s="97">
        <f ca="1">TblProd[[#This Row],[Gems]]</f>
        <v>0</v>
      </c>
      <c r="G44" s="157"/>
      <c r="H44" s="97">
        <f ca="1">TblMili[[#This Row],[Draftees]]</f>
        <v>3</v>
      </c>
      <c r="I44" s="183">
        <f ca="1">TblPop[[#This Row],[Employment]]</f>
        <v>1</v>
      </c>
      <c r="J44" s="183">
        <f ca="1">TblPop[[#This Row],[Total]]/TblPop[[#This Row],[Net max]]</f>
        <v>0.97751561415683552</v>
      </c>
      <c r="K44" s="306">
        <f>TblRezone[[#This Row],[Hour]]</f>
        <v>41</v>
      </c>
      <c r="L44" s="307">
        <f ca="1">TblImps[[#This Row],[Real time]]</f>
        <v>45431.41666666657</v>
      </c>
      <c r="M44" s="62">
        <f>IF(ISERROR(TblImps[[#This Row],[algorithm]]),0,TblImps[[#This Row],[algorithm]]*1)</f>
        <v>1</v>
      </c>
      <c r="N44" s="97">
        <f ca="1">TblImps[[#This Row],[Land]]</f>
        <v>501</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62">
        <f>TblImps[[#This Row],[Login]]</f>
        <v>1</v>
      </c>
      <c r="BX44" s="140"/>
      <c r="BY44" s="316">
        <f ca="1">OFFSET(TblImps[[#This Row],[Real time]],-1,0)+1/24</f>
        <v>45431.41666666657</v>
      </c>
      <c r="BZ44" s="317">
        <f ca="1">OFFSET(TblImps[[#This Row],[Servertime]],-1,0)+1/24</f>
        <v>45431.66666666657</v>
      </c>
      <c r="CA44" s="57"/>
      <c r="CB44" s="315"/>
      <c r="CC44" s="315"/>
    </row>
    <row r="45" spans="1:82" x14ac:dyDescent="0.2">
      <c r="A45" s="225">
        <f ca="1">TblConstr[[#This Row],[Land]]</f>
        <v>510</v>
      </c>
      <c r="B45" s="145"/>
      <c r="C45" s="97">
        <f ca="1">TblProd[[#This Row],[Platinum]]</f>
        <v>60267</v>
      </c>
      <c r="D45" s="97">
        <f ca="1">TblProd[[#This Row],[Lumber]]</f>
        <v>8504</v>
      </c>
      <c r="E45" s="97">
        <f ca="1">TblProd[[#This Row],[Ore]]</f>
        <v>0</v>
      </c>
      <c r="F45" s="97">
        <f ca="1">TblProd[[#This Row],[Gems]]</f>
        <v>0</v>
      </c>
      <c r="G45" s="157"/>
      <c r="H45" s="97">
        <f ca="1">TblMili[[#This Row],[Draftees]]</f>
        <v>1</v>
      </c>
      <c r="I45" s="183">
        <f ca="1">TblPop[[#This Row],[Employment]]</f>
        <v>1</v>
      </c>
      <c r="J45" s="183">
        <f ca="1">TblPop[[#This Row],[Total]]/TblPop[[#This Row],[Net max]]</f>
        <v>0.90953785644051133</v>
      </c>
      <c r="K45" s="306">
        <f>TblRezone[[#This Row],[Hour]]</f>
        <v>42</v>
      </c>
      <c r="L45" s="307">
        <f ca="1">TblImps[[#This Row],[Real time]]</f>
        <v>45431.458333333234</v>
      </c>
      <c r="M45" s="62">
        <f>IF(ISERROR(TblImps[[#This Row],[algorithm]]),0,TblImps[[#This Row],[algorithm]]*1)</f>
        <v>1</v>
      </c>
      <c r="N45" s="97">
        <f ca="1">TblImps[[#This Row],[Land]]</f>
        <v>510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62">
        <f>TblImps[[#This Row],[Login]]</f>
        <v>1</v>
      </c>
      <c r="BX45" s="140"/>
      <c r="BY45" s="316">
        <f ca="1">OFFSET(TblImps[[#This Row],[Real time]],-1,0)+1/24</f>
        <v>45431.458333333234</v>
      </c>
      <c r="BZ45" s="317">
        <f ca="1">OFFSET(TblImps[[#This Row],[Servertime]],-1,0)+1/24</f>
        <v>45431.708333333234</v>
      </c>
      <c r="CA45" s="57"/>
      <c r="CB45" s="315"/>
      <c r="CC45" s="315"/>
    </row>
    <row r="46" spans="1:82" x14ac:dyDescent="0.2">
      <c r="A46" s="225">
        <f ca="1">TblConstr[[#This Row],[Land]]</f>
        <v>520</v>
      </c>
      <c r="B46" s="145"/>
      <c r="C46" s="97">
        <f ca="1">TblProd[[#This Row],[Platinum]]</f>
        <v>75080</v>
      </c>
      <c r="D46" s="97">
        <f ca="1">TblProd[[#This Row],[Lumber]]</f>
        <v>8724</v>
      </c>
      <c r="E46" s="97">
        <f ca="1">TblProd[[#This Row],[Ore]]</f>
        <v>0</v>
      </c>
      <c r="F46" s="97">
        <f ca="1">TblProd[[#This Row],[Gems]]</f>
        <v>0</v>
      </c>
      <c r="G46" s="157"/>
      <c r="H46" s="97">
        <f ca="1">TblMili[[#This Row],[Draftees]]</f>
        <v>27</v>
      </c>
      <c r="I46" s="183">
        <f ca="1">TblPop[[#This Row],[Employment]]</f>
        <v>1</v>
      </c>
      <c r="J46" s="183">
        <f ca="1">TblPop[[#This Row],[Total]]/TblPop[[#This Row],[Net max]]</f>
        <v>0.94135392783878369</v>
      </c>
      <c r="K46" s="306">
        <f>TblRezone[[#This Row],[Hour]]</f>
        <v>43</v>
      </c>
      <c r="L46" s="307">
        <f ca="1">TblImps[[#This Row],[Real time]]</f>
        <v>45431.499999999898</v>
      </c>
      <c r="M46" s="62">
        <f>IF(ISERROR(TblImps[[#This Row],[algorithm]]),0,TblImps[[#This Row],[algorithm]]*1)</f>
        <v>1</v>
      </c>
      <c r="N46" s="97">
        <f ca="1">TblImps[[#This Row],[Land]]</f>
        <v>520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62">
        <f>TblImps[[#This Row],[Login]]</f>
        <v>1</v>
      </c>
      <c r="BX46" s="140"/>
      <c r="BY46" s="316">
        <f ca="1">OFFSET(TblImps[[#This Row],[Real time]],-1,0)+1/24</f>
        <v>45431.499999999898</v>
      </c>
      <c r="BZ46" s="317">
        <f ca="1">OFFSET(TblImps[[#This Row],[Servertime]],-1,0)+1/24</f>
        <v>45431.749999999898</v>
      </c>
      <c r="CA46" s="57"/>
      <c r="CB46" s="315"/>
      <c r="CC46" s="315"/>
    </row>
    <row r="47" spans="1:82" x14ac:dyDescent="0.2">
      <c r="A47" s="225">
        <f ca="1">TblConstr[[#This Row],[Land]]</f>
        <v>530</v>
      </c>
      <c r="B47" s="145"/>
      <c r="C47" s="97">
        <f ca="1">TblProd[[#This Row],[Platinum]]</f>
        <v>107787</v>
      </c>
      <c r="D47" s="97">
        <f ca="1">TblProd[[#This Row],[Lumber]]</f>
        <v>8932</v>
      </c>
      <c r="E47" s="97">
        <f ca="1">TblProd[[#This Row],[Ore]]</f>
        <v>0</v>
      </c>
      <c r="F47" s="97">
        <f ca="1">TblProd[[#This Row],[Gems]]</f>
        <v>0</v>
      </c>
      <c r="G47" s="157"/>
      <c r="H47" s="97">
        <f ca="1">TblMili[[#This Row],[Draftees]]</f>
        <v>105</v>
      </c>
      <c r="I47" s="183">
        <f ca="1">TblPop[[#This Row],[Employment]]</f>
        <v>1</v>
      </c>
      <c r="J47" s="183">
        <f ca="1">TblPop[[#This Row],[Total]]/TblPop[[#This Row],[Net max]]</f>
        <v>0.97881406083560185</v>
      </c>
      <c r="K47" s="306">
        <f>TblRezone[[#This Row],[Hour]]</f>
        <v>44</v>
      </c>
      <c r="L47" s="307">
        <f ca="1">TblImps[[#This Row],[Real time]]</f>
        <v>45431.541666666562</v>
      </c>
      <c r="M47" s="62">
        <f>IF(ISERROR(TblImps[[#This Row],[algorithm]]),0,TblImps[[#This Row],[algorithm]]*1)</f>
        <v>1</v>
      </c>
      <c r="N47" s="97">
        <f ca="1">TblImps[[#This Row],[Land]]</f>
        <v>530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62">
        <f>TblImps[[#This Row],[Login]]</f>
        <v>1</v>
      </c>
      <c r="BX47" s="140"/>
      <c r="BY47" s="316">
        <f ca="1">OFFSET(TblImps[[#This Row],[Real time]],-1,0)+1/24</f>
        <v>45431.541666666562</v>
      </c>
      <c r="BZ47" s="317">
        <f ca="1">OFFSET(TblImps[[#This Row],[Servertime]],-1,0)+1/24</f>
        <v>45431.791666666562</v>
      </c>
      <c r="CA47" s="57"/>
      <c r="CB47" s="315"/>
      <c r="CC47" s="315"/>
    </row>
    <row r="48" spans="1:82" x14ac:dyDescent="0.2">
      <c r="A48" s="225">
        <f ca="1">TblConstr[[#This Row],[Land]]</f>
        <v>540</v>
      </c>
      <c r="B48" s="145"/>
      <c r="C48" s="97">
        <f ca="1">TblProd[[#This Row],[Platinum]]</f>
        <v>141605</v>
      </c>
      <c r="D48" s="97">
        <f ca="1">TblProd[[#This Row],[Lumber]]</f>
        <v>9118</v>
      </c>
      <c r="E48" s="97">
        <f ca="1">TblProd[[#This Row],[Ore]]</f>
        <v>0</v>
      </c>
      <c r="F48" s="97">
        <f ca="1">TblProd[[#This Row],[Gems]]</f>
        <v>0</v>
      </c>
      <c r="G48" s="157"/>
      <c r="H48" s="97">
        <f ca="1">TblMili[[#This Row],[Draftees]]</f>
        <v>187</v>
      </c>
      <c r="I48" s="183">
        <f ca="1">TblPop[[#This Row],[Employment]]</f>
        <v>0.99964383236376586</v>
      </c>
      <c r="J48" s="183">
        <f ca="1">TblPop[[#This Row],[Total]]/TblPop[[#This Row],[Net max]]</f>
        <v>1</v>
      </c>
      <c r="K48" s="306">
        <f>TblRezone[[#This Row],[Hour]]</f>
        <v>45</v>
      </c>
      <c r="L48" s="307">
        <f ca="1">TblImps[[#This Row],[Real time]]</f>
        <v>45431.583333333227</v>
      </c>
      <c r="M48" s="62">
        <f>IF(ISERROR(TblImps[[#This Row],[algorithm]]),0,TblImps[[#This Row],[algorithm]]*1)</f>
        <v>1</v>
      </c>
      <c r="N48" s="97">
        <f ca="1">TblImps[[#This Row],[Land]]</f>
        <v>540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62">
        <f>TblImps[[#This Row],[Login]]</f>
        <v>1</v>
      </c>
      <c r="BX48" s="140"/>
      <c r="BY48" s="316">
        <f ca="1">OFFSET(TblImps[[#This Row],[Real time]],-1,0)+1/24</f>
        <v>45431.583333333227</v>
      </c>
      <c r="BZ48" s="317">
        <f ca="1">OFFSET(TblImps[[#This Row],[Servertime]],-1,0)+1/24</f>
        <v>45431.833333333227</v>
      </c>
      <c r="CA48" s="57"/>
      <c r="CB48" s="315"/>
      <c r="CC48" s="315"/>
    </row>
    <row r="49" spans="1:81" x14ac:dyDescent="0.2">
      <c r="A49" s="225">
        <f ca="1">TblConstr[[#This Row],[Land]]</f>
        <v>551</v>
      </c>
      <c r="B49" s="145"/>
      <c r="C49" s="97">
        <f ca="1">TblProd[[#This Row],[Platinum]]</f>
        <v>175641</v>
      </c>
      <c r="D49" s="97">
        <f ca="1">TblProd[[#This Row],[Lumber]]</f>
        <v>9206</v>
      </c>
      <c r="E49" s="97">
        <f ca="1">TblProd[[#This Row],[Ore]]</f>
        <v>0</v>
      </c>
      <c r="F49" s="97">
        <f ca="1">TblProd[[#This Row],[Gems]]</f>
        <v>0</v>
      </c>
      <c r="G49" s="157"/>
      <c r="H49" s="97">
        <f ca="1">TblMili[[#This Row],[Draftees]]</f>
        <v>271</v>
      </c>
      <c r="I49" s="183">
        <f ca="1">TblPop[[#This Row],[Employment]]</f>
        <v>0.9951798730308018</v>
      </c>
      <c r="J49" s="183">
        <f ca="1">TblPop[[#This Row],[Total]]/TblPop[[#This Row],[Net max]]</f>
        <v>1</v>
      </c>
      <c r="K49" s="306">
        <f>TblRezone[[#This Row],[Hour]]</f>
        <v>46</v>
      </c>
      <c r="L49" s="307">
        <f ca="1">TblImps[[#This Row],[Real time]]</f>
        <v>45431.624999999891</v>
      </c>
      <c r="M49" s="62">
        <f>IF(ISERROR(TblImps[[#This Row],[algorithm]]),0,TblImps[[#This Row],[algorithm]]*1)</f>
        <v>1</v>
      </c>
      <c r="N49" s="97">
        <f ca="1">TblImps[[#This Row],[Land]]</f>
        <v>551</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62">
        <f>TblImps[[#This Row],[Login]]</f>
        <v>1</v>
      </c>
      <c r="BX49" s="140"/>
      <c r="BY49" s="316">
        <f ca="1">OFFSET(TblImps[[#This Row],[Real time]],-1,0)+1/24</f>
        <v>45431.624999999891</v>
      </c>
      <c r="BZ49" s="317">
        <f ca="1">OFFSET(TblImps[[#This Row],[Servertime]],-1,0)+1/24</f>
        <v>45431.874999999891</v>
      </c>
      <c r="CA49" s="57"/>
      <c r="CB49" s="315"/>
      <c r="CC49" s="315"/>
    </row>
    <row r="50" spans="1:81" x14ac:dyDescent="0.2">
      <c r="A50" s="225">
        <f ca="1">TblConstr[[#This Row],[Land]]</f>
        <v>563</v>
      </c>
      <c r="B50" s="145"/>
      <c r="C50" s="97">
        <f ca="1">TblProd[[#This Row],[Platinum]]</f>
        <v>209248</v>
      </c>
      <c r="D50" s="97">
        <f ca="1">TblProd[[#This Row],[Lumber]]</f>
        <v>9183</v>
      </c>
      <c r="E50" s="97">
        <f ca="1">TblProd[[#This Row],[Ore]]</f>
        <v>0</v>
      </c>
      <c r="F50" s="97">
        <f ca="1">TblProd[[#This Row],[Gems]]</f>
        <v>0</v>
      </c>
      <c r="G50" s="157"/>
      <c r="H50" s="97">
        <f ca="1">TblMili[[#This Row],[Draftees]]</f>
        <v>356</v>
      </c>
      <c r="I50" s="183">
        <f ca="1">TblPop[[#This Row],[Employment]]</f>
        <v>1</v>
      </c>
      <c r="J50" s="183">
        <f ca="1">TblPop[[#This Row],[Total]]/TblPop[[#This Row],[Net max]]</f>
        <v>1</v>
      </c>
      <c r="K50" s="306">
        <f>TblRezone[[#This Row],[Hour]]</f>
        <v>47</v>
      </c>
      <c r="L50" s="307">
        <f ca="1">TblImps[[#This Row],[Real time]]</f>
        <v>45431.666666666555</v>
      </c>
      <c r="M50" s="62">
        <f>IF(ISERROR(TblImps[[#This Row],[algorithm]]),0,TblImps[[#This Row],[algorithm]]*1)</f>
        <v>1</v>
      </c>
      <c r="N50" s="97">
        <f ca="1">TblImps[[#This Row],[Land]]</f>
        <v>563</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62">
        <f>TblImps[[#This Row],[Login]]</f>
        <v>1</v>
      </c>
      <c r="BX50" s="140"/>
      <c r="BY50" s="316">
        <f ca="1">OFFSET(TblImps[[#This Row],[Real time]],-1,0)+1/24</f>
        <v>45431.666666666555</v>
      </c>
      <c r="BZ50" s="317">
        <f ca="1">OFFSET(TblImps[[#This Row],[Servertime]],-1,0)+1/24</f>
        <v>45431.916666666555</v>
      </c>
      <c r="CA50" s="57"/>
      <c r="CB50" s="315"/>
      <c r="CC50" s="315"/>
    </row>
    <row r="51" spans="1:81" x14ac:dyDescent="0.2">
      <c r="A51" s="225">
        <f ca="1">TblConstr[[#This Row],[Land]]</f>
        <v>596</v>
      </c>
      <c r="B51" s="145"/>
      <c r="C51" s="97">
        <f ca="1">TblProd[[#This Row],[Platinum]]</f>
        <v>267289</v>
      </c>
      <c r="D51" s="97">
        <f ca="1">TblProd[[#This Row],[Lumber]]</f>
        <v>7186</v>
      </c>
      <c r="E51" s="97">
        <f ca="1">TblProd[[#This Row],[Ore]]</f>
        <v>0</v>
      </c>
      <c r="F51" s="97">
        <f ca="1">TblProd[[#This Row],[Gems]]</f>
        <v>0</v>
      </c>
      <c r="G51" s="157"/>
      <c r="H51" s="97">
        <f ca="1">TblMili[[#This Row],[Draftees]]</f>
        <v>442</v>
      </c>
      <c r="I51" s="183">
        <f ca="1">TblPop[[#This Row],[Employment]]</f>
        <v>0.99977056326717906</v>
      </c>
      <c r="J51" s="183">
        <f ca="1">TblPop[[#This Row],[Total]]/TblPop[[#This Row],[Net max]]</f>
        <v>1</v>
      </c>
      <c r="K51" s="306">
        <f>TblRezone[[#This Row],[Hour]]</f>
        <v>48</v>
      </c>
      <c r="L51" s="307">
        <f ca="1">TblImps[[#This Row],[Real time]]</f>
        <v>45431.708333333219</v>
      </c>
      <c r="M51" s="62">
        <f>IF(ISERROR(TblImps[[#This Row],[algorithm]]),0,TblImps[[#This Row],[algorithm]]*1)</f>
        <v>1</v>
      </c>
      <c r="N51" s="97">
        <f ca="1">TblImps[[#This Row],[Land]]</f>
        <v>596</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62">
        <f>TblImps[[#This Row],[Login]]</f>
        <v>1</v>
      </c>
      <c r="BX51" s="140"/>
      <c r="BY51" s="316">
        <f ca="1">OFFSET(TblImps[[#This Row],[Real time]],-1,0)+1/24</f>
        <v>45431.708333333219</v>
      </c>
      <c r="BZ51" s="317">
        <f ca="1">OFFSET(TblImps[[#This Row],[Servertime]],-1,0)+1/24</f>
        <v>45431.958333333219</v>
      </c>
      <c r="CA51" s="57"/>
      <c r="CB51" s="315"/>
      <c r="CC51" s="315"/>
    </row>
    <row r="52" spans="1:81" x14ac:dyDescent="0.2">
      <c r="A52" s="225">
        <f ca="1">TblConstr[[#This Row],[Land]]</f>
        <v>629</v>
      </c>
      <c r="B52" s="145"/>
      <c r="C52" s="97">
        <f ca="1">TblProd[[#This Row],[Platinum]]</f>
        <v>290264</v>
      </c>
      <c r="D52" s="97">
        <f ca="1">TblProd[[#This Row],[Lumber]]</f>
        <v>5044</v>
      </c>
      <c r="E52" s="97">
        <f ca="1">TblProd[[#This Row],[Ore]]</f>
        <v>0</v>
      </c>
      <c r="F52" s="97">
        <f ca="1">TblProd[[#This Row],[Gems]]</f>
        <v>0</v>
      </c>
      <c r="G52" s="157"/>
      <c r="H52" s="97">
        <f ca="1">TblMili[[#This Row],[Draftees]]</f>
        <v>529</v>
      </c>
      <c r="I52" s="183">
        <f ca="1">TblPop[[#This Row],[Employment]]</f>
        <v>0.95370978332238998</v>
      </c>
      <c r="J52" s="183">
        <f ca="1">TblPop[[#This Row],[Total]]/TblPop[[#This Row],[Net max]]</f>
        <v>0.99742055303342958</v>
      </c>
      <c r="K52" s="306">
        <f>TblRezone[[#This Row],[Hour]]</f>
        <v>49</v>
      </c>
      <c r="L52" s="307">
        <f ca="1">TblImps[[#This Row],[Real time]]</f>
        <v>45431.749999999884</v>
      </c>
      <c r="M52" s="62">
        <f>IF(ISERROR(TblImps[[#This Row],[algorithm]]),0,TblImps[[#This Row],[algorithm]]*1)</f>
        <v>1</v>
      </c>
      <c r="N52" s="97">
        <f ca="1">TblImps[[#This Row],[Land]]</f>
        <v>629</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62">
        <f>TblImps[[#This Row],[Login]]</f>
        <v>1</v>
      </c>
      <c r="BX52" s="140"/>
      <c r="BY52" s="316">
        <f ca="1">OFFSET(TblImps[[#This Row],[Real time]],-1,0)+1/24</f>
        <v>45431.749999999884</v>
      </c>
      <c r="BZ52" s="317">
        <f ca="1">OFFSET(TblImps[[#This Row],[Servertime]],-1,0)+1/24</f>
        <v>45431.999999999884</v>
      </c>
      <c r="CA52" s="57"/>
      <c r="CB52" s="315"/>
      <c r="CC52" s="315"/>
    </row>
    <row r="53" spans="1:81" x14ac:dyDescent="0.2">
      <c r="A53" s="225">
        <f ca="1">TblConstr[[#This Row],[Land]]</f>
        <v>642</v>
      </c>
      <c r="B53" s="145"/>
      <c r="C53" s="97">
        <f ca="1">TblProd[[#This Row],[Platinum]]</f>
        <v>323598</v>
      </c>
      <c r="D53" s="97">
        <f ca="1">TblProd[[#This Row],[Lumber]]</f>
        <v>4832</v>
      </c>
      <c r="E53" s="97">
        <f ca="1">TblProd[[#This Row],[Ore]]</f>
        <v>0</v>
      </c>
      <c r="F53" s="97">
        <f ca="1">TblProd[[#This Row],[Gems]]</f>
        <v>0</v>
      </c>
      <c r="G53" s="157"/>
      <c r="H53" s="97">
        <f ca="1">TblMili[[#This Row],[Draftees]]</f>
        <v>620</v>
      </c>
      <c r="I53" s="183">
        <f ca="1">TblPop[[#This Row],[Employment]]</f>
        <v>0.91037292384832336</v>
      </c>
      <c r="J53" s="183">
        <f ca="1">TblPop[[#This Row],[Total]]/TblPop[[#This Row],[Net max]]</f>
        <v>0.99696791862284817</v>
      </c>
      <c r="K53" s="306">
        <f>TblRezone[[#This Row],[Hour]]</f>
        <v>50</v>
      </c>
      <c r="L53" s="307">
        <f ca="1">TblImps[[#This Row],[Real time]]</f>
        <v>45431.791666666548</v>
      </c>
      <c r="M53" s="62">
        <f>IF(ISERROR(TblImps[[#This Row],[algorithm]]),0,TblImps[[#This Row],[algorithm]]*1)</f>
        <v>1</v>
      </c>
      <c r="N53" s="97">
        <f ca="1">TblImps[[#This Row],[Land]]</f>
        <v>642</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62">
        <f>TblImps[[#This Row],[Login]]</f>
        <v>1</v>
      </c>
      <c r="BX53" s="140"/>
      <c r="BY53" s="316">
        <f ca="1">OFFSET(TblImps[[#This Row],[Real time]],-1,0)+1/24</f>
        <v>45431.791666666548</v>
      </c>
      <c r="BZ53" s="317">
        <f ca="1">OFFSET(TblImps[[#This Row],[Servertime]],-1,0)+1/24</f>
        <v>45432.041666666548</v>
      </c>
      <c r="CA53" s="57"/>
      <c r="CB53" s="315"/>
      <c r="CC53" s="315"/>
    </row>
    <row r="54" spans="1:81" x14ac:dyDescent="0.2">
      <c r="A54" s="225">
        <f ca="1">TblConstr[[#This Row],[Land]]</f>
        <v>656</v>
      </c>
      <c r="B54" s="145"/>
      <c r="C54" s="97">
        <f ca="1">TblProd[[#This Row],[Platinum]]</f>
        <v>356298</v>
      </c>
      <c r="D54" s="97">
        <f ca="1">TblProd[[#This Row],[Lumber]]</f>
        <v>4495</v>
      </c>
      <c r="E54" s="97">
        <f ca="1">TblProd[[#This Row],[Ore]]</f>
        <v>0</v>
      </c>
      <c r="F54" s="97">
        <f ca="1">TblProd[[#This Row],[Gems]]</f>
        <v>0</v>
      </c>
      <c r="G54" s="157"/>
      <c r="H54" s="97">
        <f ca="1">TblMili[[#This Row],[Draftees]]</f>
        <v>716</v>
      </c>
      <c r="I54" s="183">
        <f ca="1">TblPop[[#This Row],[Employment]]</f>
        <v>0.89623611682435211</v>
      </c>
      <c r="J54" s="183">
        <f ca="1">TblPop[[#This Row],[Total]]/TblPop[[#This Row],[Net max]]</f>
        <v>1</v>
      </c>
      <c r="K54" s="306">
        <f>TblRezone[[#This Row],[Hour]]</f>
        <v>51</v>
      </c>
      <c r="L54" s="307">
        <f ca="1">TblImps[[#This Row],[Real time]]</f>
        <v>45431.833333333212</v>
      </c>
      <c r="M54" s="62">
        <f>IF(ISERROR(TblImps[[#This Row],[algorithm]]),0,TblImps[[#This Row],[algorithm]]*1)</f>
        <v>1</v>
      </c>
      <c r="N54" s="97">
        <f ca="1">TblImps[[#This Row],[Land]]</f>
        <v>656</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62">
        <f>TblImps[[#This Row],[Login]]</f>
        <v>1</v>
      </c>
      <c r="BX54" s="140"/>
      <c r="BY54" s="316">
        <f ca="1">OFFSET(TblImps[[#This Row],[Real time]],-1,0)+1/24</f>
        <v>45431.833333333212</v>
      </c>
      <c r="BZ54" s="317">
        <f ca="1">OFFSET(TblImps[[#This Row],[Servertime]],-1,0)+1/24</f>
        <v>45432.083333333212</v>
      </c>
      <c r="CA54" s="57"/>
      <c r="CB54" s="315"/>
      <c r="CC54" s="315"/>
    </row>
    <row r="55" spans="1:81" x14ac:dyDescent="0.2">
      <c r="A55" s="225">
        <f ca="1">TblConstr[[#This Row],[Land]]</f>
        <v>669</v>
      </c>
      <c r="B55" s="145"/>
      <c r="C55" s="97">
        <f ca="1">TblProd[[#This Row],[Platinum]]</f>
        <v>389463</v>
      </c>
      <c r="D55" s="97">
        <f ca="1">TblProd[[#This Row],[Lumber]]</f>
        <v>4236</v>
      </c>
      <c r="E55" s="97">
        <f ca="1">TblProd[[#This Row],[Ore]]</f>
        <v>0</v>
      </c>
      <c r="F55" s="97">
        <f ca="1">TblProd[[#This Row],[Gems]]</f>
        <v>0</v>
      </c>
      <c r="G55" s="157"/>
      <c r="H55" s="97">
        <f ca="1">TblMili[[#This Row],[Draftees]]</f>
        <v>813</v>
      </c>
      <c r="I55" s="183">
        <f ca="1">TblPop[[#This Row],[Employment]]</f>
        <v>1</v>
      </c>
      <c r="J55" s="183">
        <f ca="1">TblPop[[#This Row],[Total]]/TblPop[[#This Row],[Net max]]</f>
        <v>1</v>
      </c>
      <c r="K55" s="306">
        <f>TblRezone[[#This Row],[Hour]]</f>
        <v>52</v>
      </c>
      <c r="L55" s="307">
        <f ca="1">TblImps[[#This Row],[Real time]]</f>
        <v>45431.874999999876</v>
      </c>
      <c r="M55" s="62">
        <f>IF(ISERROR(TblImps[[#This Row],[algorithm]]),0,TblImps[[#This Row],[algorithm]]*1)</f>
        <v>1</v>
      </c>
      <c r="N55" s="97">
        <f ca="1">TblImps[[#This Row],[Land]]</f>
        <v>669</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62">
        <f>TblImps[[#This Row],[Login]]</f>
        <v>1</v>
      </c>
      <c r="BX55" s="140"/>
      <c r="BY55" s="316">
        <f ca="1">OFFSET(TblImps[[#This Row],[Real time]],-1,0)+1/24</f>
        <v>45431.874999999876</v>
      </c>
      <c r="BZ55" s="317">
        <f ca="1">OFFSET(TblImps[[#This Row],[Servertime]],-1,0)+1/24</f>
        <v>45432.124999999876</v>
      </c>
      <c r="CA55" s="57"/>
      <c r="CB55" s="315"/>
      <c r="CC55" s="315"/>
    </row>
    <row r="56" spans="1:81" x14ac:dyDescent="0.2">
      <c r="A56" s="225">
        <f ca="1">TblConstr[[#This Row],[Land]]</f>
        <v>680</v>
      </c>
      <c r="B56" s="145"/>
      <c r="C56" s="97">
        <f ca="1">TblProd[[#This Row],[Platinum]]</f>
        <v>429145</v>
      </c>
      <c r="D56" s="97">
        <f ca="1">TblProd[[#This Row],[Lumber]]</f>
        <v>4153</v>
      </c>
      <c r="E56" s="97">
        <f ca="1">TblProd[[#This Row],[Ore]]</f>
        <v>0</v>
      </c>
      <c r="F56" s="97">
        <f ca="1">TblProd[[#This Row],[Gems]]</f>
        <v>0</v>
      </c>
      <c r="G56" s="157"/>
      <c r="H56" s="97">
        <f ca="1">TblMili[[#This Row],[Draftees]]</f>
        <v>911</v>
      </c>
      <c r="I56" s="183">
        <f ca="1">TblPop[[#This Row],[Employment]]</f>
        <v>1</v>
      </c>
      <c r="J56" s="183">
        <f ca="1">TblPop[[#This Row],[Total]]/TblPop[[#This Row],[Net max]]</f>
        <v>1</v>
      </c>
      <c r="K56" s="306">
        <f>TblRezone[[#This Row],[Hour]]</f>
        <v>53</v>
      </c>
      <c r="L56" s="307">
        <f ca="1">TblImps[[#This Row],[Real time]]</f>
        <v>45431.916666666541</v>
      </c>
      <c r="M56" s="62">
        <f>IF(ISERROR(TblImps[[#This Row],[algorithm]]),0,TblImps[[#This Row],[algorithm]]*1)</f>
        <v>1</v>
      </c>
      <c r="N56" s="97">
        <f ca="1">TblImps[[#This Row],[Land]]</f>
        <v>680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62">
        <f>TblImps[[#This Row],[Login]]</f>
        <v>1</v>
      </c>
      <c r="BX56" s="140"/>
      <c r="BY56" s="316">
        <f ca="1">OFFSET(TblImps[[#This Row],[Real time]],-1,0)+1/24</f>
        <v>45431.916666666541</v>
      </c>
      <c r="BZ56" s="317">
        <f ca="1">OFFSET(TblImps[[#This Row],[Servertime]],-1,0)+1/24</f>
        <v>45432.166666666541</v>
      </c>
      <c r="CA56" s="57"/>
      <c r="CB56" s="315"/>
      <c r="CC56" s="315"/>
    </row>
    <row r="57" spans="1:81" x14ac:dyDescent="0.2">
      <c r="A57" s="225">
        <f ca="1">TblConstr[[#This Row],[Land]]</f>
        <v>692</v>
      </c>
      <c r="B57" s="145"/>
      <c r="C57" s="97">
        <f ca="1">TblProd[[#This Row],[Platinum]]</f>
        <v>468410</v>
      </c>
      <c r="D57" s="97">
        <f ca="1">TblProd[[#This Row],[Lumber]]</f>
        <v>3928</v>
      </c>
      <c r="E57" s="97">
        <f ca="1">TblProd[[#This Row],[Ore]]</f>
        <v>0</v>
      </c>
      <c r="F57" s="97">
        <f ca="1">TblProd[[#This Row],[Gems]]</f>
        <v>0</v>
      </c>
      <c r="G57" s="157"/>
      <c r="H57" s="97">
        <f ca="1">TblMili[[#This Row],[Draftees]]</f>
        <v>1010</v>
      </c>
      <c r="I57" s="183">
        <f ca="1">TblPop[[#This Row],[Employment]]</f>
        <v>1</v>
      </c>
      <c r="J57" s="183">
        <f ca="1">TblPop[[#This Row],[Total]]/TblPop[[#This Row],[Net max]]</f>
        <v>1</v>
      </c>
      <c r="K57" s="306">
        <f>TblRezone[[#This Row],[Hour]]</f>
        <v>54</v>
      </c>
      <c r="L57" s="307">
        <f ca="1">TblImps[[#This Row],[Real time]]</f>
        <v>45431.958333333205</v>
      </c>
      <c r="M57" s="62">
        <f>IF(ISERROR(TblImps[[#This Row],[algorithm]]),0,TblImps[[#This Row],[algorithm]]*1)</f>
        <v>1</v>
      </c>
      <c r="N57" s="97">
        <f ca="1">TblImps[[#This Row],[Land]]</f>
        <v>692</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62">
        <f>TblImps[[#This Row],[Login]]</f>
        <v>1</v>
      </c>
      <c r="BX57" s="140"/>
      <c r="BY57" s="316">
        <f ca="1">OFFSET(TblImps[[#This Row],[Real time]],-1,0)+1/24</f>
        <v>45431.958333333205</v>
      </c>
      <c r="BZ57" s="317">
        <f ca="1">OFFSET(TblImps[[#This Row],[Servertime]],-1,0)+1/24</f>
        <v>45432.208333333205</v>
      </c>
      <c r="CA57" s="57"/>
      <c r="CB57" s="315"/>
      <c r="CC57" s="315"/>
    </row>
    <row r="58" spans="1:81" x14ac:dyDescent="0.2">
      <c r="A58" s="225">
        <f ca="1">TblConstr[[#This Row],[Land]]</f>
        <v>700</v>
      </c>
      <c r="B58" s="145"/>
      <c r="C58" s="97">
        <f ca="1">TblProd[[#This Row],[Platinum]]</f>
        <v>510224</v>
      </c>
      <c r="D58" s="97">
        <f ca="1">TblProd[[#This Row],[Lumber]]</f>
        <v>4118</v>
      </c>
      <c r="E58" s="97">
        <f ca="1">TblProd[[#This Row],[Ore]]</f>
        <v>0</v>
      </c>
      <c r="F58" s="97">
        <f ca="1">TblProd[[#This Row],[Gems]]</f>
        <v>0</v>
      </c>
      <c r="G58" s="157"/>
      <c r="H58" s="97">
        <f ca="1">TblMili[[#This Row],[Draftees]]</f>
        <v>1110</v>
      </c>
      <c r="I58" s="183">
        <f ca="1">TblPop[[#This Row],[Employment]]</f>
        <v>1</v>
      </c>
      <c r="J58" s="183">
        <f ca="1">TblPop[[#This Row],[Total]]/TblPop[[#This Row],[Net max]]</f>
        <v>1</v>
      </c>
      <c r="K58" s="306">
        <f>TblRezone[[#This Row],[Hour]]</f>
        <v>55</v>
      </c>
      <c r="L58" s="307">
        <f ca="1">TblImps[[#This Row],[Real time]]</f>
        <v>45431.999999999869</v>
      </c>
      <c r="M58" s="62">
        <f>IF(ISERROR(TblImps[[#This Row],[algorithm]]),0,TblImps[[#This Row],[algorithm]]*1)</f>
        <v>1</v>
      </c>
      <c r="N58" s="97">
        <f ca="1">TblImps[[#This Row],[Land]]</f>
        <v>700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62">
        <f>TblImps[[#This Row],[Login]]</f>
        <v>1</v>
      </c>
      <c r="BX58" s="140"/>
      <c r="BY58" s="316">
        <f ca="1">OFFSET(TblImps[[#This Row],[Real time]],-1,0)+1/24</f>
        <v>45431.999999999869</v>
      </c>
      <c r="BZ58" s="317">
        <f ca="1">OFFSET(TblImps[[#This Row],[Servertime]],-1,0)+1/24</f>
        <v>45432.249999999869</v>
      </c>
      <c r="CA58" s="57"/>
      <c r="CB58" s="315"/>
      <c r="CC58" s="315"/>
    </row>
    <row r="59" spans="1:81" x14ac:dyDescent="0.2">
      <c r="A59" s="225">
        <f ca="1">TblConstr[[#This Row],[Land]]</f>
        <v>700</v>
      </c>
      <c r="B59" s="145"/>
      <c r="C59" s="97">
        <f ca="1">TblProd[[#This Row],[Platinum]]</f>
        <v>556484</v>
      </c>
      <c r="D59" s="97">
        <f ca="1">TblProd[[#This Row],[Lumber]]</f>
        <v>5090</v>
      </c>
      <c r="E59" s="97">
        <f ca="1">TblProd[[#This Row],[Ore]]</f>
        <v>0</v>
      </c>
      <c r="F59" s="97">
        <f ca="1">TblProd[[#This Row],[Gems]]</f>
        <v>0</v>
      </c>
      <c r="G59" s="157"/>
      <c r="H59" s="97">
        <f ca="1">TblMili[[#This Row],[Draftees]]</f>
        <v>1211</v>
      </c>
      <c r="I59" s="183">
        <f ca="1">TblPop[[#This Row],[Employment]]</f>
        <v>1</v>
      </c>
      <c r="J59" s="183">
        <f ca="1">TblPop[[#This Row],[Total]]/TblPop[[#This Row],[Net max]]</f>
        <v>1</v>
      </c>
      <c r="K59" s="306">
        <f>TblRezone[[#This Row],[Hour]]</f>
        <v>56</v>
      </c>
      <c r="L59" s="307">
        <f ca="1">TblImps[[#This Row],[Real time]]</f>
        <v>45432.041666666533</v>
      </c>
      <c r="M59" s="62">
        <f>IF(ISERROR(TblImps[[#This Row],[algorithm]]),0,TblImps[[#This Row],[algorithm]]*1)</f>
        <v>1</v>
      </c>
      <c r="N59" s="97">
        <f ca="1">TblImps[[#This Row],[Land]]</f>
        <v>700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62">
        <f>TblImps[[#This Row],[Login]]</f>
        <v>1</v>
      </c>
      <c r="BX59" s="140"/>
      <c r="BY59" s="316">
        <f ca="1">OFFSET(TblImps[[#This Row],[Real time]],-1,0)+1/24</f>
        <v>45432.041666666533</v>
      </c>
      <c r="BZ59" s="317">
        <f ca="1">OFFSET(TblImps[[#This Row],[Servertime]],-1,0)+1/24</f>
        <v>45432.291666666533</v>
      </c>
      <c r="CA59" s="57"/>
      <c r="CB59" s="315"/>
      <c r="CC59" s="315"/>
    </row>
    <row r="60" spans="1:81" x14ac:dyDescent="0.2">
      <c r="A60" s="225">
        <f ca="1">TblConstr[[#This Row],[Land]]</f>
        <v>700</v>
      </c>
      <c r="B60" s="145"/>
      <c r="C60" s="97">
        <f ca="1">TblProd[[#This Row],[Platinum]]</f>
        <v>602753</v>
      </c>
      <c r="D60" s="97">
        <f ca="1">TblProd[[#This Row],[Lumber]]</f>
        <v>6050</v>
      </c>
      <c r="E60" s="97">
        <f ca="1">TblProd[[#This Row],[Ore]]</f>
        <v>0</v>
      </c>
      <c r="F60" s="97">
        <f ca="1">TblProd[[#This Row],[Gems]]</f>
        <v>0</v>
      </c>
      <c r="G60" s="157"/>
      <c r="H60" s="97">
        <f ca="1">TblMili[[#This Row],[Draftees]]</f>
        <v>1312</v>
      </c>
      <c r="I60" s="183">
        <f ca="1">TblPop[[#This Row],[Employment]]</f>
        <v>1</v>
      </c>
      <c r="J60" s="183">
        <f ca="1">TblPop[[#This Row],[Total]]/TblPop[[#This Row],[Net max]]</f>
        <v>1</v>
      </c>
      <c r="K60" s="306">
        <f>TblRezone[[#This Row],[Hour]]</f>
        <v>57</v>
      </c>
      <c r="L60" s="307">
        <f ca="1">TblImps[[#This Row],[Real time]]</f>
        <v>45432.083333333198</v>
      </c>
      <c r="M60" s="62">
        <f>IF(ISERROR(TblImps[[#This Row],[algorithm]]),0,TblImps[[#This Row],[algorithm]]*1)</f>
        <v>1</v>
      </c>
      <c r="N60" s="97">
        <f ca="1">TblImps[[#This Row],[Land]]</f>
        <v>700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62">
        <f>TblImps[[#This Row],[Login]]</f>
        <v>1</v>
      </c>
      <c r="BX60" s="140"/>
      <c r="BY60" s="316">
        <f ca="1">OFFSET(TblImps[[#This Row],[Real time]],-1,0)+1/24</f>
        <v>45432.083333333198</v>
      </c>
      <c r="BZ60" s="317">
        <f ca="1">OFFSET(TblImps[[#This Row],[Servertime]],-1,0)+1/24</f>
        <v>45432.333333333198</v>
      </c>
      <c r="CA60" s="57"/>
      <c r="CB60" s="315"/>
      <c r="CC60" s="315"/>
    </row>
    <row r="61" spans="1:81" x14ac:dyDescent="0.2">
      <c r="A61" s="225">
        <f ca="1">TblConstr[[#This Row],[Land]]</f>
        <v>700</v>
      </c>
      <c r="B61" s="145"/>
      <c r="C61" s="97">
        <f ca="1">TblProd[[#This Row],[Platinum]]</f>
        <v>648776</v>
      </c>
      <c r="D61" s="97">
        <f ca="1">TblProd[[#This Row],[Lumber]]</f>
        <v>7000</v>
      </c>
      <c r="E61" s="97">
        <f ca="1">TblProd[[#This Row],[Ore]]</f>
        <v>0</v>
      </c>
      <c r="F61" s="97">
        <f ca="1">TblProd[[#This Row],[Gems]]</f>
        <v>0</v>
      </c>
      <c r="G61" s="157"/>
      <c r="H61" s="97">
        <f ca="1">TblMili[[#This Row],[Draftees]]</f>
        <v>1412</v>
      </c>
      <c r="I61" s="183">
        <f ca="1">TblPop[[#This Row],[Employment]]</f>
        <v>1</v>
      </c>
      <c r="J61" s="183">
        <f ca="1">TblPop[[#This Row],[Total]]/TblPop[[#This Row],[Net max]]</f>
        <v>1</v>
      </c>
      <c r="K61" s="306">
        <f>TblRezone[[#This Row],[Hour]]</f>
        <v>58</v>
      </c>
      <c r="L61" s="307">
        <f ca="1">TblImps[[#This Row],[Real time]]</f>
        <v>45432.124999999862</v>
      </c>
      <c r="M61" s="62">
        <f>IF(ISERROR(TblImps[[#This Row],[algorithm]]),0,TblImps[[#This Row],[algorithm]]*1)</f>
        <v>1</v>
      </c>
      <c r="N61" s="97">
        <f ca="1">TblImps[[#This Row],[Land]]</f>
        <v>700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62">
        <f>TblImps[[#This Row],[Login]]</f>
        <v>1</v>
      </c>
      <c r="BX61" s="140"/>
      <c r="BY61" s="316">
        <f ca="1">OFFSET(TblImps[[#This Row],[Real time]],-1,0)+1/24</f>
        <v>45432.124999999862</v>
      </c>
      <c r="BZ61" s="317">
        <f ca="1">OFFSET(TblImps[[#This Row],[Servertime]],-1,0)+1/24</f>
        <v>45432.374999999862</v>
      </c>
      <c r="CA61" s="57"/>
      <c r="CB61" s="315"/>
      <c r="CC61" s="315"/>
    </row>
    <row r="62" spans="1:81" x14ac:dyDescent="0.2">
      <c r="A62" s="225">
        <f ca="1">TblConstr[[#This Row],[Land]]</f>
        <v>700</v>
      </c>
      <c r="B62" s="145"/>
      <c r="C62" s="97">
        <f ca="1">TblProd[[#This Row],[Platinum]]</f>
        <v>694619</v>
      </c>
      <c r="D62" s="97">
        <f ca="1">TblProd[[#This Row],[Lumber]]</f>
        <v>7938</v>
      </c>
      <c r="E62" s="97">
        <f ca="1">TblProd[[#This Row],[Ore]]</f>
        <v>0</v>
      </c>
      <c r="F62" s="97">
        <f ca="1">TblProd[[#This Row],[Gems]]</f>
        <v>0</v>
      </c>
      <c r="G62" s="157"/>
      <c r="H62" s="97">
        <f ca="1">TblMili[[#This Row],[Draftees]]</f>
        <v>1511</v>
      </c>
      <c r="I62" s="183">
        <f ca="1">TblPop[[#This Row],[Employment]]</f>
        <v>1</v>
      </c>
      <c r="J62" s="183">
        <f ca="1">TblPop[[#This Row],[Total]]/TblPop[[#This Row],[Net max]]</f>
        <v>1</v>
      </c>
      <c r="K62" s="306">
        <f>TblRezone[[#This Row],[Hour]]</f>
        <v>59</v>
      </c>
      <c r="L62" s="307">
        <f ca="1">TblImps[[#This Row],[Real time]]</f>
        <v>45432.166666666526</v>
      </c>
      <c r="M62" s="62">
        <f>IF(ISERROR(TblImps[[#This Row],[algorithm]]),0,TblImps[[#This Row],[algorithm]]*1)</f>
        <v>1</v>
      </c>
      <c r="N62" s="97">
        <f ca="1">TblImps[[#This Row],[Land]]</f>
        <v>700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62">
        <f>TblImps[[#This Row],[Login]]</f>
        <v>1</v>
      </c>
      <c r="BX62" s="140"/>
      <c r="BY62" s="316">
        <f ca="1">OFFSET(TblImps[[#This Row],[Real time]],-1,0)+1/24</f>
        <v>45432.166666666526</v>
      </c>
      <c r="BZ62" s="317">
        <f ca="1">OFFSET(TblImps[[#This Row],[Servertime]],-1,0)+1/24</f>
        <v>45432.416666666526</v>
      </c>
      <c r="CA62" s="57"/>
      <c r="CB62" s="315"/>
      <c r="CC62" s="315"/>
    </row>
    <row r="63" spans="1:81" x14ac:dyDescent="0.2">
      <c r="A63" s="225">
        <f ca="1">TblConstr[[#This Row],[Land]]</f>
        <v>700</v>
      </c>
      <c r="B63" s="145"/>
      <c r="C63" s="97">
        <f ca="1">TblProd[[#This Row],[Platinum]]</f>
        <v>740222</v>
      </c>
      <c r="D63" s="97">
        <f ca="1">TblProd[[#This Row],[Lumber]]</f>
        <v>8866</v>
      </c>
      <c r="E63" s="97">
        <f ca="1">TblProd[[#This Row],[Ore]]</f>
        <v>0</v>
      </c>
      <c r="F63" s="97">
        <f ca="1">TblProd[[#This Row],[Gems]]</f>
        <v>0</v>
      </c>
      <c r="G63" s="157"/>
      <c r="H63" s="97">
        <f ca="1">TblMili[[#This Row],[Draftees]]</f>
        <v>1609</v>
      </c>
      <c r="I63" s="183">
        <f ca="1">TblPop[[#This Row],[Employment]]</f>
        <v>1</v>
      </c>
      <c r="J63" s="183">
        <f ca="1">TblPop[[#This Row],[Total]]/TblPop[[#This Row],[Net max]]</f>
        <v>1</v>
      </c>
      <c r="K63" s="306">
        <f>TblRezone[[#This Row],[Hour]]</f>
        <v>60</v>
      </c>
      <c r="L63" s="307">
        <f ca="1">TblImps[[#This Row],[Real time]]</f>
        <v>45432.20833333319</v>
      </c>
      <c r="M63" s="62">
        <f>IF(ISERROR(TblImps[[#This Row],[algorithm]]),0,TblImps[[#This Row],[algorithm]]*1)</f>
        <v>1</v>
      </c>
      <c r="N63" s="97">
        <f ca="1">TblImps[[#This Row],[Land]]</f>
        <v>700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62">
        <f>TblImps[[#This Row],[Login]]</f>
        <v>1</v>
      </c>
      <c r="BX63" s="140"/>
      <c r="BY63" s="316">
        <f ca="1">OFFSET(TblImps[[#This Row],[Real time]],-1,0)+1/24</f>
        <v>45432.20833333319</v>
      </c>
      <c r="BZ63" s="317">
        <f ca="1">OFFSET(TblImps[[#This Row],[Servertime]],-1,0)+1/24</f>
        <v>45432.45833333319</v>
      </c>
      <c r="CA63" s="57"/>
      <c r="CB63" s="315"/>
      <c r="CC63" s="315"/>
    </row>
    <row r="64" spans="1:81" x14ac:dyDescent="0.2">
      <c r="A64" s="225">
        <f ca="1">TblConstr[[#This Row],[Land]]</f>
        <v>700</v>
      </c>
      <c r="B64" s="145"/>
      <c r="C64" s="97">
        <f ca="1">TblProd[[#This Row],[Platinum]]</f>
        <v>12986</v>
      </c>
      <c r="D64" s="97">
        <f ca="1">TblProd[[#This Row],[Lumber]]</f>
        <v>3902</v>
      </c>
      <c r="E64" s="97">
        <f ca="1">TblProd[[#This Row],[Ore]]</f>
        <v>0</v>
      </c>
      <c r="F64" s="97">
        <f ca="1">TblProd[[#This Row],[Gems]]</f>
        <v>0</v>
      </c>
      <c r="G64" s="157"/>
      <c r="H64" s="97">
        <f ca="1">TblMili[[#This Row],[Draftees]]</f>
        <v>396</v>
      </c>
      <c r="I64" s="183">
        <f ca="1">TblPop[[#This Row],[Employment]]</f>
        <v>1</v>
      </c>
      <c r="J64" s="183">
        <f ca="1">TblPop[[#This Row],[Total]]/TblPop[[#This Row],[Net max]]</f>
        <v>1</v>
      </c>
      <c r="K64" s="306">
        <f>TblRezone[[#This Row],[Hour]]</f>
        <v>61</v>
      </c>
      <c r="L64" s="307">
        <f ca="1">TblImps[[#This Row],[Real time]]</f>
        <v>45432.249999999854</v>
      </c>
      <c r="M64" s="62">
        <f>IF(ISERROR(TblImps[[#This Row],[algorithm]]),0,TblImps[[#This Row],[algorithm]]*1)</f>
        <v>1</v>
      </c>
      <c r="N64" s="97">
        <f ca="1">TblImps[[#This Row],[Land]]</f>
        <v>700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62">
        <f>TblImps[[#This Row],[Login]]</f>
        <v>1</v>
      </c>
      <c r="BX64" s="140"/>
      <c r="BY64" s="316">
        <f ca="1">OFFSET(TblImps[[#This Row],[Real time]],-1,0)+1/24</f>
        <v>45432.249999999854</v>
      </c>
      <c r="BZ64" s="317">
        <f ca="1">OFFSET(TblImps[[#This Row],[Servertime]],-1,0)+1/24</f>
        <v>45432.499999999854</v>
      </c>
      <c r="CA64" s="57"/>
      <c r="CB64" s="315"/>
      <c r="CC64" s="315"/>
    </row>
    <row r="65" spans="1:84" x14ac:dyDescent="0.2">
      <c r="A65" s="225">
        <f ca="1">TblConstr[[#This Row],[Land]]</f>
        <v>700</v>
      </c>
      <c r="B65" s="145"/>
      <c r="C65" s="97">
        <f ca="1">TblProd[[#This Row],[Platinum]]</f>
        <v>55184</v>
      </c>
      <c r="D65" s="97">
        <f ca="1">TblProd[[#This Row],[Lumber]]</f>
        <v>4003</v>
      </c>
      <c r="E65" s="97">
        <f ca="1">TblProd[[#This Row],[Ore]]</f>
        <v>0</v>
      </c>
      <c r="F65" s="97">
        <f ca="1">TblProd[[#This Row],[Gems]]</f>
        <v>0</v>
      </c>
      <c r="G65" s="157"/>
      <c r="H65" s="97">
        <f ca="1">TblMili[[#This Row],[Draftees]]</f>
        <v>498</v>
      </c>
      <c r="I65" s="183">
        <f ca="1">TblPop[[#This Row],[Employment]]</f>
        <v>1</v>
      </c>
      <c r="J65" s="183">
        <f ca="1">TblPop[[#This Row],[Total]]/TblPop[[#This Row],[Net max]]</f>
        <v>1</v>
      </c>
      <c r="K65" s="306">
        <f>TblRezone[[#This Row],[Hour]]</f>
        <v>62</v>
      </c>
      <c r="L65" s="307">
        <f ca="1">TblImps[[#This Row],[Real time]]</f>
        <v>45432.291666666519</v>
      </c>
      <c r="M65" s="62">
        <f>IF(ISERROR(TblImps[[#This Row],[algorithm]]),0,TblImps[[#This Row],[algorithm]]*1)</f>
        <v>1</v>
      </c>
      <c r="N65" s="97">
        <f ca="1">TblImps[[#This Row],[Land]]</f>
        <v>700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62">
        <f>TblImps[[#This Row],[Login]]</f>
        <v>1</v>
      </c>
      <c r="BX65" s="140"/>
      <c r="BY65" s="316">
        <f ca="1">OFFSET(TblImps[[#This Row],[Real time]],-1,0)+1/24</f>
        <v>45432.291666666519</v>
      </c>
      <c r="BZ65" s="317">
        <f ca="1">OFFSET(TblImps[[#This Row],[Servertime]],-1,0)+1/24</f>
        <v>45432.541666666519</v>
      </c>
      <c r="CA65" s="57"/>
      <c r="CB65" s="315"/>
      <c r="CC65" s="315"/>
    </row>
    <row r="66" spans="1:84" x14ac:dyDescent="0.2">
      <c r="A66" s="225">
        <f ca="1">TblConstr[[#This Row],[Land]]</f>
        <v>700</v>
      </c>
      <c r="B66" s="145"/>
      <c r="C66" s="97">
        <f ca="1">TblProd[[#This Row],[Platinum]]</f>
        <v>96824</v>
      </c>
      <c r="D66" s="97">
        <f ca="1">TblProd[[#This Row],[Lumber]]</f>
        <v>4063</v>
      </c>
      <c r="E66" s="97">
        <f ca="1">TblProd[[#This Row],[Ore]]</f>
        <v>0</v>
      </c>
      <c r="F66" s="97">
        <f ca="1">TblProd[[#This Row],[Gems]]</f>
        <v>0</v>
      </c>
      <c r="G66" s="157"/>
      <c r="H66" s="97">
        <f ca="1">TblMili[[#This Row],[Draftees]]</f>
        <v>599</v>
      </c>
      <c r="I66" s="183">
        <f ca="1">TblPop[[#This Row],[Employment]]</f>
        <v>1</v>
      </c>
      <c r="J66" s="183">
        <f ca="1">TblPop[[#This Row],[Total]]/TblPop[[#This Row],[Net max]]</f>
        <v>1</v>
      </c>
      <c r="K66" s="306">
        <f>TblRezone[[#This Row],[Hour]]</f>
        <v>63</v>
      </c>
      <c r="L66" s="307">
        <f ca="1">TblImps[[#This Row],[Real time]]</f>
        <v>45432.333333333183</v>
      </c>
      <c r="M66" s="62">
        <f>IF(ISERROR(TblImps[[#This Row],[algorithm]]),0,TblImps[[#This Row],[algorithm]]*1)</f>
        <v>1</v>
      </c>
      <c r="N66" s="97">
        <f ca="1">TblImps[[#This Row],[Land]]</f>
        <v>700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62">
        <f>TblImps[[#This Row],[Login]]</f>
        <v>1</v>
      </c>
      <c r="BX66" s="140"/>
      <c r="BY66" s="316">
        <f ca="1">OFFSET(TblImps[[#This Row],[Real time]],-1,0)+1/24</f>
        <v>45432.333333333183</v>
      </c>
      <c r="BZ66" s="317">
        <f ca="1">OFFSET(TblImps[[#This Row],[Servertime]],-1,0)+1/24</f>
        <v>45432.583333333183</v>
      </c>
      <c r="CA66" s="320"/>
      <c r="CB66" s="315"/>
      <c r="CC66" s="315"/>
    </row>
    <row r="67" spans="1:84" x14ac:dyDescent="0.2">
      <c r="A67" s="225">
        <f ca="1">TblConstr[[#This Row],[Land]]</f>
        <v>700</v>
      </c>
      <c r="B67" s="145"/>
      <c r="C67" s="97">
        <f ca="1">TblProd[[#This Row],[Platinum]]</f>
        <v>7459</v>
      </c>
      <c r="D67" s="97">
        <f ca="1">TblProd[[#This Row],[Lumber]]</f>
        <v>4723</v>
      </c>
      <c r="E67" s="97">
        <f ca="1">TblProd[[#This Row],[Ore]]</f>
        <v>0</v>
      </c>
      <c r="F67" s="97">
        <f ca="1">TblProd[[#This Row],[Gems]]</f>
        <v>0</v>
      </c>
      <c r="G67" s="157"/>
      <c r="H67" s="97">
        <f ca="1">TblMili[[#This Row],[Draftees]]</f>
        <v>0</v>
      </c>
      <c r="I67" s="183">
        <f ca="1">TblPop[[#This Row],[Employment]]</f>
        <v>1</v>
      </c>
      <c r="J67" s="183">
        <f ca="1">TblPop[[#This Row],[Total]]/TblPop[[#This Row],[Net max]]</f>
        <v>1</v>
      </c>
      <c r="K67" s="306">
        <f>TblRezone[[#This Row],[Hour]]</f>
        <v>64</v>
      </c>
      <c r="L67" s="307">
        <f ca="1">TblImps[[#This Row],[Real time]]</f>
        <v>45432.374999999847</v>
      </c>
      <c r="M67" s="62">
        <f>IF(ISERROR(TblImps[[#This Row],[algorithm]]),0,TblImps[[#This Row],[algorithm]]*1)</f>
        <v>1</v>
      </c>
      <c r="N67" s="97">
        <f ca="1">TblImps[[#This Row],[Land]]</f>
        <v>700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62">
        <f>TblImps[[#This Row],[Login]]</f>
        <v>1</v>
      </c>
      <c r="BX67" s="140"/>
      <c r="BY67" s="316">
        <f ca="1">OFFSET(TblImps[[#This Row],[Real time]],-1,0)+1/24</f>
        <v>45432.374999999847</v>
      </c>
      <c r="BZ67" s="317">
        <f ca="1">OFFSET(TblImps[[#This Row],[Servertime]],-1,0)+1/24</f>
        <v>45432.624999999847</v>
      </c>
      <c r="CA67" s="57"/>
      <c r="CB67" s="315"/>
      <c r="CC67" s="315"/>
    </row>
    <row r="68" spans="1:84" x14ac:dyDescent="0.2">
      <c r="A68" s="225">
        <f ca="1">TblConstr[[#This Row],[Land]]</f>
        <v>700</v>
      </c>
      <c r="B68" s="145"/>
      <c r="C68" s="97">
        <f ca="1">TblProd[[#This Row],[Platinum]]</f>
        <v>36150</v>
      </c>
      <c r="D68" s="97">
        <f ca="1">TblProd[[#This Row],[Lumber]]</f>
        <v>5801</v>
      </c>
      <c r="E68" s="97">
        <f ca="1">TblProd[[#This Row],[Ore]]</f>
        <v>0</v>
      </c>
      <c r="F68" s="97">
        <f ca="1">TblProd[[#This Row],[Gems]]</f>
        <v>0</v>
      </c>
      <c r="G68" s="157"/>
      <c r="H68" s="97">
        <f ca="1">TblMili[[#This Row],[Draftees]]</f>
        <v>3</v>
      </c>
      <c r="I68" s="183">
        <f ca="1">TblPop[[#This Row],[Employment]]</f>
        <v>1</v>
      </c>
      <c r="J68" s="183">
        <f ca="1">TblPop[[#This Row],[Total]]/TblPop[[#This Row],[Net max]]</f>
        <v>1</v>
      </c>
      <c r="K68" s="306">
        <f>TblRezone[[#This Row],[Hour]]</f>
        <v>65</v>
      </c>
      <c r="L68" s="307">
        <f ca="1">TblImps[[#This Row],[Real time]]</f>
        <v>45432.416666666511</v>
      </c>
      <c r="M68" s="62">
        <f>IF(ISERROR(TblImps[[#This Row],[algorithm]]),0,TblImps[[#This Row],[algorithm]]*1)</f>
        <v>1</v>
      </c>
      <c r="N68" s="97">
        <f ca="1">TblImps[[#This Row],[Land]]</f>
        <v>700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62">
        <f>TblImps[[#This Row],[Login]]</f>
        <v>1</v>
      </c>
      <c r="BX68" s="140"/>
      <c r="BY68" s="316">
        <f ca="1">OFFSET(TblImps[[#This Row],[Real time]],-1,0)+1/24</f>
        <v>45432.416666666511</v>
      </c>
      <c r="BZ68" s="317">
        <f ca="1">OFFSET(TblImps[[#This Row],[Servertime]],-1,0)+1/24</f>
        <v>45432.666666666511</v>
      </c>
      <c r="CA68" s="57"/>
      <c r="CB68" s="315"/>
      <c r="CC68" s="315"/>
    </row>
    <row r="69" spans="1:84" x14ac:dyDescent="0.2">
      <c r="A69" s="225">
        <f ca="1">TblConstr[[#This Row],[Land]]</f>
        <v>700</v>
      </c>
      <c r="B69" s="145"/>
      <c r="C69" s="97">
        <f ca="1">TblProd[[#This Row],[Platinum]]</f>
        <v>64993</v>
      </c>
      <c r="D69" s="97">
        <f ca="1">TblProd[[#This Row],[Lumber]]</f>
        <v>6868</v>
      </c>
      <c r="E69" s="97">
        <f ca="1">TblProd[[#This Row],[Ore]]</f>
        <v>0</v>
      </c>
      <c r="F69" s="97">
        <f ca="1">TblProd[[#This Row],[Gems]]</f>
        <v>0</v>
      </c>
      <c r="G69" s="157"/>
      <c r="H69" s="97">
        <f ca="1">TblMili[[#This Row],[Draftees]]</f>
        <v>6</v>
      </c>
      <c r="I69" s="183">
        <f ca="1">TblPop[[#This Row],[Employment]]</f>
        <v>1</v>
      </c>
      <c r="J69" s="183">
        <f ca="1">TblPop[[#This Row],[Total]]/TblPop[[#This Row],[Net max]]</f>
        <v>1</v>
      </c>
      <c r="K69" s="306">
        <f>TblRezone[[#This Row],[Hour]]</f>
        <v>66</v>
      </c>
      <c r="L69" s="307">
        <f ca="1">TblImps[[#This Row],[Real time]]</f>
        <v>45432.458333333176</v>
      </c>
      <c r="M69" s="62">
        <f>IF(ISERROR(TblImps[[#This Row],[algorithm]]),0,TblImps[[#This Row],[algorithm]]*1)</f>
        <v>1</v>
      </c>
      <c r="N69" s="97">
        <f ca="1">TblImps[[#This Row],[Land]]</f>
        <v>700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62">
        <f>TblImps[[#This Row],[Login]]</f>
        <v>1</v>
      </c>
      <c r="BX69" s="140"/>
      <c r="BY69" s="316">
        <f ca="1">OFFSET(TblImps[[#This Row],[Real time]],-1,0)+1/24</f>
        <v>45432.458333333176</v>
      </c>
      <c r="BZ69" s="317">
        <f ca="1">OFFSET(TblImps[[#This Row],[Servertime]],-1,0)+1/24</f>
        <v>45432.708333333176</v>
      </c>
      <c r="CA69" s="57"/>
      <c r="CB69" s="315"/>
      <c r="CC69" s="315"/>
    </row>
    <row r="70" spans="1:84" x14ac:dyDescent="0.2">
      <c r="A70" s="225">
        <f ca="1">TblConstr[[#This Row],[Land]]</f>
        <v>700</v>
      </c>
      <c r="B70" s="145"/>
      <c r="C70" s="97">
        <f ca="1">TblProd[[#This Row],[Platinum]]</f>
        <v>68189</v>
      </c>
      <c r="D70" s="97">
        <f ca="1">TblProd[[#This Row],[Lumber]]</f>
        <v>7924</v>
      </c>
      <c r="E70" s="97">
        <f ca="1">TblProd[[#This Row],[Ore]]</f>
        <v>0</v>
      </c>
      <c r="F70" s="97">
        <f ca="1">TblProd[[#This Row],[Gems]]</f>
        <v>0</v>
      </c>
      <c r="G70" s="157"/>
      <c r="H70" s="97">
        <f ca="1">TblMili[[#This Row],[Draftees]]</f>
        <v>0</v>
      </c>
      <c r="I70" s="183">
        <f ca="1">TblPop[[#This Row],[Employment]]</f>
        <v>1</v>
      </c>
      <c r="J70" s="183">
        <f ca="1">TblPop[[#This Row],[Total]]/TblPop[[#This Row],[Net max]]</f>
        <v>1</v>
      </c>
      <c r="K70" s="306">
        <f>TblRezone[[#This Row],[Hour]]</f>
        <v>67</v>
      </c>
      <c r="L70" s="307">
        <f ca="1">TblImps[[#This Row],[Real time]]</f>
        <v>45432.49999999984</v>
      </c>
      <c r="M70" s="62">
        <f>IF(ISERROR(TblImps[[#This Row],[algorithm]]),0,TblImps[[#This Row],[algorithm]]*1)</f>
        <v>1</v>
      </c>
      <c r="N70" s="97">
        <f ca="1">TblImps[[#This Row],[Land]]</f>
        <v>700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62">
        <f>TblImps[[#This Row],[Login]]</f>
        <v>1</v>
      </c>
      <c r="BX70" s="140"/>
      <c r="BY70" s="316">
        <f ca="1">OFFSET(TblImps[[#This Row],[Real time]],-1,0)+1/24</f>
        <v>45432.49999999984</v>
      </c>
      <c r="BZ70" s="317">
        <f ca="1">OFFSET(TblImps[[#This Row],[Servertime]],-1,0)+1/24</f>
        <v>45432.74999999984</v>
      </c>
      <c r="CA70" s="57"/>
      <c r="CB70" s="315"/>
      <c r="CC70" s="315"/>
    </row>
    <row r="71" spans="1:84" x14ac:dyDescent="0.2">
      <c r="A71" s="225">
        <f ca="1">TblConstr[[#This Row],[Land]]</f>
        <v>700</v>
      </c>
      <c r="B71" s="145"/>
      <c r="C71" s="97">
        <f ca="1">TblProd[[#This Row],[Platinum]]</f>
        <v>74962</v>
      </c>
      <c r="D71" s="97">
        <f ca="1">TblProd[[#This Row],[Lumber]]</f>
        <v>8970</v>
      </c>
      <c r="E71" s="97">
        <f ca="1">TblProd[[#This Row],[Ore]]</f>
        <v>0</v>
      </c>
      <c r="F71" s="97">
        <f ca="1">TblProd[[#This Row],[Gems]]</f>
        <v>0</v>
      </c>
      <c r="G71" s="157"/>
      <c r="H71" s="97">
        <f ca="1">TblMili[[#This Row],[Draftees]]</f>
        <v>0</v>
      </c>
      <c r="I71" s="183">
        <f ca="1">TblPop[[#This Row],[Employment]]</f>
        <v>1</v>
      </c>
      <c r="J71" s="183">
        <f ca="1">TblPop[[#This Row],[Total]]/TblPop[[#This Row],[Net max]]</f>
        <v>1</v>
      </c>
      <c r="K71" s="306">
        <f>TblRezone[[#This Row],[Hour]]</f>
        <v>68</v>
      </c>
      <c r="L71" s="307">
        <f ca="1">TblImps[[#This Row],[Real time]]</f>
        <v>45432.541666666504</v>
      </c>
      <c r="M71" s="62">
        <f>IF(ISERROR(TblImps[[#This Row],[algorithm]]),0,TblImps[[#This Row],[algorithm]]*1)</f>
        <v>1</v>
      </c>
      <c r="N71" s="97">
        <f ca="1">TblImps[[#This Row],[Land]]</f>
        <v>700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62">
        <f>TblImps[[#This Row],[Login]]</f>
        <v>1</v>
      </c>
      <c r="BX71" s="140"/>
      <c r="BY71" s="316">
        <f ca="1">OFFSET(TblImps[[#This Row],[Real time]],-1,0)+1/24</f>
        <v>45432.541666666504</v>
      </c>
      <c r="BZ71" s="317">
        <f ca="1">OFFSET(TblImps[[#This Row],[Servertime]],-1,0)+1/24</f>
        <v>45432.791666666504</v>
      </c>
      <c r="CA71" s="57"/>
      <c r="CB71" s="315"/>
      <c r="CC71" s="315"/>
    </row>
    <row r="72" spans="1:84" x14ac:dyDescent="0.2">
      <c r="A72" s="225">
        <f ca="1">TblConstr[[#This Row],[Land]]</f>
        <v>700</v>
      </c>
      <c r="B72" s="145"/>
      <c r="C72" s="97">
        <f ca="1">TblProd[[#This Row],[Platinum]]</f>
        <v>60402</v>
      </c>
      <c r="D72" s="97">
        <f ca="1">TblProd[[#This Row],[Lumber]]</f>
        <v>10005</v>
      </c>
      <c r="E72" s="97">
        <f ca="1">TblProd[[#This Row],[Ore]]</f>
        <v>0</v>
      </c>
      <c r="F72" s="97">
        <f ca="1">TblProd[[#This Row],[Gems]]</f>
        <v>0</v>
      </c>
      <c r="G72" s="157"/>
      <c r="H72" s="97">
        <f ca="1">TblMili[[#This Row],[Draftees]]</f>
        <v>0</v>
      </c>
      <c r="I72" s="183">
        <f ca="1">TblPop[[#This Row],[Employment]]</f>
        <v>1</v>
      </c>
      <c r="J72" s="183">
        <f ca="1">TblPop[[#This Row],[Total]]/TblPop[[#This Row],[Net max]]</f>
        <v>1</v>
      </c>
      <c r="K72" s="306">
        <f>TblRezone[[#This Row],[Hour]]</f>
        <v>69</v>
      </c>
      <c r="L72" s="307">
        <f ca="1">TblImps[[#This Row],[Real time]]</f>
        <v>45432.583333333168</v>
      </c>
      <c r="M72" s="62">
        <f>IF(ISERROR(TblImps[[#This Row],[algorithm]]),0,TblImps[[#This Row],[algorithm]]*1)</f>
        <v>1</v>
      </c>
      <c r="N72" s="97">
        <f ca="1">TblImps[[#This Row],[Land]]</f>
        <v>700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62">
        <f>TblImps[[#This Row],[Login]]</f>
        <v>1</v>
      </c>
      <c r="BX72" s="140"/>
      <c r="BY72" s="316">
        <f ca="1">OFFSET(TblImps[[#This Row],[Real time]],-1,0)+1/24</f>
        <v>45432.583333333168</v>
      </c>
      <c r="BZ72" s="317">
        <f ca="1">OFFSET(TblImps[[#This Row],[Servertime]],-1,0)+1/24</f>
        <v>45432.833333333168</v>
      </c>
      <c r="CA72" s="57"/>
      <c r="CB72" s="315"/>
      <c r="CC72" s="315"/>
    </row>
    <row r="73" spans="1:84" x14ac:dyDescent="0.2">
      <c r="A73" s="225">
        <f ca="1">TblConstr[[#This Row],[Land]]</f>
        <v>700</v>
      </c>
      <c r="B73" s="145"/>
      <c r="C73" s="97">
        <f ca="1">TblProd[[#This Row],[Platinum]]</f>
        <v>46144</v>
      </c>
      <c r="D73" s="97">
        <f ca="1">TblProd[[#This Row],[Lumber]]</f>
        <v>11030</v>
      </c>
      <c r="E73" s="97">
        <f ca="1">TblProd[[#This Row],[Ore]]</f>
        <v>0</v>
      </c>
      <c r="F73" s="97">
        <f ca="1">TblProd[[#This Row],[Gems]]</f>
        <v>0</v>
      </c>
      <c r="G73" s="157"/>
      <c r="H73" s="97">
        <f ca="1">TblMili[[#This Row],[Draftees]]</f>
        <v>0</v>
      </c>
      <c r="I73" s="183">
        <f ca="1">TblPop[[#This Row],[Employment]]</f>
        <v>1</v>
      </c>
      <c r="J73" s="183">
        <f ca="1">TblPop[[#This Row],[Total]]/TblPop[[#This Row],[Net max]]</f>
        <v>1</v>
      </c>
      <c r="K73" s="306">
        <f>TblRezone[[#This Row],[Hour]]</f>
        <v>70</v>
      </c>
      <c r="L73" s="307">
        <f ca="1">TblImps[[#This Row],[Real time]]</f>
        <v>45432.624999999833</v>
      </c>
      <c r="M73" s="62">
        <f>IF(ISERROR(TblImps[[#This Row],[algorithm]]),0,TblImps[[#This Row],[algorithm]]*1)</f>
        <v>1</v>
      </c>
      <c r="N73" s="97">
        <f ca="1">TblImps[[#This Row],[Land]]</f>
        <v>700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62">
        <f>TblImps[[#This Row],[Login]]</f>
        <v>1</v>
      </c>
      <c r="BX73" s="140"/>
      <c r="BY73" s="316">
        <f ca="1">OFFSET(TblImps[[#This Row],[Real time]],-1,0)+1/24</f>
        <v>45432.624999999833</v>
      </c>
      <c r="BZ73" s="317">
        <f ca="1">OFFSET(TblImps[[#This Row],[Servertime]],-1,0)+1/24</f>
        <v>45432.874999999833</v>
      </c>
      <c r="CA73" s="57"/>
      <c r="CB73" s="315"/>
      <c r="CC73" s="315"/>
    </row>
    <row r="74" spans="1:84" x14ac:dyDescent="0.2">
      <c r="A74" s="225">
        <f ca="1">TblConstr[[#This Row],[Land]]</f>
        <v>700</v>
      </c>
      <c r="B74" s="145"/>
      <c r="C74" s="97">
        <f ca="1">TblProd[[#This Row],[Platinum]]</f>
        <v>32191</v>
      </c>
      <c r="D74" s="97">
        <f ca="1">TblProd[[#This Row],[Lumber]]</f>
        <v>12045</v>
      </c>
      <c r="E74" s="97">
        <f ca="1">TblProd[[#This Row],[Ore]]</f>
        <v>0</v>
      </c>
      <c r="F74" s="97">
        <f ca="1">TblProd[[#This Row],[Gems]]</f>
        <v>0</v>
      </c>
      <c r="G74" s="157"/>
      <c r="H74" s="97">
        <f ca="1">TblMili[[#This Row],[Draftees]]</f>
        <v>0</v>
      </c>
      <c r="I74" s="183">
        <f ca="1">TblPop[[#This Row],[Employment]]</f>
        <v>1</v>
      </c>
      <c r="J74" s="183">
        <f ca="1">TblPop[[#This Row],[Total]]/TblPop[[#This Row],[Net max]]</f>
        <v>1</v>
      </c>
      <c r="K74" s="306">
        <f>TblRezone[[#This Row],[Hour]]</f>
        <v>71</v>
      </c>
      <c r="L74" s="307">
        <f ca="1">TblImps[[#This Row],[Real time]]</f>
        <v>45432.666666666497</v>
      </c>
      <c r="M74" s="62">
        <f>IF(ISERROR(TblImps[[#This Row],[algorithm]]),0,TblImps[[#This Row],[algorithm]]*1)</f>
        <v>1</v>
      </c>
      <c r="N74" s="97">
        <f ca="1">TblImps[[#This Row],[Land]]</f>
        <v>700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62">
        <f>TblImps[[#This Row],[Login]]</f>
        <v>1</v>
      </c>
      <c r="BX74" s="140"/>
      <c r="BY74" s="316">
        <f ca="1">OFFSET(TblImps[[#This Row],[Real time]],-1,0)+1/24</f>
        <v>45432.666666666497</v>
      </c>
      <c r="BZ74" s="317">
        <f ca="1">OFFSET(TblImps[[#This Row],[Servertime]],-1,0)+1/24</f>
        <v>45432.916666666497</v>
      </c>
      <c r="CA74" s="57"/>
      <c r="CB74" s="315"/>
      <c r="CC74" s="315"/>
    </row>
    <row r="75" spans="1:84" x14ac:dyDescent="0.2">
      <c r="A75" s="225">
        <f ca="1">TblConstr[[#This Row],[Land]]</f>
        <v>700</v>
      </c>
      <c r="B75" s="145"/>
      <c r="C75" s="97">
        <f ca="1">TblProd[[#This Row],[Platinum]]</f>
        <v>18546</v>
      </c>
      <c r="D75" s="97">
        <f ca="1">TblProd[[#This Row],[Lumber]]</f>
        <v>13050</v>
      </c>
      <c r="E75" s="97">
        <f ca="1">TblProd[[#This Row],[Ore]]</f>
        <v>0</v>
      </c>
      <c r="F75" s="97">
        <f ca="1">TblProd[[#This Row],[Gems]]</f>
        <v>0</v>
      </c>
      <c r="G75" s="157"/>
      <c r="H75" s="97">
        <f ca="1">TblMili[[#This Row],[Draftees]]</f>
        <v>0</v>
      </c>
      <c r="I75" s="183">
        <f ca="1">TblPop[[#This Row],[Employment]]</f>
        <v>1</v>
      </c>
      <c r="J75" s="183">
        <f ca="1">TblPop[[#This Row],[Total]]/TblPop[[#This Row],[Net max]]</f>
        <v>1</v>
      </c>
      <c r="K75" s="306">
        <f>TblRezone[[#This Row],[Hour]]</f>
        <v>72</v>
      </c>
      <c r="L75" s="307">
        <f ca="1">TblImps[[#This Row],[Real time]]</f>
        <v>45432.708333333161</v>
      </c>
      <c r="M75" s="62">
        <f>IF(ISERROR(TblImps[[#This Row],[algorithm]]),0,TblImps[[#This Row],[algorithm]]*1)</f>
        <v>1</v>
      </c>
      <c r="N75" s="97">
        <f ca="1">TblImps[[#This Row],[Land]]</f>
        <v>700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62">
        <f>TblImps[[#This Row],[Login]]</f>
        <v>1</v>
      </c>
      <c r="BX75" s="140"/>
      <c r="BY75" s="316">
        <f ca="1">OFFSET(TblImps[[#This Row],[Real time]],-1,0)+1/24</f>
        <v>45432.708333333161</v>
      </c>
      <c r="BZ75" s="317">
        <f ca="1">OFFSET(TblImps[[#This Row],[Servertime]],-1,0)+1/24</f>
        <v>45432.958333333161</v>
      </c>
      <c r="CA75" s="57"/>
      <c r="CB75" s="315"/>
      <c r="CC75" s="315"/>
    </row>
    <row r="76" spans="1:84" x14ac:dyDescent="0.2">
      <c r="A76" s="242">
        <f ca="1">TblConstr[[#This Row],[Land]]</f>
        <v>700</v>
      </c>
      <c r="B76" s="152"/>
      <c r="C76" s="210">
        <f ca="1">TblProd[[#This Row],[Platinum]]</f>
        <v>5612</v>
      </c>
      <c r="D76" s="210">
        <f ca="1">TblProd[[#This Row],[Lumber]]</f>
        <v>14045</v>
      </c>
      <c r="E76" s="210">
        <f ca="1">TblProd[[#This Row],[Ore]]</f>
        <v>0</v>
      </c>
      <c r="F76" s="210">
        <f ca="1">TblProd[[#This Row],[Gems]]</f>
        <v>0</v>
      </c>
      <c r="G76" s="165"/>
      <c r="H76" s="210">
        <f ca="1">TblMili[[#This Row],[Draftees]]</f>
        <v>0</v>
      </c>
      <c r="I76" s="209">
        <f ca="1">TblPop[[#This Row],[Employment]]</f>
        <v>1</v>
      </c>
      <c r="J76" s="209">
        <f ca="1">TblPop[[#This Row],[Total]]/TblPop[[#This Row],[Net max]]</f>
        <v>1</v>
      </c>
      <c r="K76" s="321">
        <f>TblRezone[[#This Row],[Hour]]</f>
        <v>73</v>
      </c>
      <c r="L76" s="322">
        <f ca="1">TblImps[[#This Row],[Real time]]</f>
        <v>45432.749999999825</v>
      </c>
      <c r="M76" s="200">
        <f>IF(ISERROR(TblImps[[#This Row],[algorithm]]),0,TblImps[[#This Row],[algorithm]]*1)</f>
        <v>1</v>
      </c>
      <c r="N76" s="210">
        <f ca="1">TblImps[[#This Row],[Land]]</f>
        <v>700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00">
        <f>TblImps[[#This Row],[Login]]</f>
        <v>1</v>
      </c>
      <c r="BX76" s="147"/>
      <c r="BY76" s="326">
        <f ca="1">OFFSET(TblImps[[#This Row],[Real time]],-1,0)+1/24</f>
        <v>45432.749999999825</v>
      </c>
      <c r="BZ76" s="327">
        <f ca="1">OFFSET(TblImps[[#This Row],[Servertime]],-1,0)+1/24</f>
        <v>45432.999999999825</v>
      </c>
    </row>
    <row r="77" spans="1:84" x14ac:dyDescent="0.2">
      <c r="A77" s="225">
        <f ca="1">TblConstr[[#This Row],[Land]]</f>
        <v>700</v>
      </c>
      <c r="B77" s="145"/>
      <c r="C77" s="97">
        <f ca="1">TblProd[[#This Row],[Platinum]]</f>
        <v>13360</v>
      </c>
      <c r="D77" s="97">
        <f ca="1">TblProd[[#This Row],[Lumber]]</f>
        <v>15030</v>
      </c>
      <c r="E77" s="97">
        <f ca="1">TblProd[[#This Row],[Ore]]</f>
        <v>0</v>
      </c>
      <c r="F77" s="97">
        <f ca="1">TblProd[[#This Row],[Gems]]</f>
        <v>0</v>
      </c>
      <c r="G77" s="157"/>
      <c r="H77" s="97">
        <f ca="1">TblMili[[#This Row],[Draftees]]</f>
        <v>0</v>
      </c>
      <c r="I77" s="183">
        <f ca="1">TblPop[[#This Row],[Employment]]</f>
        <v>1</v>
      </c>
      <c r="J77" s="183">
        <f ca="1">TblPop[[#This Row],[Total]]/TblPop[[#This Row],[Net max]]</f>
        <v>1</v>
      </c>
      <c r="K77" s="306">
        <f>TblRezone[[#This Row],[Hour]]</f>
        <v>74</v>
      </c>
      <c r="L77" s="307">
        <f ca="1">TblImps[[#This Row],[Real time]]</f>
        <v>45432.79166666649</v>
      </c>
      <c r="M77" s="62">
        <f>IF(ISERROR(TblImps[[#This Row],[algorithm]]),0,TblImps[[#This Row],[algorithm]]*1)</f>
        <v>1</v>
      </c>
      <c r="N77" s="97">
        <f ca="1">TblImps[[#This Row],[Land]]</f>
        <v>700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62">
        <f>TblImps[[#This Row],[Login]]</f>
        <v>1</v>
      </c>
      <c r="BX77" s="140"/>
      <c r="BY77" s="316">
        <f ca="1">OFFSET(TblImps[[#This Row],[Real time]],-1,0)+1/24</f>
        <v>45432.79166666649</v>
      </c>
      <c r="BZ77" s="317">
        <f ca="1">OFFSET(TblImps[[#This Row],[Servertime]],-1,0)+1/24</f>
        <v>45433.04166666649</v>
      </c>
      <c r="CA77" s="57"/>
      <c r="CB77" s="315"/>
      <c r="CC77" s="315"/>
    </row>
    <row r="78" spans="1:84" x14ac:dyDescent="0.2">
      <c r="A78" s="225">
        <f ca="1">TblConstr[[#This Row],[Land]]</f>
        <v>700</v>
      </c>
      <c r="B78" s="145"/>
      <c r="C78" s="97">
        <f ca="1">TblProd[[#This Row],[Platinum]]</f>
        <v>41111</v>
      </c>
      <c r="D78" s="97">
        <f ca="1">TblProd[[#This Row],[Lumber]]</f>
        <v>16005</v>
      </c>
      <c r="E78" s="97">
        <f ca="1">TblProd[[#This Row],[Ore]]</f>
        <v>0</v>
      </c>
      <c r="F78" s="97">
        <f ca="1">TblProd[[#This Row],[Gems]]</f>
        <v>0</v>
      </c>
      <c r="G78" s="157"/>
      <c r="H78" s="97">
        <f ca="1">TblMili[[#This Row],[Draftees]]</f>
        <v>0</v>
      </c>
      <c r="I78" s="183">
        <f ca="1">TblPop[[#This Row],[Employment]]</f>
        <v>1</v>
      </c>
      <c r="J78" s="183">
        <f ca="1">TblPop[[#This Row],[Total]]/TblPop[[#This Row],[Net max]]</f>
        <v>1</v>
      </c>
      <c r="K78" s="306">
        <f>TblRezone[[#This Row],[Hour]]</f>
        <v>75</v>
      </c>
      <c r="L78" s="307">
        <f ca="1">TblImps[[#This Row],[Real time]]</f>
        <v>45432.833333333154</v>
      </c>
      <c r="M78" s="62">
        <f>IF(ISERROR(TblImps[[#This Row],[algorithm]]),0,TblImps[[#This Row],[algorithm]]*1)</f>
        <v>1</v>
      </c>
      <c r="N78" s="97">
        <f ca="1">TblImps[[#This Row],[Land]]</f>
        <v>700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62">
        <f>TblImps[[#This Row],[Login]]</f>
        <v>1</v>
      </c>
      <c r="BX78" s="140"/>
      <c r="BY78" s="316">
        <f ca="1">OFFSET(TblImps[[#This Row],[Real time]],-1,0)+1/24</f>
        <v>45432.833333333154</v>
      </c>
      <c r="BZ78" s="317">
        <f ca="1">OFFSET(TblImps[[#This Row],[Servertime]],-1,0)+1/24</f>
        <v>45433.083333333154</v>
      </c>
      <c r="CA78" s="57"/>
      <c r="CB78" s="315"/>
      <c r="CC78" s="315"/>
      <c r="CF78" s="318"/>
    </row>
    <row r="79" spans="1:84" x14ac:dyDescent="0.2">
      <c r="A79" s="225">
        <f ca="1">TblConstr[[#This Row],[Land]]</f>
        <v>700</v>
      </c>
      <c r="B79" s="145"/>
      <c r="C79" s="97">
        <f ca="1">TblProd[[#This Row],[Platinum]]</f>
        <v>68865</v>
      </c>
      <c r="D79" s="97">
        <f ca="1">TblProd[[#This Row],[Lumber]]</f>
        <v>16970</v>
      </c>
      <c r="E79" s="97">
        <f ca="1">TblProd[[#This Row],[Ore]]</f>
        <v>0</v>
      </c>
      <c r="F79" s="97">
        <f ca="1">TblProd[[#This Row],[Gems]]</f>
        <v>0</v>
      </c>
      <c r="G79" s="157"/>
      <c r="H79" s="97">
        <f ca="1">TblMili[[#This Row],[Draftees]]</f>
        <v>0</v>
      </c>
      <c r="I79" s="183">
        <f ca="1">TblPop[[#This Row],[Employment]]</f>
        <v>1</v>
      </c>
      <c r="J79" s="183">
        <f ca="1">TblPop[[#This Row],[Total]]/TblPop[[#This Row],[Net max]]</f>
        <v>1</v>
      </c>
      <c r="K79" s="306">
        <f>TblRezone[[#This Row],[Hour]]</f>
        <v>76</v>
      </c>
      <c r="L79" s="307">
        <f ca="1">TblImps[[#This Row],[Real time]]</f>
        <v>45432.874999999818</v>
      </c>
      <c r="M79" s="62">
        <f>IF(ISERROR(TblImps[[#This Row],[algorithm]]),0,TblImps[[#This Row],[algorithm]]*1)</f>
        <v>1</v>
      </c>
      <c r="N79" s="97">
        <f ca="1">TblImps[[#This Row],[Land]]</f>
        <v>700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62">
        <f>TblImps[[#This Row],[Login]]</f>
        <v>1</v>
      </c>
      <c r="BX79" s="140"/>
      <c r="BY79" s="316">
        <f ca="1">OFFSET(TblImps[[#This Row],[Real time]],-1,0)+1/24</f>
        <v>45432.874999999818</v>
      </c>
      <c r="BZ79" s="317">
        <f ca="1">OFFSET(TblImps[[#This Row],[Servertime]],-1,0)+1/24</f>
        <v>45433.124999999818</v>
      </c>
      <c r="CA79" s="57"/>
      <c r="CB79" s="315"/>
      <c r="CC79" s="315"/>
      <c r="CF79" s="319"/>
    </row>
    <row r="80" spans="1:84" x14ac:dyDescent="0.2">
      <c r="A80" s="225">
        <f ca="1">TblConstr[[#This Row],[Land]]</f>
        <v>700</v>
      </c>
      <c r="B80" s="145"/>
      <c r="C80" s="97">
        <f ca="1">TblProd[[#This Row],[Platinum]]</f>
        <v>153735</v>
      </c>
      <c r="D80" s="97">
        <f ca="1">TblProd[[#This Row],[Lumber]]</f>
        <v>17925</v>
      </c>
      <c r="E80" s="97">
        <f ca="1">TblProd[[#This Row],[Ore]]</f>
        <v>0</v>
      </c>
      <c r="F80" s="97">
        <f ca="1">TblProd[[#This Row],[Gems]]</f>
        <v>0</v>
      </c>
      <c r="G80" s="157"/>
      <c r="H80" s="97">
        <f ca="1">TblMili[[#This Row],[Draftees]]</f>
        <v>97</v>
      </c>
      <c r="I80" s="183">
        <f ca="1">TblPop[[#This Row],[Employment]]</f>
        <v>1</v>
      </c>
      <c r="J80" s="183">
        <f ca="1">TblPop[[#This Row],[Total]]/TblPop[[#This Row],[Net max]]</f>
        <v>1</v>
      </c>
      <c r="K80" s="306">
        <f>TblRezone[[#This Row],[Hour]]</f>
        <v>77</v>
      </c>
      <c r="L80" s="307">
        <f ca="1">TblImps[[#This Row],[Real time]]</f>
        <v>45432.916666666482</v>
      </c>
      <c r="M80" s="62">
        <f>IF(ISERROR(TblImps[[#This Row],[algorithm]]),0,TblImps[[#This Row],[algorithm]]*1)</f>
        <v>1</v>
      </c>
      <c r="N80" s="97">
        <f ca="1">TblImps[[#This Row],[Land]]</f>
        <v>700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62">
        <f>TblImps[[#This Row],[Login]]</f>
        <v>1</v>
      </c>
      <c r="BX80" s="140"/>
      <c r="BY80" s="316">
        <f ca="1">OFFSET(TblImps[[#This Row],[Real time]],-1,0)+1/24</f>
        <v>45432.916666666482</v>
      </c>
      <c r="BZ80" s="317">
        <f ca="1">OFFSET(TblImps[[#This Row],[Servertime]],-1,0)+1/24</f>
        <v>45433.166666666482</v>
      </c>
      <c r="CA80" s="57"/>
      <c r="CB80" s="315"/>
      <c r="CC80" s="315"/>
      <c r="CF80" s="318"/>
    </row>
    <row r="81" spans="1:84" x14ac:dyDescent="0.2">
      <c r="A81" s="225">
        <f ca="1">TblConstr[[#This Row],[Land]]</f>
        <v>700</v>
      </c>
      <c r="B81" s="145"/>
      <c r="C81" s="97">
        <f ca="1">TblProd[[#This Row],[Platinum]]</f>
        <v>199845</v>
      </c>
      <c r="D81" s="97">
        <f ca="1">TblProd[[#This Row],[Lumber]]</f>
        <v>18871</v>
      </c>
      <c r="E81" s="97">
        <f ca="1">TblProd[[#This Row],[Ore]]</f>
        <v>0</v>
      </c>
      <c r="F81" s="97">
        <f ca="1">TblProd[[#This Row],[Gems]]</f>
        <v>0</v>
      </c>
      <c r="G81" s="157"/>
      <c r="H81" s="97">
        <f ca="1">TblMili[[#This Row],[Draftees]]</f>
        <v>193</v>
      </c>
      <c r="I81" s="183">
        <f ca="1">TblPop[[#This Row],[Employment]]</f>
        <v>1</v>
      </c>
      <c r="J81" s="183">
        <f ca="1">TblPop[[#This Row],[Total]]/TblPop[[#This Row],[Net max]]</f>
        <v>1</v>
      </c>
      <c r="K81" s="306">
        <f>TblRezone[[#This Row],[Hour]]</f>
        <v>78</v>
      </c>
      <c r="L81" s="307">
        <f ca="1">TblImps[[#This Row],[Real time]]</f>
        <v>45432.958333333147</v>
      </c>
      <c r="M81" s="62">
        <f>IF(ISERROR(TblImps[[#This Row],[algorithm]]),0,TblImps[[#This Row],[algorithm]]*1)</f>
        <v>0</v>
      </c>
      <c r="N81" s="97">
        <f ca="1">TblImps[[#This Row],[Land]]</f>
        <v>700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45432.958333333147</v>
      </c>
      <c r="BZ81" s="317">
        <f ca="1">OFFSET(TblImps[[#This Row],[Servertime]],-1,0)+1/24</f>
        <v>45433.208333333147</v>
      </c>
      <c r="CA81" s="57"/>
      <c r="CB81" s="315"/>
      <c r="CC81" s="315"/>
      <c r="CF81" s="318"/>
    </row>
    <row r="82" spans="1:84" x14ac:dyDescent="0.2">
      <c r="A82" s="225">
        <f ca="1">TblConstr[[#This Row],[Land]]</f>
        <v>700</v>
      </c>
      <c r="B82" s="145"/>
      <c r="C82" s="97">
        <f ca="1">TblProd[[#This Row],[Platinum]]</f>
        <v>245670</v>
      </c>
      <c r="D82" s="97">
        <f ca="1">TblProd[[#This Row],[Lumber]]</f>
        <v>19807</v>
      </c>
      <c r="E82" s="97">
        <f ca="1">TblProd[[#This Row],[Ore]]</f>
        <v>0</v>
      </c>
      <c r="F82" s="97">
        <f ca="1">TblProd[[#This Row],[Gems]]</f>
        <v>0</v>
      </c>
      <c r="G82" s="157"/>
      <c r="H82" s="97">
        <f ca="1">TblMili[[#This Row],[Draftees]]</f>
        <v>288</v>
      </c>
      <c r="I82" s="183">
        <f ca="1">TblPop[[#This Row],[Employment]]</f>
        <v>1</v>
      </c>
      <c r="J82" s="183">
        <f ca="1">TblPop[[#This Row],[Total]]/TblPop[[#This Row],[Net max]]</f>
        <v>1</v>
      </c>
      <c r="K82" s="306">
        <f>TblRezone[[#This Row],[Hour]]</f>
        <v>79</v>
      </c>
      <c r="L82" s="307">
        <f ca="1">TblImps[[#This Row],[Real time]]</f>
        <v>45432.999999999811</v>
      </c>
      <c r="M82" s="62">
        <f>IF(ISERROR(TblImps[[#This Row],[algorithm]]),0,TblImps[[#This Row],[algorithm]]*1)</f>
        <v>0</v>
      </c>
      <c r="N82" s="97">
        <f ca="1">TblImps[[#This Row],[Land]]</f>
        <v>700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45432.999999999811</v>
      </c>
      <c r="BZ82" s="317">
        <f ca="1">OFFSET(TblImps[[#This Row],[Servertime]],-1,0)+1/24</f>
        <v>45433.249999999811</v>
      </c>
      <c r="CA82" s="57"/>
      <c r="CB82" s="315"/>
      <c r="CC82" s="315"/>
    </row>
    <row r="83" spans="1:84" x14ac:dyDescent="0.2">
      <c r="A83" s="225">
        <f ca="1">TblConstr[[#This Row],[Land]]</f>
        <v>700</v>
      </c>
      <c r="B83" s="145"/>
      <c r="C83" s="97">
        <f ca="1">TblProd[[#This Row],[Platinum]]</f>
        <v>291213</v>
      </c>
      <c r="D83" s="97">
        <f ca="1">TblProd[[#This Row],[Lumber]]</f>
        <v>20734</v>
      </c>
      <c r="E83" s="97">
        <f ca="1">TblProd[[#This Row],[Ore]]</f>
        <v>0</v>
      </c>
      <c r="F83" s="97">
        <f ca="1">TblProd[[#This Row],[Gems]]</f>
        <v>0</v>
      </c>
      <c r="G83" s="157"/>
      <c r="H83" s="97">
        <f ca="1">TblMili[[#This Row],[Draftees]]</f>
        <v>382</v>
      </c>
      <c r="I83" s="183">
        <f ca="1">TblPop[[#This Row],[Employment]]</f>
        <v>1</v>
      </c>
      <c r="J83" s="183">
        <f ca="1">TblPop[[#This Row],[Total]]/TblPop[[#This Row],[Net max]]</f>
        <v>1</v>
      </c>
      <c r="K83" s="306">
        <f>TblRezone[[#This Row],[Hour]]</f>
        <v>80</v>
      </c>
      <c r="L83" s="307">
        <f ca="1">TblImps[[#This Row],[Real time]]</f>
        <v>45433.041666666475</v>
      </c>
      <c r="M83" s="62">
        <f>IF(ISERROR(TblImps[[#This Row],[algorithm]]),0,TblImps[[#This Row],[algorithm]]*1)</f>
        <v>0</v>
      </c>
      <c r="N83" s="97">
        <f ca="1">TblImps[[#This Row],[Land]]</f>
        <v>700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45433.041666666475</v>
      </c>
      <c r="BZ83" s="317">
        <f ca="1">OFFSET(TblImps[[#This Row],[Servertime]],-1,0)+1/24</f>
        <v>45433.291666666475</v>
      </c>
      <c r="CA83" s="57"/>
      <c r="CB83" s="315"/>
      <c r="CC83" s="315"/>
    </row>
    <row r="84" spans="1:84" x14ac:dyDescent="0.2">
      <c r="A84" s="225">
        <f ca="1">TblConstr[[#This Row],[Land]]</f>
        <v>700</v>
      </c>
      <c r="B84" s="145"/>
      <c r="C84" s="97">
        <f ca="1">TblProd[[#This Row],[Platinum]]</f>
        <v>336477</v>
      </c>
      <c r="D84" s="97">
        <f ca="1">TblProd[[#This Row],[Lumber]]</f>
        <v>21652</v>
      </c>
      <c r="E84" s="97">
        <f ca="1">TblProd[[#This Row],[Ore]]</f>
        <v>0</v>
      </c>
      <c r="F84" s="97">
        <f ca="1">TblProd[[#This Row],[Gems]]</f>
        <v>0</v>
      </c>
      <c r="G84" s="157"/>
      <c r="H84" s="97">
        <f ca="1">TblMili[[#This Row],[Draftees]]</f>
        <v>475</v>
      </c>
      <c r="I84" s="183">
        <f ca="1">TblPop[[#This Row],[Employment]]</f>
        <v>1</v>
      </c>
      <c r="J84" s="183">
        <f ca="1">TblPop[[#This Row],[Total]]/TblPop[[#This Row],[Net max]]</f>
        <v>1</v>
      </c>
      <c r="K84" s="306">
        <f>TblRezone[[#This Row],[Hour]]</f>
        <v>81</v>
      </c>
      <c r="L84" s="307">
        <f ca="1">TblImps[[#This Row],[Real time]]</f>
        <v>45433.083333333139</v>
      </c>
      <c r="M84" s="62">
        <f>IF(ISERROR(TblImps[[#This Row],[algorithm]]),0,TblImps[[#This Row],[algorithm]]*1)</f>
        <v>0</v>
      </c>
      <c r="N84" s="97">
        <f ca="1">TblImps[[#This Row],[Land]]</f>
        <v>700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45433.083333333139</v>
      </c>
      <c r="BZ84" s="317">
        <f ca="1">OFFSET(TblImps[[#This Row],[Servertime]],-1,0)+1/24</f>
        <v>45433.333333333139</v>
      </c>
      <c r="CA84" s="57"/>
      <c r="CB84" s="315"/>
      <c r="CC84" s="315"/>
    </row>
    <row r="85" spans="1:84" x14ac:dyDescent="0.2">
      <c r="A85" s="225">
        <f ca="1">TblConstr[[#This Row],[Land]]</f>
        <v>700</v>
      </c>
      <c r="B85" s="145"/>
      <c r="C85" s="97">
        <f ca="1">TblProd[[#This Row],[Platinum]]</f>
        <v>381464</v>
      </c>
      <c r="D85" s="97">
        <f ca="1">TblProd[[#This Row],[Lumber]]</f>
        <v>22560</v>
      </c>
      <c r="E85" s="97">
        <f ca="1">TblProd[[#This Row],[Ore]]</f>
        <v>0</v>
      </c>
      <c r="F85" s="97">
        <f ca="1">TblProd[[#This Row],[Gems]]</f>
        <v>0</v>
      </c>
      <c r="G85" s="157"/>
      <c r="H85" s="97">
        <f ca="1">TblMili[[#This Row],[Draftees]]</f>
        <v>567</v>
      </c>
      <c r="I85" s="183">
        <f ca="1">TblPop[[#This Row],[Employment]]</f>
        <v>1</v>
      </c>
      <c r="J85" s="183">
        <f ca="1">TblPop[[#This Row],[Total]]/TblPop[[#This Row],[Net max]]</f>
        <v>1</v>
      </c>
      <c r="K85" s="306">
        <f>TblRezone[[#This Row],[Hour]]</f>
        <v>82</v>
      </c>
      <c r="L85" s="307">
        <f ca="1">TblImps[[#This Row],[Real time]]</f>
        <v>45433.124999999804</v>
      </c>
      <c r="M85" s="62">
        <f>IF(ISERROR(TblImps[[#This Row],[algorithm]]),0,TblImps[[#This Row],[algorithm]]*1)</f>
        <v>0</v>
      </c>
      <c r="N85" s="97">
        <f ca="1">TblImps[[#This Row],[Land]]</f>
        <v>700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45433.124999999804</v>
      </c>
      <c r="BZ85" s="317">
        <f ca="1">OFFSET(TblImps[[#This Row],[Servertime]],-1,0)+1/24</f>
        <v>45433.374999999804</v>
      </c>
      <c r="CA85" s="57"/>
      <c r="CB85" s="315"/>
      <c r="CC85" s="315"/>
    </row>
    <row r="86" spans="1:84" x14ac:dyDescent="0.2">
      <c r="A86" s="225">
        <f ca="1">TblConstr[[#This Row],[Land]]</f>
        <v>700</v>
      </c>
      <c r="B86" s="145"/>
      <c r="C86" s="97">
        <f ca="1">TblProd[[#This Row],[Platinum]]</f>
        <v>426178</v>
      </c>
      <c r="D86" s="97">
        <f ca="1">TblProd[[#This Row],[Lumber]]</f>
        <v>23459</v>
      </c>
      <c r="E86" s="97">
        <f ca="1">TblProd[[#This Row],[Ore]]</f>
        <v>0</v>
      </c>
      <c r="F86" s="97">
        <f ca="1">TblProd[[#This Row],[Gems]]</f>
        <v>0</v>
      </c>
      <c r="G86" s="157"/>
      <c r="H86" s="97">
        <f ca="1">TblMili[[#This Row],[Draftees]]</f>
        <v>658</v>
      </c>
      <c r="I86" s="183">
        <f ca="1">TblPop[[#This Row],[Employment]]</f>
        <v>1</v>
      </c>
      <c r="J86" s="183">
        <f ca="1">TblPop[[#This Row],[Total]]/TblPop[[#This Row],[Net max]]</f>
        <v>1</v>
      </c>
      <c r="K86" s="306">
        <f>TblRezone[[#This Row],[Hour]]</f>
        <v>83</v>
      </c>
      <c r="L86" s="307">
        <f ca="1">TblImps[[#This Row],[Real time]]</f>
        <v>45433.166666666468</v>
      </c>
      <c r="M86" s="62">
        <f>IF(ISERROR(TblImps[[#This Row],[algorithm]]),0,TblImps[[#This Row],[algorithm]]*1)</f>
        <v>0</v>
      </c>
      <c r="N86" s="97">
        <f ca="1">TblImps[[#This Row],[Land]]</f>
        <v>700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45433.166666666468</v>
      </c>
      <c r="BZ86" s="317">
        <f ca="1">OFFSET(TblImps[[#This Row],[Servertime]],-1,0)+1/24</f>
        <v>45433.416666666468</v>
      </c>
      <c r="CA86" s="57"/>
      <c r="CB86" s="315"/>
      <c r="CC86" s="315"/>
    </row>
    <row r="87" spans="1:84" x14ac:dyDescent="0.2">
      <c r="A87" s="225">
        <f ca="1">TblConstr[[#This Row],[Land]]</f>
        <v>700</v>
      </c>
      <c r="B87" s="145"/>
      <c r="C87" s="97">
        <f ca="1">TblProd[[#This Row],[Platinum]]</f>
        <v>470622</v>
      </c>
      <c r="D87" s="97">
        <f ca="1">TblProd[[#This Row],[Lumber]]</f>
        <v>24349</v>
      </c>
      <c r="E87" s="97">
        <f ca="1">TblProd[[#This Row],[Ore]]</f>
        <v>0</v>
      </c>
      <c r="F87" s="97">
        <f ca="1">TblProd[[#This Row],[Gems]]</f>
        <v>0</v>
      </c>
      <c r="G87" s="157"/>
      <c r="H87" s="97">
        <f ca="1">TblMili[[#This Row],[Draftees]]</f>
        <v>749</v>
      </c>
      <c r="I87" s="183">
        <f ca="1">TblPop[[#This Row],[Employment]]</f>
        <v>1</v>
      </c>
      <c r="J87" s="183">
        <f ca="1">TblPop[[#This Row],[Total]]/TblPop[[#This Row],[Net max]]</f>
        <v>1</v>
      </c>
      <c r="K87" s="306">
        <f>TblRezone[[#This Row],[Hour]]</f>
        <v>84</v>
      </c>
      <c r="L87" s="307">
        <f ca="1">TblImps[[#This Row],[Real time]]</f>
        <v>45433.208333333132</v>
      </c>
      <c r="M87" s="62">
        <f>IF(ISERROR(TblImps[[#This Row],[algorithm]]),0,TblImps[[#This Row],[algorithm]]*1)</f>
        <v>0</v>
      </c>
      <c r="N87" s="97">
        <f ca="1">TblImps[[#This Row],[Land]]</f>
        <v>700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45433.208333333132</v>
      </c>
      <c r="BZ87" s="317">
        <f ca="1">OFFSET(TblImps[[#This Row],[Servertime]],-1,0)+1/24</f>
        <v>45433.458333333132</v>
      </c>
      <c r="CA87" s="57"/>
      <c r="CB87" s="315"/>
      <c r="CC87" s="315"/>
    </row>
    <row r="88" spans="1:84" x14ac:dyDescent="0.2">
      <c r="A88" s="225">
        <f ca="1">TblConstr[[#This Row],[Land]]</f>
        <v>700</v>
      </c>
      <c r="B88" s="145"/>
      <c r="C88" s="97">
        <f ca="1">TblProd[[#This Row],[Platinum]]</f>
        <v>514796</v>
      </c>
      <c r="D88" s="97">
        <f ca="1">TblProd[[#This Row],[Lumber]]</f>
        <v>25231</v>
      </c>
      <c r="E88" s="97">
        <f ca="1">TblProd[[#This Row],[Ore]]</f>
        <v>0</v>
      </c>
      <c r="F88" s="97">
        <f ca="1">TblProd[[#This Row],[Gems]]</f>
        <v>0</v>
      </c>
      <c r="G88" s="157"/>
      <c r="H88" s="97">
        <f ca="1">TblMili[[#This Row],[Draftees]]</f>
        <v>839</v>
      </c>
      <c r="I88" s="183">
        <f ca="1">TblPop[[#This Row],[Employment]]</f>
        <v>1</v>
      </c>
      <c r="J88" s="183">
        <f ca="1">TblPop[[#This Row],[Total]]/TblPop[[#This Row],[Net max]]</f>
        <v>1</v>
      </c>
      <c r="K88" s="306">
        <f>TblRezone[[#This Row],[Hour]]</f>
        <v>85</v>
      </c>
      <c r="L88" s="307">
        <f ca="1">TblImps[[#This Row],[Real time]]</f>
        <v>45433.249999999796</v>
      </c>
      <c r="M88" s="62">
        <f>IF(ISERROR(TblImps[[#This Row],[algorithm]]),0,TblImps[[#This Row],[algorithm]]*1)</f>
        <v>1</v>
      </c>
      <c r="N88" s="97">
        <f ca="1">TblImps[[#This Row],[Land]]</f>
        <v>700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62">
        <f>TblImps[[#This Row],[Login]]</f>
        <v>1</v>
      </c>
      <c r="BX88" s="140"/>
      <c r="BY88" s="316">
        <f ca="1">OFFSET(TblImps[[#This Row],[Real time]],-1,0)+1/24</f>
        <v>45433.249999999796</v>
      </c>
      <c r="BZ88" s="317">
        <f ca="1">OFFSET(TblImps[[#This Row],[Servertime]],-1,0)+1/24</f>
        <v>45433.499999999796</v>
      </c>
      <c r="CA88" s="57"/>
      <c r="CB88" s="315"/>
      <c r="CC88" s="315"/>
    </row>
    <row r="89" spans="1:84" x14ac:dyDescent="0.2">
      <c r="A89" s="225">
        <f ca="1">TblConstr[[#This Row],[Land]]</f>
        <v>700</v>
      </c>
      <c r="B89" s="145"/>
      <c r="C89" s="97">
        <f ca="1">TblProd[[#This Row],[Platinum]]</f>
        <v>558702</v>
      </c>
      <c r="D89" s="97">
        <f ca="1">TblProd[[#This Row],[Lumber]]</f>
        <v>26104</v>
      </c>
      <c r="E89" s="97">
        <f ca="1">TblProd[[#This Row],[Ore]]</f>
        <v>0</v>
      </c>
      <c r="F89" s="97">
        <f ca="1">TblProd[[#This Row],[Gems]]</f>
        <v>0</v>
      </c>
      <c r="G89" s="157"/>
      <c r="H89" s="97">
        <f ca="1">TblMili[[#This Row],[Draftees]]</f>
        <v>928</v>
      </c>
      <c r="I89" s="183">
        <f ca="1">TblPop[[#This Row],[Employment]]</f>
        <v>1</v>
      </c>
      <c r="J89" s="183">
        <f ca="1">TblPop[[#This Row],[Total]]/TblPop[[#This Row],[Net max]]</f>
        <v>1</v>
      </c>
      <c r="K89" s="306">
        <f>TblRezone[[#This Row],[Hour]]</f>
        <v>86</v>
      </c>
      <c r="L89" s="307">
        <f ca="1">TblImps[[#This Row],[Real time]]</f>
        <v>45433.291666666461</v>
      </c>
      <c r="M89" s="62">
        <f>IF(ISERROR(TblImps[[#This Row],[algorithm]]),0,TblImps[[#This Row],[algorithm]]*1)</f>
        <v>0</v>
      </c>
      <c r="N89" s="97">
        <f ca="1">TblImps[[#This Row],[Land]]</f>
        <v>700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45433.291666666461</v>
      </c>
      <c r="BZ89" s="317">
        <f ca="1">OFFSET(TblImps[[#This Row],[Servertime]],-1,0)+1/24</f>
        <v>45433.541666666461</v>
      </c>
      <c r="CA89" s="57"/>
      <c r="CB89" s="315"/>
      <c r="CC89" s="315"/>
      <c r="CD89" s="162"/>
    </row>
    <row r="90" spans="1:84" x14ac:dyDescent="0.2">
      <c r="A90" s="225">
        <f ca="1">TblConstr[[#This Row],[Land]]</f>
        <v>700</v>
      </c>
      <c r="B90" s="145"/>
      <c r="C90" s="97">
        <f ca="1">TblProd[[#This Row],[Platinum]]</f>
        <v>602344</v>
      </c>
      <c r="D90" s="97">
        <f ca="1">TblProd[[#This Row],[Lumber]]</f>
        <v>26968</v>
      </c>
      <c r="E90" s="97">
        <f ca="1">TblProd[[#This Row],[Ore]]</f>
        <v>0</v>
      </c>
      <c r="F90" s="97">
        <f ca="1">TblProd[[#This Row],[Gems]]</f>
        <v>0</v>
      </c>
      <c r="G90" s="157"/>
      <c r="H90" s="97">
        <f ca="1">TblMili[[#This Row],[Draftees]]</f>
        <v>1016</v>
      </c>
      <c r="I90" s="183">
        <f ca="1">TblPop[[#This Row],[Employment]]</f>
        <v>1</v>
      </c>
      <c r="J90" s="183">
        <f ca="1">TblPop[[#This Row],[Total]]/TblPop[[#This Row],[Net max]]</f>
        <v>1</v>
      </c>
      <c r="K90" s="306">
        <f>TblRezone[[#This Row],[Hour]]</f>
        <v>87</v>
      </c>
      <c r="L90" s="307">
        <f ca="1">TblImps[[#This Row],[Real time]]</f>
        <v>45433.333333333125</v>
      </c>
      <c r="M90" s="62">
        <f>IF(ISERROR(TblImps[[#This Row],[algorithm]]),0,TblImps[[#This Row],[algorithm]]*1)</f>
        <v>0</v>
      </c>
      <c r="N90" s="97">
        <f ca="1">TblImps[[#This Row],[Land]]</f>
        <v>700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45433.333333333125</v>
      </c>
      <c r="BZ90" s="317">
        <f ca="1">OFFSET(TblImps[[#This Row],[Servertime]],-1,0)+1/24</f>
        <v>45433.583333333125</v>
      </c>
      <c r="CA90" s="320"/>
      <c r="CB90" s="315"/>
      <c r="CC90" s="315"/>
      <c r="CF90" s="318"/>
    </row>
    <row r="91" spans="1:84" x14ac:dyDescent="0.2">
      <c r="A91" s="225">
        <f ca="1">TblConstr[[#This Row],[Land]]</f>
        <v>700</v>
      </c>
      <c r="B91" s="145"/>
      <c r="C91" s="97">
        <f ca="1">TblProd[[#This Row],[Platinum]]</f>
        <v>645725</v>
      </c>
      <c r="D91" s="97">
        <f ca="1">TblProd[[#This Row],[Lumber]]</f>
        <v>27823</v>
      </c>
      <c r="E91" s="97">
        <f ca="1">TblProd[[#This Row],[Ore]]</f>
        <v>0</v>
      </c>
      <c r="F91" s="97">
        <f ca="1">TblProd[[#This Row],[Gems]]</f>
        <v>0</v>
      </c>
      <c r="G91" s="157"/>
      <c r="H91" s="97">
        <f ca="1">TblMili[[#This Row],[Draftees]]</f>
        <v>1103</v>
      </c>
      <c r="I91" s="183">
        <f ca="1">TblPop[[#This Row],[Employment]]</f>
        <v>1</v>
      </c>
      <c r="J91" s="183">
        <f ca="1">TblPop[[#This Row],[Total]]/TblPop[[#This Row],[Net max]]</f>
        <v>1</v>
      </c>
      <c r="K91" s="306">
        <f>TblRezone[[#This Row],[Hour]]</f>
        <v>88</v>
      </c>
      <c r="L91" s="307">
        <f ca="1">TblImps[[#This Row],[Real time]]</f>
        <v>45433.374999999789</v>
      </c>
      <c r="M91" s="62">
        <f>IF(ISERROR(TblImps[[#This Row],[algorithm]]),0,TblImps[[#This Row],[algorithm]]*1)</f>
        <v>0</v>
      </c>
      <c r="N91" s="97">
        <f ca="1">TblImps[[#This Row],[Land]]</f>
        <v>700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45433.374999999789</v>
      </c>
      <c r="BZ91" s="317">
        <f ca="1">OFFSET(TblImps[[#This Row],[Servertime]],-1,0)+1/24</f>
        <v>45433.624999999789</v>
      </c>
      <c r="CA91" s="57"/>
      <c r="CB91" s="315"/>
      <c r="CC91" s="315"/>
      <c r="CF91" s="319"/>
    </row>
    <row r="92" spans="1:84" x14ac:dyDescent="0.2">
      <c r="A92" s="225">
        <f ca="1">TblConstr[[#This Row],[Land]]</f>
        <v>700</v>
      </c>
      <c r="B92" s="145"/>
      <c r="C92" s="97">
        <f ca="1">TblProd[[#This Row],[Platinum]]</f>
        <v>688847</v>
      </c>
      <c r="D92" s="97">
        <f ca="1">TblProd[[#This Row],[Lumber]]</f>
        <v>28670</v>
      </c>
      <c r="E92" s="97">
        <f ca="1">TblProd[[#This Row],[Ore]]</f>
        <v>0</v>
      </c>
      <c r="F92" s="97">
        <f ca="1">TblProd[[#This Row],[Gems]]</f>
        <v>0</v>
      </c>
      <c r="G92" s="157"/>
      <c r="H92" s="97">
        <f ca="1">TblMili[[#This Row],[Draftees]]</f>
        <v>1189</v>
      </c>
      <c r="I92" s="183">
        <f ca="1">TblPop[[#This Row],[Employment]]</f>
        <v>1</v>
      </c>
      <c r="J92" s="183">
        <f ca="1">TblPop[[#This Row],[Total]]/TblPop[[#This Row],[Net max]]</f>
        <v>1</v>
      </c>
      <c r="K92" s="306">
        <f>TblRezone[[#This Row],[Hour]]</f>
        <v>89</v>
      </c>
      <c r="L92" s="307">
        <f ca="1">TblImps[[#This Row],[Real time]]</f>
        <v>45433.416666666453</v>
      </c>
      <c r="M92" s="62">
        <f>IF(ISERROR(TblImps[[#This Row],[algorithm]]),0,TblImps[[#This Row],[algorithm]]*1)</f>
        <v>0</v>
      </c>
      <c r="N92" s="97">
        <f ca="1">TblImps[[#This Row],[Land]]</f>
        <v>700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45433.416666666453</v>
      </c>
      <c r="BZ92" s="317">
        <f ca="1">OFFSET(TblImps[[#This Row],[Servertime]],-1,0)+1/24</f>
        <v>45433.666666666453</v>
      </c>
      <c r="CA92" s="57"/>
      <c r="CB92" s="315"/>
      <c r="CC92" s="315"/>
      <c r="CF92" s="318"/>
    </row>
    <row r="93" spans="1:84" x14ac:dyDescent="0.2">
      <c r="A93" s="225">
        <f ca="1">TblConstr[[#This Row],[Land]]</f>
        <v>700</v>
      </c>
      <c r="B93" s="145"/>
      <c r="C93" s="97">
        <f ca="1">TblProd[[#This Row],[Platinum]]</f>
        <v>731714</v>
      </c>
      <c r="D93" s="97">
        <f ca="1">TblProd[[#This Row],[Lumber]]</f>
        <v>29508</v>
      </c>
      <c r="E93" s="97">
        <f ca="1">TblProd[[#This Row],[Ore]]</f>
        <v>0</v>
      </c>
      <c r="F93" s="97">
        <f ca="1">TblProd[[#This Row],[Gems]]</f>
        <v>0</v>
      </c>
      <c r="G93" s="157"/>
      <c r="H93" s="97">
        <f ca="1">TblMili[[#This Row],[Draftees]]</f>
        <v>1274</v>
      </c>
      <c r="I93" s="183">
        <f ca="1">TblPop[[#This Row],[Employment]]</f>
        <v>1</v>
      </c>
      <c r="J93" s="183">
        <f ca="1">TblPop[[#This Row],[Total]]/TblPop[[#This Row],[Net max]]</f>
        <v>1</v>
      </c>
      <c r="K93" s="306">
        <f>TblRezone[[#This Row],[Hour]]</f>
        <v>90</v>
      </c>
      <c r="L93" s="307">
        <f ca="1">TblImps[[#This Row],[Real time]]</f>
        <v>45433.458333333117</v>
      </c>
      <c r="M93" s="62">
        <f>IF(ISERROR(TblImps[[#This Row],[algorithm]]),0,TblImps[[#This Row],[algorithm]]*1)</f>
        <v>0</v>
      </c>
      <c r="N93" s="97">
        <f ca="1">TblImps[[#This Row],[Land]]</f>
        <v>700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45433.458333333117</v>
      </c>
      <c r="BZ93" s="317">
        <f ca="1">OFFSET(TblImps[[#This Row],[Servertime]],-1,0)+1/24</f>
        <v>45433.708333333117</v>
      </c>
      <c r="CA93" s="57"/>
      <c r="CB93" s="315"/>
      <c r="CC93" s="315"/>
      <c r="CF93" s="318"/>
    </row>
    <row r="94" spans="1:84" x14ac:dyDescent="0.2">
      <c r="A94" s="225">
        <f ca="1">TblConstr[[#This Row],[Land]]</f>
        <v>700</v>
      </c>
      <c r="B94" s="145"/>
      <c r="C94" s="97">
        <f ca="1">TblProd[[#This Row],[Platinum]]</f>
        <v>774328</v>
      </c>
      <c r="D94" s="97">
        <f ca="1">TblProd[[#This Row],[Lumber]]</f>
        <v>30338</v>
      </c>
      <c r="E94" s="97">
        <f ca="1">TblProd[[#This Row],[Ore]]</f>
        <v>0</v>
      </c>
      <c r="F94" s="97">
        <f ca="1">TblProd[[#This Row],[Gems]]</f>
        <v>0</v>
      </c>
      <c r="G94" s="157"/>
      <c r="H94" s="97">
        <f ca="1">TblMili[[#This Row],[Draftees]]</f>
        <v>1358</v>
      </c>
      <c r="I94" s="183">
        <f ca="1">TblPop[[#This Row],[Employment]]</f>
        <v>1</v>
      </c>
      <c r="J94" s="183">
        <f ca="1">TblPop[[#This Row],[Total]]/TblPop[[#This Row],[Net max]]</f>
        <v>1</v>
      </c>
      <c r="K94" s="306">
        <f>TblRezone[[#This Row],[Hour]]</f>
        <v>91</v>
      </c>
      <c r="L94" s="307">
        <f ca="1">TblImps[[#This Row],[Real time]]</f>
        <v>45433.499999999782</v>
      </c>
      <c r="M94" s="62">
        <f>IF(ISERROR(TblImps[[#This Row],[algorithm]]),0,TblImps[[#This Row],[algorithm]]*1)</f>
        <v>0</v>
      </c>
      <c r="N94" s="97">
        <f ca="1">TblImps[[#This Row],[Land]]</f>
        <v>700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45433.499999999782</v>
      </c>
      <c r="BZ94" s="317">
        <f ca="1">OFFSET(TblImps[[#This Row],[Servertime]],-1,0)+1/24</f>
        <v>45433.749999999782</v>
      </c>
      <c r="CA94" s="57"/>
      <c r="CB94" s="315"/>
      <c r="CC94" s="315"/>
    </row>
    <row r="95" spans="1:84" x14ac:dyDescent="0.2">
      <c r="A95" s="225">
        <f ca="1">TblConstr[[#This Row],[Land]]</f>
        <v>700</v>
      </c>
      <c r="B95" s="145"/>
      <c r="C95" s="97">
        <f ca="1">TblProd[[#This Row],[Platinum]]</f>
        <v>816693</v>
      </c>
      <c r="D95" s="97">
        <f ca="1">TblProd[[#This Row],[Lumber]]</f>
        <v>31160</v>
      </c>
      <c r="E95" s="97">
        <f ca="1">TblProd[[#This Row],[Ore]]</f>
        <v>0</v>
      </c>
      <c r="F95" s="97">
        <f ca="1">TblProd[[#This Row],[Gems]]</f>
        <v>0</v>
      </c>
      <c r="G95" s="157"/>
      <c r="H95" s="97">
        <f ca="1">TblMili[[#This Row],[Draftees]]</f>
        <v>1442</v>
      </c>
      <c r="I95" s="183">
        <f ca="1">TblPop[[#This Row],[Employment]]</f>
        <v>1</v>
      </c>
      <c r="J95" s="183">
        <f ca="1">TblPop[[#This Row],[Total]]/TblPop[[#This Row],[Net max]]</f>
        <v>1</v>
      </c>
      <c r="K95" s="306">
        <f>TblRezone[[#This Row],[Hour]]</f>
        <v>92</v>
      </c>
      <c r="L95" s="307">
        <f ca="1">TblImps[[#This Row],[Real time]]</f>
        <v>45433.541666666446</v>
      </c>
      <c r="M95" s="62">
        <f>IF(ISERROR(TblImps[[#This Row],[algorithm]]),0,TblImps[[#This Row],[algorithm]]*1)</f>
        <v>0</v>
      </c>
      <c r="N95" s="97">
        <f ca="1">TblImps[[#This Row],[Land]]</f>
        <v>700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45433.541666666446</v>
      </c>
      <c r="BZ95" s="317">
        <f ca="1">OFFSET(TblImps[[#This Row],[Servertime]],-1,0)+1/24</f>
        <v>45433.791666666446</v>
      </c>
      <c r="CA95" s="57"/>
      <c r="CB95" s="315"/>
      <c r="CC95" s="315"/>
    </row>
    <row r="96" spans="1:84" x14ac:dyDescent="0.2">
      <c r="A96" s="225">
        <f ca="1">TblConstr[[#This Row],[Land]]</f>
        <v>700</v>
      </c>
      <c r="B96" s="145"/>
      <c r="C96" s="97">
        <f ca="1">TblProd[[#This Row],[Platinum]]</f>
        <v>858808</v>
      </c>
      <c r="D96" s="97">
        <f ca="1">TblProd[[#This Row],[Lumber]]</f>
        <v>31973</v>
      </c>
      <c r="E96" s="97">
        <f ca="1">TblProd[[#This Row],[Ore]]</f>
        <v>0</v>
      </c>
      <c r="F96" s="97">
        <f ca="1">TblProd[[#This Row],[Gems]]</f>
        <v>0</v>
      </c>
      <c r="G96" s="157"/>
      <c r="H96" s="97">
        <f ca="1">TblMili[[#This Row],[Draftees]]</f>
        <v>1525</v>
      </c>
      <c r="I96" s="183">
        <f ca="1">TblPop[[#This Row],[Employment]]</f>
        <v>1</v>
      </c>
      <c r="J96" s="183">
        <f ca="1">TblPop[[#This Row],[Total]]/TblPop[[#This Row],[Net max]]</f>
        <v>1</v>
      </c>
      <c r="K96" s="306">
        <f>TblRezone[[#This Row],[Hour]]</f>
        <v>93</v>
      </c>
      <c r="L96" s="307">
        <f ca="1">TblImps[[#This Row],[Real time]]</f>
        <v>45433.58333333311</v>
      </c>
      <c r="M96" s="62">
        <f>IF(ISERROR(TblImps[[#This Row],[algorithm]]),0,TblImps[[#This Row],[algorithm]]*1)</f>
        <v>0</v>
      </c>
      <c r="N96" s="97">
        <f ca="1">TblImps[[#This Row],[Land]]</f>
        <v>700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45433.58333333311</v>
      </c>
      <c r="BZ96" s="317">
        <f ca="1">OFFSET(TblImps[[#This Row],[Servertime]],-1,0)+1/24</f>
        <v>45433.83333333311</v>
      </c>
      <c r="CA96" s="57"/>
      <c r="CB96" s="315"/>
      <c r="CC96" s="315"/>
    </row>
    <row r="97" spans="1:82" x14ac:dyDescent="0.2">
      <c r="A97" s="225">
        <f ca="1">TblConstr[[#This Row],[Land]]</f>
        <v>700</v>
      </c>
      <c r="B97" s="145"/>
      <c r="C97" s="97">
        <f ca="1">TblProd[[#This Row],[Platinum]]</f>
        <v>900677</v>
      </c>
      <c r="D97" s="97">
        <f ca="1">TblProd[[#This Row],[Lumber]]</f>
        <v>32778</v>
      </c>
      <c r="E97" s="97">
        <f ca="1">TblProd[[#This Row],[Ore]]</f>
        <v>0</v>
      </c>
      <c r="F97" s="97">
        <f ca="1">TblProd[[#This Row],[Gems]]</f>
        <v>0</v>
      </c>
      <c r="G97" s="157"/>
      <c r="H97" s="97">
        <f ca="1">TblMili[[#This Row],[Draftees]]</f>
        <v>1607</v>
      </c>
      <c r="I97" s="183">
        <f ca="1">TblPop[[#This Row],[Employment]]</f>
        <v>1</v>
      </c>
      <c r="J97" s="183">
        <f ca="1">TblPop[[#This Row],[Total]]/TblPop[[#This Row],[Net max]]</f>
        <v>1</v>
      </c>
      <c r="K97" s="306">
        <f>TblRezone[[#This Row],[Hour]]</f>
        <v>94</v>
      </c>
      <c r="L97" s="307">
        <f ca="1">TblImps[[#This Row],[Real time]]</f>
        <v>45433.624999999774</v>
      </c>
      <c r="M97" s="62">
        <f>IF(ISERROR(TblImps[[#This Row],[algorithm]]),0,TblImps[[#This Row],[algorithm]]*1)</f>
        <v>0</v>
      </c>
      <c r="N97" s="97">
        <f ca="1">TblImps[[#This Row],[Land]]</f>
        <v>700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45433.624999999774</v>
      </c>
      <c r="BZ97" s="317">
        <f ca="1">OFFSET(TblImps[[#This Row],[Servertime]],-1,0)+1/24</f>
        <v>45433.874999999774</v>
      </c>
      <c r="CA97" s="57"/>
      <c r="CB97" s="315"/>
      <c r="CC97" s="315"/>
    </row>
    <row r="98" spans="1:82" x14ac:dyDescent="0.2">
      <c r="A98" s="225">
        <f ca="1">TblConstr[[#This Row],[Land]]</f>
        <v>700</v>
      </c>
      <c r="B98" s="145"/>
      <c r="C98" s="97">
        <f ca="1">TblProd[[#This Row],[Platinum]]</f>
        <v>942302</v>
      </c>
      <c r="D98" s="97">
        <f ca="1">TblProd[[#This Row],[Lumber]]</f>
        <v>33575</v>
      </c>
      <c r="E98" s="97">
        <f ca="1">TblProd[[#This Row],[Ore]]</f>
        <v>0</v>
      </c>
      <c r="F98" s="97">
        <f ca="1">TblProd[[#This Row],[Gems]]</f>
        <v>0</v>
      </c>
      <c r="G98" s="157"/>
      <c r="H98" s="97">
        <f ca="1">TblMili[[#This Row],[Draftees]]</f>
        <v>1688</v>
      </c>
      <c r="I98" s="183">
        <f ca="1">TblPop[[#This Row],[Employment]]</f>
        <v>1</v>
      </c>
      <c r="J98" s="183">
        <f ca="1">TblPop[[#This Row],[Total]]/TblPop[[#This Row],[Net max]]</f>
        <v>1</v>
      </c>
      <c r="K98" s="306">
        <f>TblRezone[[#This Row],[Hour]]</f>
        <v>95</v>
      </c>
      <c r="L98" s="307">
        <f ca="1">TblImps[[#This Row],[Real time]]</f>
        <v>45433.666666666439</v>
      </c>
      <c r="M98" s="62">
        <f>IF(ISERROR(TblImps[[#This Row],[algorithm]]),0,TblImps[[#This Row],[algorithm]]*1)</f>
        <v>0</v>
      </c>
      <c r="N98" s="97">
        <f ca="1">TblImps[[#This Row],[Land]]</f>
        <v>700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45433.666666666439</v>
      </c>
      <c r="BZ98" s="317">
        <f ca="1">OFFSET(TblImps[[#This Row],[Servertime]],-1,0)+1/24</f>
        <v>45433.916666666439</v>
      </c>
      <c r="CA98" s="57"/>
      <c r="CB98" s="315"/>
      <c r="CC98" s="315"/>
    </row>
    <row r="99" spans="1:82" x14ac:dyDescent="0.2">
      <c r="A99" s="225">
        <f ca="1">TblConstr[[#This Row],[Land]]</f>
        <v>700</v>
      </c>
      <c r="B99" s="145"/>
      <c r="C99" s="97">
        <f ca="1">TblProd[[#This Row],[Platinum]]</f>
        <v>983687</v>
      </c>
      <c r="D99" s="97">
        <f ca="1">TblProd[[#This Row],[Lumber]]</f>
        <v>34364</v>
      </c>
      <c r="E99" s="97">
        <f ca="1">TblProd[[#This Row],[Ore]]</f>
        <v>0</v>
      </c>
      <c r="F99" s="97">
        <f ca="1">TblProd[[#This Row],[Gems]]</f>
        <v>0</v>
      </c>
      <c r="G99" s="157"/>
      <c r="H99" s="97">
        <f ca="1">TblMili[[#This Row],[Draftees]]</f>
        <v>1768</v>
      </c>
      <c r="I99" s="183">
        <f ca="1">TblPop[[#This Row],[Employment]]</f>
        <v>1</v>
      </c>
      <c r="J99" s="183">
        <f ca="1">TblPop[[#This Row],[Total]]/TblPop[[#This Row],[Net max]]</f>
        <v>1</v>
      </c>
      <c r="K99" s="306">
        <f>TblRezone[[#This Row],[Hour]]</f>
        <v>96</v>
      </c>
      <c r="L99" s="307">
        <f ca="1">TblImps[[#This Row],[Real time]]</f>
        <v>45433.708333333103</v>
      </c>
      <c r="M99" s="62">
        <f>IF(ISERROR(TblImps[[#This Row],[algorithm]]),0,TblImps[[#This Row],[algorithm]]*1)</f>
        <v>0</v>
      </c>
      <c r="N99" s="97">
        <f ca="1">TblImps[[#This Row],[Land]]</f>
        <v>700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45433.708333333103</v>
      </c>
      <c r="BZ99" s="317">
        <f ca="1">OFFSET(TblImps[[#This Row],[Servertime]],-1,0)+1/24</f>
        <v>45433.958333333103</v>
      </c>
      <c r="CA99" s="57"/>
      <c r="CB99" s="315"/>
      <c r="CC99" s="315"/>
    </row>
    <row r="100" spans="1:82" x14ac:dyDescent="0.2">
      <c r="A100" s="225">
        <f ca="1">TblConstr[[#This Row],[Land]]</f>
        <v>700</v>
      </c>
      <c r="B100" s="145"/>
      <c r="C100" s="97">
        <f ca="1">TblProd[[#This Row],[Platinum]]</f>
        <v>1024834</v>
      </c>
      <c r="D100" s="97">
        <f ca="1">TblProd[[#This Row],[Lumber]]</f>
        <v>35145</v>
      </c>
      <c r="E100" s="97">
        <f ca="1">TblProd[[#This Row],[Ore]]</f>
        <v>0</v>
      </c>
      <c r="F100" s="97">
        <f ca="1">TblProd[[#This Row],[Gems]]</f>
        <v>0</v>
      </c>
      <c r="G100" s="157"/>
      <c r="H100" s="97">
        <f ca="1">TblMili[[#This Row],[Draftees]]</f>
        <v>1847</v>
      </c>
      <c r="I100" s="183">
        <f ca="1">TblPop[[#This Row],[Employment]]</f>
        <v>1</v>
      </c>
      <c r="J100" s="183">
        <f ca="1">TblPop[[#This Row],[Total]]/TblPop[[#This Row],[Net max]]</f>
        <v>1</v>
      </c>
      <c r="K100" s="306">
        <f>TblRezone[[#This Row],[Hour]]</f>
        <v>97</v>
      </c>
      <c r="L100" s="307">
        <f ca="1">TblImps[[#This Row],[Real time]]</f>
        <v>45433.749999999767</v>
      </c>
      <c r="M100" s="62">
        <f>IF(ISERROR(TblImps[[#This Row],[algorithm]]),0,TblImps[[#This Row],[algorithm]]*1)</f>
        <v>1</v>
      </c>
      <c r="N100" s="97">
        <f ca="1">TblImps[[#This Row],[Land]]</f>
        <v>700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62">
        <f>TblImps[[#This Row],[Login]]</f>
        <v>1</v>
      </c>
      <c r="BX100" s="140"/>
      <c r="BY100" s="316">
        <f ca="1">OFFSET(TblImps[[#This Row],[Real time]],-1,0)+1/24</f>
        <v>45433.749999999767</v>
      </c>
      <c r="BZ100" s="317">
        <f ca="1">OFFSET(TblImps[[#This Row],[Servertime]],-1,0)+1/24</f>
        <v>45433.999999999767</v>
      </c>
      <c r="CA100" s="57"/>
      <c r="CB100" s="315"/>
      <c r="CC100" s="315"/>
    </row>
    <row r="101" spans="1:82" x14ac:dyDescent="0.2">
      <c r="A101" s="225">
        <f ca="1">TblConstr[[#This Row],[Land]]</f>
        <v>700</v>
      </c>
      <c r="B101" s="145"/>
      <c r="C101" s="97">
        <f ca="1">TblProd[[#This Row],[Platinum]]</f>
        <v>1065746</v>
      </c>
      <c r="D101" s="97">
        <f ca="1">TblProd[[#This Row],[Lumber]]</f>
        <v>35919</v>
      </c>
      <c r="E101" s="97">
        <f ca="1">TblProd[[#This Row],[Ore]]</f>
        <v>0</v>
      </c>
      <c r="F101" s="97">
        <f ca="1">TblProd[[#This Row],[Gems]]</f>
        <v>0</v>
      </c>
      <c r="G101" s="157"/>
      <c r="H101" s="97">
        <f ca="1">TblMili[[#This Row],[Draftees]]</f>
        <v>1926</v>
      </c>
      <c r="I101" s="183">
        <f ca="1">TblPop[[#This Row],[Employment]]</f>
        <v>1</v>
      </c>
      <c r="J101" s="183">
        <f ca="1">TblPop[[#This Row],[Total]]/TblPop[[#This Row],[Net max]]</f>
        <v>1</v>
      </c>
      <c r="K101" s="306">
        <f>TblRezone[[#This Row],[Hour]]</f>
        <v>98</v>
      </c>
      <c r="L101" s="307">
        <f ca="1">TblImps[[#This Row],[Real time]]</f>
        <v>45433.791666666431</v>
      </c>
      <c r="M101" s="62">
        <f>IF(ISERROR(TblImps[[#This Row],[algorithm]]),0,TblImps[[#This Row],[algorithm]]*1)</f>
        <v>0</v>
      </c>
      <c r="N101" s="97">
        <f ca="1">TblImps[[#This Row],[Land]]</f>
        <v>700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45433.791666666431</v>
      </c>
      <c r="BZ101" s="317">
        <f ca="1">OFFSET(TblImps[[#This Row],[Servertime]],-1,0)+1/24</f>
        <v>45434.041666666431</v>
      </c>
      <c r="CA101" s="57"/>
      <c r="CB101" s="315"/>
      <c r="CC101" s="315"/>
    </row>
    <row r="102" spans="1:82" x14ac:dyDescent="0.2">
      <c r="A102" s="225">
        <f ca="1">TblConstr[[#This Row],[Land]]</f>
        <v>700</v>
      </c>
      <c r="B102" s="145"/>
      <c r="C102" s="97">
        <f ca="1">TblProd[[#This Row],[Platinum]]</f>
        <v>1106424</v>
      </c>
      <c r="D102" s="97">
        <f ca="1">TblProd[[#This Row],[Lumber]]</f>
        <v>36685</v>
      </c>
      <c r="E102" s="97">
        <f ca="1">TblProd[[#This Row],[Ore]]</f>
        <v>0</v>
      </c>
      <c r="F102" s="97">
        <f ca="1">TblProd[[#This Row],[Gems]]</f>
        <v>0</v>
      </c>
      <c r="G102" s="157"/>
      <c r="H102" s="97">
        <f ca="1">TblMili[[#This Row],[Draftees]]</f>
        <v>2004</v>
      </c>
      <c r="I102" s="183">
        <f ca="1">TblPop[[#This Row],[Employment]]</f>
        <v>1</v>
      </c>
      <c r="J102" s="183">
        <f ca="1">TblPop[[#This Row],[Total]]/TblPop[[#This Row],[Net max]]</f>
        <v>1</v>
      </c>
      <c r="K102" s="306">
        <f>TblRezone[[#This Row],[Hour]]</f>
        <v>99</v>
      </c>
      <c r="L102" s="307">
        <f ca="1">TblImps[[#This Row],[Real time]]</f>
        <v>45433.833333333096</v>
      </c>
      <c r="M102" s="62">
        <f>IF(ISERROR(TblImps[[#This Row],[algorithm]]),0,TblImps[[#This Row],[algorithm]]*1)</f>
        <v>0</v>
      </c>
      <c r="N102" s="97">
        <f ca="1">TblImps[[#This Row],[Land]]</f>
        <v>700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45433.833333333096</v>
      </c>
      <c r="BZ102" s="317">
        <f ca="1">OFFSET(TblImps[[#This Row],[Servertime]],-1,0)+1/24</f>
        <v>45434.083333333096</v>
      </c>
      <c r="CA102" s="57"/>
      <c r="CB102" s="315"/>
      <c r="CC102" s="315"/>
      <c r="CD102" s="45" t="s">
        <v>4</v>
      </c>
    </row>
    <row r="103" spans="1:82" x14ac:dyDescent="0.2">
      <c r="A103" s="225">
        <f ca="1">TblConstr[[#This Row],[Land]]</f>
        <v>700</v>
      </c>
      <c r="B103" s="145"/>
      <c r="C103" s="97">
        <f ca="1">TblProd[[#This Row],[Platinum]]</f>
        <v>1146870</v>
      </c>
      <c r="D103" s="97">
        <f ca="1">TblProd[[#This Row],[Lumber]]</f>
        <v>37443</v>
      </c>
      <c r="E103" s="97">
        <f ca="1">TblProd[[#This Row],[Ore]]</f>
        <v>0</v>
      </c>
      <c r="F103" s="97">
        <f ca="1">TblProd[[#This Row],[Gems]]</f>
        <v>0</v>
      </c>
      <c r="G103" s="157"/>
      <c r="H103" s="97">
        <f ca="1">TblMili[[#This Row],[Draftees]]</f>
        <v>2081</v>
      </c>
      <c r="I103" s="183">
        <f ca="1">TblPop[[#This Row],[Employment]]</f>
        <v>1</v>
      </c>
      <c r="J103" s="183">
        <f ca="1">TblPop[[#This Row],[Total]]/TblPop[[#This Row],[Net max]]</f>
        <v>1</v>
      </c>
      <c r="K103" s="306">
        <f>TblRezone[[#This Row],[Hour]]</f>
        <v>100</v>
      </c>
      <c r="L103" s="307">
        <f ca="1">TblImps[[#This Row],[Real time]]</f>
        <v>45433.87499999976</v>
      </c>
      <c r="M103" s="62">
        <f>IF(ISERROR(TblImps[[#This Row],[algorithm]]),0,TblImps[[#This Row],[algorithm]]*1)</f>
        <v>0</v>
      </c>
      <c r="N103" s="97">
        <f ca="1">TblImps[[#This Row],[Land]]</f>
        <v>700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45433.87499999976</v>
      </c>
      <c r="BZ103" s="317">
        <f ca="1">OFFSET(TblImps[[#This Row],[Servertime]],-1,0)+1/24</f>
        <v>45434.12499999976</v>
      </c>
      <c r="CA103" s="57"/>
      <c r="CB103" s="315"/>
      <c r="CC103" s="315"/>
      <c r="CD103" s="45" t="s">
        <v>7</v>
      </c>
    </row>
    <row r="104" spans="1:82" x14ac:dyDescent="0.2">
      <c r="A104" s="225">
        <f ca="1">TblConstr[[#This Row],[Land]]</f>
        <v>700</v>
      </c>
      <c r="B104" s="145"/>
      <c r="C104" s="97">
        <f ca="1">TblProd[[#This Row],[Platinum]]</f>
        <v>1187087</v>
      </c>
      <c r="D104" s="97">
        <f ca="1">TblProd[[#This Row],[Lumber]]</f>
        <v>38194</v>
      </c>
      <c r="E104" s="97">
        <f ca="1">TblProd[[#This Row],[Ore]]</f>
        <v>0</v>
      </c>
      <c r="F104" s="97">
        <f ca="1">TblProd[[#This Row],[Gems]]</f>
        <v>0</v>
      </c>
      <c r="G104" s="157"/>
      <c r="H104" s="97">
        <f ca="1">TblMili[[#This Row],[Draftees]]</f>
        <v>2157</v>
      </c>
      <c r="I104" s="183">
        <f ca="1">TblPop[[#This Row],[Employment]]</f>
        <v>1</v>
      </c>
      <c r="J104" s="183">
        <f ca="1">TblPop[[#This Row],[Total]]/TblPop[[#This Row],[Net max]]</f>
        <v>1</v>
      </c>
      <c r="K104" s="306">
        <f>TblRezone[[#This Row],[Hour]]</f>
        <v>101</v>
      </c>
      <c r="L104" s="307">
        <f ca="1">TblImps[[#This Row],[Real time]]</f>
        <v>45433.916666666424</v>
      </c>
      <c r="M104" s="62">
        <f>IF(ISERROR(TblImps[[#This Row],[algorithm]]),0,TblImps[[#This Row],[algorithm]]*1)</f>
        <v>0</v>
      </c>
      <c r="N104" s="97">
        <f ca="1">TblImps[[#This Row],[Land]]</f>
        <v>700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45433.916666666424</v>
      </c>
      <c r="BZ104" s="317">
        <f ca="1">OFFSET(TblImps[[#This Row],[Servertime]],-1,0)+1/24</f>
        <v>45434.166666666424</v>
      </c>
      <c r="CA104" s="57"/>
      <c r="CB104" s="315"/>
      <c r="CC104" s="315"/>
      <c r="CD104" s="45" t="s">
        <v>3</v>
      </c>
    </row>
    <row r="105" spans="1:82" x14ac:dyDescent="0.2">
      <c r="A105" s="225">
        <f ca="1">TblConstr[[#This Row],[Land]]</f>
        <v>700</v>
      </c>
      <c r="B105" s="145"/>
      <c r="C105" s="97">
        <f ca="1">TblProd[[#This Row],[Platinum]]</f>
        <v>1227079</v>
      </c>
      <c r="D105" s="97">
        <f ca="1">TblProd[[#This Row],[Lumber]]</f>
        <v>38937</v>
      </c>
      <c r="E105" s="97">
        <f ca="1">TblProd[[#This Row],[Ore]]</f>
        <v>0</v>
      </c>
      <c r="F105" s="97">
        <f ca="1">TblProd[[#This Row],[Gems]]</f>
        <v>0</v>
      </c>
      <c r="G105" s="157"/>
      <c r="H105" s="97">
        <f ca="1">TblMili[[#This Row],[Draftees]]</f>
        <v>2233</v>
      </c>
      <c r="I105" s="183">
        <f ca="1">TblPop[[#This Row],[Employment]]</f>
        <v>1</v>
      </c>
      <c r="J105" s="183">
        <f ca="1">TblPop[[#This Row],[Total]]/TblPop[[#This Row],[Net max]]</f>
        <v>1</v>
      </c>
      <c r="K105" s="306">
        <f>TblRezone[[#This Row],[Hour]]</f>
        <v>102</v>
      </c>
      <c r="L105" s="307">
        <f ca="1">TblImps[[#This Row],[Real time]]</f>
        <v>45433.958333333088</v>
      </c>
      <c r="M105" s="62">
        <f>IF(ISERROR(TblImps[[#This Row],[algorithm]]),0,TblImps[[#This Row],[algorithm]]*1)</f>
        <v>0</v>
      </c>
      <c r="N105" s="97">
        <f ca="1">TblImps[[#This Row],[Land]]</f>
        <v>700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45433.958333333088</v>
      </c>
      <c r="BZ105" s="317">
        <f ca="1">OFFSET(TblImps[[#This Row],[Servertime]],-1,0)+1/24</f>
        <v>45434.208333333088</v>
      </c>
      <c r="CA105" s="57"/>
      <c r="CB105" s="315"/>
      <c r="CC105" s="315"/>
      <c r="CD105" s="45" t="s">
        <v>2</v>
      </c>
    </row>
    <row r="106" spans="1:82" x14ac:dyDescent="0.2">
      <c r="A106" s="225">
        <f ca="1">TblConstr[[#This Row],[Land]]</f>
        <v>700</v>
      </c>
      <c r="B106" s="145"/>
      <c r="C106" s="97">
        <f ca="1">TblProd[[#This Row],[Platinum]]</f>
        <v>1266845</v>
      </c>
      <c r="D106" s="97">
        <f ca="1">TblProd[[#This Row],[Lumber]]</f>
        <v>39673</v>
      </c>
      <c r="E106" s="97">
        <f ca="1">TblProd[[#This Row],[Ore]]</f>
        <v>0</v>
      </c>
      <c r="F106" s="97">
        <f ca="1">TblProd[[#This Row],[Gems]]</f>
        <v>0</v>
      </c>
      <c r="G106" s="157"/>
      <c r="H106" s="97">
        <f ca="1">TblMili[[#This Row],[Draftees]]</f>
        <v>2308</v>
      </c>
      <c r="I106" s="183">
        <f ca="1">TblPop[[#This Row],[Employment]]</f>
        <v>1</v>
      </c>
      <c r="J106" s="183">
        <f ca="1">TblPop[[#This Row],[Total]]/TblPop[[#This Row],[Net max]]</f>
        <v>1</v>
      </c>
      <c r="K106" s="306">
        <f>TblRezone[[#This Row],[Hour]]</f>
        <v>103</v>
      </c>
      <c r="L106" s="307">
        <f ca="1">TblImps[[#This Row],[Real time]]</f>
        <v>45433.999999999753</v>
      </c>
      <c r="M106" s="62">
        <f>IF(ISERROR(TblImps[[#This Row],[algorithm]]),0,TblImps[[#This Row],[algorithm]]*1)</f>
        <v>0</v>
      </c>
      <c r="N106" s="97">
        <f ca="1">TblImps[[#This Row],[Land]]</f>
        <v>700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45433.999999999753</v>
      </c>
      <c r="BZ106" s="317">
        <f ca="1">OFFSET(TblImps[[#This Row],[Servertime]],-1,0)+1/24</f>
        <v>45434.249999999753</v>
      </c>
      <c r="CA106" s="57"/>
      <c r="CB106" s="315"/>
      <c r="CC106" s="315"/>
    </row>
    <row r="107" spans="1:82" x14ac:dyDescent="0.2">
      <c r="A107" s="225">
        <f ca="1">TblConstr[[#This Row],[Land]]</f>
        <v>700</v>
      </c>
      <c r="B107" s="145"/>
      <c r="C107" s="97">
        <f ca="1">TblProd[[#This Row],[Platinum]]</f>
        <v>1306388</v>
      </c>
      <c r="D107" s="97">
        <f ca="1">TblProd[[#This Row],[Lumber]]</f>
        <v>40401</v>
      </c>
      <c r="E107" s="97">
        <f ca="1">TblProd[[#This Row],[Ore]]</f>
        <v>0</v>
      </c>
      <c r="F107" s="97">
        <f ca="1">TblProd[[#This Row],[Gems]]</f>
        <v>0</v>
      </c>
      <c r="G107" s="157"/>
      <c r="H107" s="97">
        <f ca="1">TblMili[[#This Row],[Draftees]]</f>
        <v>2382</v>
      </c>
      <c r="I107" s="183">
        <f ca="1">TblPop[[#This Row],[Employment]]</f>
        <v>1</v>
      </c>
      <c r="J107" s="183">
        <f ca="1">TblPop[[#This Row],[Total]]/TblPop[[#This Row],[Net max]]</f>
        <v>1</v>
      </c>
      <c r="K107" s="306">
        <f>TblRezone[[#This Row],[Hour]]</f>
        <v>104</v>
      </c>
      <c r="L107" s="307">
        <f ca="1">TblImps[[#This Row],[Real time]]</f>
        <v>45434.041666666417</v>
      </c>
      <c r="M107" s="62">
        <f>IF(ISERROR(TblImps[[#This Row],[algorithm]]),0,TblImps[[#This Row],[algorithm]]*1)</f>
        <v>0</v>
      </c>
      <c r="N107" s="97">
        <f ca="1">TblImps[[#This Row],[Land]]</f>
        <v>700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45434.041666666417</v>
      </c>
      <c r="BZ107" s="317">
        <f ca="1">OFFSET(TblImps[[#This Row],[Servertime]],-1,0)+1/24</f>
        <v>45434.291666666417</v>
      </c>
      <c r="CA107" s="57"/>
      <c r="CB107" s="315"/>
      <c r="CC107" s="315"/>
      <c r="CD107" s="45" t="s">
        <v>209</v>
      </c>
    </row>
    <row r="108" spans="1:82" x14ac:dyDescent="0.2">
      <c r="A108" s="225">
        <f ca="1">TblConstr[[#This Row],[Land]]</f>
        <v>700</v>
      </c>
      <c r="B108" s="145"/>
      <c r="C108" s="97">
        <f ca="1">TblProd[[#This Row],[Platinum]]</f>
        <v>1345712</v>
      </c>
      <c r="D108" s="97">
        <f ca="1">TblProd[[#This Row],[Lumber]]</f>
        <v>41122</v>
      </c>
      <c r="E108" s="97">
        <f ca="1">TblProd[[#This Row],[Ore]]</f>
        <v>0</v>
      </c>
      <c r="F108" s="97">
        <f ca="1">TblProd[[#This Row],[Gems]]</f>
        <v>0</v>
      </c>
      <c r="G108" s="157"/>
      <c r="H108" s="97">
        <f ca="1">TblMili[[#This Row],[Draftees]]</f>
        <v>2455</v>
      </c>
      <c r="I108" s="183">
        <f ca="1">TblPop[[#This Row],[Employment]]</f>
        <v>1</v>
      </c>
      <c r="J108" s="183">
        <f ca="1">TblPop[[#This Row],[Total]]/TblPop[[#This Row],[Net max]]</f>
        <v>1</v>
      </c>
      <c r="K108" s="306">
        <f>TblRezone[[#This Row],[Hour]]</f>
        <v>105</v>
      </c>
      <c r="L108" s="307">
        <f ca="1">TblImps[[#This Row],[Real time]]</f>
        <v>45434.083333333081</v>
      </c>
      <c r="M108" s="62">
        <f>IF(ISERROR(TblImps[[#This Row],[algorithm]]),0,TblImps[[#This Row],[algorithm]]*1)</f>
        <v>0</v>
      </c>
      <c r="N108" s="97">
        <f ca="1">TblImps[[#This Row],[Land]]</f>
        <v>700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45434.083333333081</v>
      </c>
      <c r="BZ108" s="317">
        <f ca="1">OFFSET(TblImps[[#This Row],[Servertime]],-1,0)+1/24</f>
        <v>45434.333333333081</v>
      </c>
      <c r="CA108" s="57"/>
      <c r="CB108" s="315"/>
      <c r="CC108" s="315"/>
      <c r="CD108" s="45" t="s">
        <v>211</v>
      </c>
    </row>
    <row r="109" spans="1:82" x14ac:dyDescent="0.2">
      <c r="A109" s="225">
        <f ca="1">TblConstr[[#This Row],[Land]]</f>
        <v>700</v>
      </c>
      <c r="B109" s="145"/>
      <c r="C109" s="97">
        <f ca="1">TblProd[[#This Row],[Platinum]]</f>
        <v>1384819</v>
      </c>
      <c r="D109" s="97">
        <f ca="1">TblProd[[#This Row],[Lumber]]</f>
        <v>41836</v>
      </c>
      <c r="E109" s="97">
        <f ca="1">TblProd[[#This Row],[Ore]]</f>
        <v>0</v>
      </c>
      <c r="F109" s="97">
        <f ca="1">TblProd[[#This Row],[Gems]]</f>
        <v>0</v>
      </c>
      <c r="G109" s="157"/>
      <c r="H109" s="97">
        <f ca="1">TblMili[[#This Row],[Draftees]]</f>
        <v>2528</v>
      </c>
      <c r="I109" s="183">
        <f ca="1">TblPop[[#This Row],[Employment]]</f>
        <v>1</v>
      </c>
      <c r="J109" s="183">
        <f ca="1">TblPop[[#This Row],[Total]]/TblPop[[#This Row],[Net max]]</f>
        <v>1</v>
      </c>
      <c r="K109" s="306">
        <f>TblRezone[[#This Row],[Hour]]</f>
        <v>106</v>
      </c>
      <c r="L109" s="307">
        <f ca="1">TblImps[[#This Row],[Real time]]</f>
        <v>45434.124999999745</v>
      </c>
      <c r="M109" s="62">
        <f>IF(ISERROR(TblImps[[#This Row],[algorithm]]),0,TblImps[[#This Row],[algorithm]]*1)</f>
        <v>0</v>
      </c>
      <c r="N109" s="97">
        <f ca="1">TblImps[[#This Row],[Land]]</f>
        <v>700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45434.124999999745</v>
      </c>
      <c r="BZ109" s="317">
        <f ca="1">OFFSET(TblImps[[#This Row],[Servertime]],-1,0)+1/24</f>
        <v>45434.374999999745</v>
      </c>
      <c r="CA109" s="57"/>
      <c r="CB109" s="315"/>
      <c r="CC109" s="315"/>
      <c r="CD109" s="45" t="s">
        <v>212</v>
      </c>
    </row>
    <row r="110" spans="1:82" x14ac:dyDescent="0.2">
      <c r="A110" s="225">
        <f ca="1">TblConstr[[#This Row],[Land]]</f>
        <v>700</v>
      </c>
      <c r="B110" s="145"/>
      <c r="C110" s="97">
        <f ca="1">TblProd[[#This Row],[Platinum]]</f>
        <v>1423709</v>
      </c>
      <c r="D110" s="97">
        <f ca="1">TblProd[[#This Row],[Lumber]]</f>
        <v>42543</v>
      </c>
      <c r="E110" s="97">
        <f ca="1">TblProd[[#This Row],[Ore]]</f>
        <v>0</v>
      </c>
      <c r="F110" s="97">
        <f ca="1">TblProd[[#This Row],[Gems]]</f>
        <v>0</v>
      </c>
      <c r="G110" s="157"/>
      <c r="H110" s="97">
        <f ca="1">TblMili[[#This Row],[Draftees]]</f>
        <v>2600</v>
      </c>
      <c r="I110" s="183">
        <f ca="1">TblPop[[#This Row],[Employment]]</f>
        <v>1</v>
      </c>
      <c r="J110" s="183">
        <f ca="1">TblPop[[#This Row],[Total]]/TblPop[[#This Row],[Net max]]</f>
        <v>1</v>
      </c>
      <c r="K110" s="306">
        <f>TblRezone[[#This Row],[Hour]]</f>
        <v>107</v>
      </c>
      <c r="L110" s="307">
        <f ca="1">TblImps[[#This Row],[Real time]]</f>
        <v>45434.16666666641</v>
      </c>
      <c r="M110" s="62">
        <f>IF(ISERROR(TblImps[[#This Row],[algorithm]]),0,TblImps[[#This Row],[algorithm]]*1)</f>
        <v>0</v>
      </c>
      <c r="N110" s="97">
        <f ca="1">TblImps[[#This Row],[Land]]</f>
        <v>700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45434.16666666641</v>
      </c>
      <c r="BZ110" s="317">
        <f ca="1">OFFSET(TblImps[[#This Row],[Servertime]],-1,0)+1/24</f>
        <v>45434.41666666641</v>
      </c>
      <c r="CA110" s="57"/>
      <c r="CB110" s="315"/>
      <c r="CC110" s="315"/>
      <c r="CD110" s="45" t="s">
        <v>213</v>
      </c>
    </row>
    <row r="111" spans="1:82" x14ac:dyDescent="0.2">
      <c r="A111" s="225">
        <f ca="1">TblConstr[[#This Row],[Land]]</f>
        <v>700</v>
      </c>
      <c r="B111" s="145"/>
      <c r="C111" s="97">
        <f ca="1">TblProd[[#This Row],[Platinum]]</f>
        <v>1462385</v>
      </c>
      <c r="D111" s="97">
        <f ca="1">TblProd[[#This Row],[Lumber]]</f>
        <v>43243</v>
      </c>
      <c r="E111" s="97">
        <f ca="1">TblProd[[#This Row],[Ore]]</f>
        <v>0</v>
      </c>
      <c r="F111" s="97">
        <f ca="1">TblProd[[#This Row],[Gems]]</f>
        <v>0</v>
      </c>
      <c r="G111" s="157"/>
      <c r="H111" s="97">
        <f ca="1">TblMili[[#This Row],[Draftees]]</f>
        <v>2671</v>
      </c>
      <c r="I111" s="183">
        <f ca="1">TblPop[[#This Row],[Employment]]</f>
        <v>1</v>
      </c>
      <c r="J111" s="183">
        <f ca="1">TblPop[[#This Row],[Total]]/TblPop[[#This Row],[Net max]]</f>
        <v>1</v>
      </c>
      <c r="K111" s="306">
        <f>TblRezone[[#This Row],[Hour]]</f>
        <v>108</v>
      </c>
      <c r="L111" s="307">
        <f ca="1">TblImps[[#This Row],[Real time]]</f>
        <v>45434.208333333074</v>
      </c>
      <c r="M111" s="62">
        <f>IF(ISERROR(TblImps[[#This Row],[algorithm]]),0,TblImps[[#This Row],[algorithm]]*1)</f>
        <v>0</v>
      </c>
      <c r="N111" s="97">
        <f ca="1">TblImps[[#This Row],[Land]]</f>
        <v>700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45434.208333333074</v>
      </c>
      <c r="BZ111" s="317">
        <f ca="1">OFFSET(TblImps[[#This Row],[Servertime]],-1,0)+1/24</f>
        <v>45434.458333333074</v>
      </c>
      <c r="CA111" s="57"/>
      <c r="CB111" s="315"/>
      <c r="CC111" s="315"/>
      <c r="CD111" s="45" t="s">
        <v>214</v>
      </c>
    </row>
    <row r="112" spans="1:82" x14ac:dyDescent="0.2">
      <c r="A112" s="225">
        <f ca="1">TblConstr[[#This Row],[Land]]</f>
        <v>700</v>
      </c>
      <c r="B112" s="145"/>
      <c r="C112" s="97">
        <f ca="1">TblProd[[#This Row],[Platinum]]</f>
        <v>1500850</v>
      </c>
      <c r="D112" s="97">
        <f ca="1">TblProd[[#This Row],[Lumber]]</f>
        <v>43936</v>
      </c>
      <c r="E112" s="97">
        <f ca="1">TblProd[[#This Row],[Ore]]</f>
        <v>0</v>
      </c>
      <c r="F112" s="97">
        <f ca="1">TblProd[[#This Row],[Gems]]</f>
        <v>0</v>
      </c>
      <c r="G112" s="157"/>
      <c r="H112" s="97">
        <f ca="1">TblMili[[#This Row],[Draftees]]</f>
        <v>2741</v>
      </c>
      <c r="I112" s="183">
        <f ca="1">TblPop[[#This Row],[Employment]]</f>
        <v>1</v>
      </c>
      <c r="J112" s="183">
        <f ca="1">TblPop[[#This Row],[Total]]/TblPop[[#This Row],[Net max]]</f>
        <v>1</v>
      </c>
      <c r="K112" s="306">
        <f>TblRezone[[#This Row],[Hour]]</f>
        <v>109</v>
      </c>
      <c r="L112" s="307">
        <f ca="1">TblImps[[#This Row],[Real time]]</f>
        <v>45434.249999999738</v>
      </c>
      <c r="M112" s="62">
        <f>IF(ISERROR(TblImps[[#This Row],[algorithm]]),0,TblImps[[#This Row],[algorithm]]*1)</f>
        <v>0</v>
      </c>
      <c r="N112" s="97">
        <f ca="1">TblImps[[#This Row],[Land]]</f>
        <v>700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45434.249999999738</v>
      </c>
      <c r="BZ112" s="317">
        <f ca="1">OFFSET(TblImps[[#This Row],[Servertime]],-1,0)+1/24</f>
        <v>45434.499999999738</v>
      </c>
      <c r="CA112" s="57"/>
      <c r="CB112" s="315"/>
      <c r="CC112" s="315"/>
      <c r="CD112" s="45" t="s">
        <v>215</v>
      </c>
    </row>
    <row r="113" spans="1:81" x14ac:dyDescent="0.2">
      <c r="A113" s="225">
        <f ca="1">TblConstr[[#This Row],[Land]]</f>
        <v>700</v>
      </c>
      <c r="B113" s="145"/>
      <c r="C113" s="97">
        <f ca="1">TblProd[[#This Row],[Platinum]]</f>
        <v>1532054</v>
      </c>
      <c r="D113" s="97">
        <f ca="1">TblProd[[#This Row],[Lumber]]</f>
        <v>44622</v>
      </c>
      <c r="E113" s="97">
        <f ca="1">TblProd[[#This Row],[Ore]]</f>
        <v>0</v>
      </c>
      <c r="F113" s="97">
        <f ca="1">TblProd[[#This Row],[Gems]]</f>
        <v>0</v>
      </c>
      <c r="G113" s="157"/>
      <c r="H113" s="97">
        <f ca="1">TblMili[[#This Row],[Draftees]]</f>
        <v>2811</v>
      </c>
      <c r="I113" s="183">
        <f ca="1">TblPop[[#This Row],[Employment]]</f>
        <v>1</v>
      </c>
      <c r="J113" s="183">
        <f ca="1">TblPop[[#This Row],[Total]]/TblPop[[#This Row],[Net max]]</f>
        <v>1</v>
      </c>
      <c r="K113" s="306">
        <f>TblRezone[[#This Row],[Hour]]</f>
        <v>110</v>
      </c>
      <c r="L113" s="307">
        <f ca="1">TblImps[[#This Row],[Real time]]</f>
        <v>45434.291666666402</v>
      </c>
      <c r="M113" s="62">
        <f>IF(ISERROR(TblImps[[#This Row],[algorithm]]),0,TblImps[[#This Row],[algorithm]]*1)</f>
        <v>0</v>
      </c>
      <c r="N113" s="97">
        <f ca="1">TblImps[[#This Row],[Land]]</f>
        <v>700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45434.291666666402</v>
      </c>
      <c r="BZ113" s="317">
        <f ca="1">OFFSET(TblImps[[#This Row],[Servertime]],-1,0)+1/24</f>
        <v>45434.541666666402</v>
      </c>
      <c r="CA113" s="57"/>
      <c r="CB113" s="315"/>
      <c r="CC113" s="315"/>
    </row>
    <row r="114" spans="1:81" x14ac:dyDescent="0.2">
      <c r="A114" s="225">
        <f ca="1">TblConstr[[#This Row],[Land]]</f>
        <v>700</v>
      </c>
      <c r="B114" s="145"/>
      <c r="C114" s="97">
        <f ca="1">TblProd[[#This Row],[Platinum]]</f>
        <v>1563069</v>
      </c>
      <c r="D114" s="97">
        <f ca="1">TblProd[[#This Row],[Lumber]]</f>
        <v>45301</v>
      </c>
      <c r="E114" s="97">
        <f ca="1">TblProd[[#This Row],[Ore]]</f>
        <v>0</v>
      </c>
      <c r="F114" s="97">
        <f ca="1">TblProd[[#This Row],[Gems]]</f>
        <v>0</v>
      </c>
      <c r="G114" s="157"/>
      <c r="H114" s="97">
        <f ca="1">TblMili[[#This Row],[Draftees]]</f>
        <v>2880</v>
      </c>
      <c r="I114" s="183">
        <f ca="1">TblPop[[#This Row],[Employment]]</f>
        <v>1</v>
      </c>
      <c r="J114" s="183">
        <f ca="1">TblPop[[#This Row],[Total]]/TblPop[[#This Row],[Net max]]</f>
        <v>1</v>
      </c>
      <c r="K114" s="306">
        <f>TblRezone[[#This Row],[Hour]]</f>
        <v>111</v>
      </c>
      <c r="L114" s="307">
        <f ca="1">TblImps[[#This Row],[Real time]]</f>
        <v>45434.333333333067</v>
      </c>
      <c r="M114" s="62">
        <f>IF(ISERROR(TblImps[[#This Row],[algorithm]]),0,TblImps[[#This Row],[algorithm]]*1)</f>
        <v>0</v>
      </c>
      <c r="N114" s="97">
        <f ca="1">TblImps[[#This Row],[Land]]</f>
        <v>700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45434.333333333067</v>
      </c>
      <c r="BZ114" s="317">
        <f ca="1">OFFSET(TblImps[[#This Row],[Servertime]],-1,0)+1/24</f>
        <v>45434.583333333067</v>
      </c>
      <c r="CA114" s="320"/>
      <c r="CB114" s="315"/>
      <c r="CC114" s="315"/>
    </row>
    <row r="115" spans="1:81" x14ac:dyDescent="0.2">
      <c r="A115" s="225">
        <f ca="1">TblConstr[[#This Row],[Land]]</f>
        <v>700</v>
      </c>
      <c r="B115" s="145"/>
      <c r="C115" s="97">
        <f ca="1">TblProd[[#This Row],[Platinum]]</f>
        <v>1593898</v>
      </c>
      <c r="D115" s="97">
        <f ca="1">TblProd[[#This Row],[Lumber]]</f>
        <v>45973</v>
      </c>
      <c r="E115" s="97">
        <f ca="1">TblProd[[#This Row],[Ore]]</f>
        <v>0</v>
      </c>
      <c r="F115" s="97">
        <f ca="1">TblProd[[#This Row],[Gems]]</f>
        <v>0</v>
      </c>
      <c r="G115" s="157"/>
      <c r="H115" s="97">
        <f ca="1">TblMili[[#This Row],[Draftees]]</f>
        <v>2948</v>
      </c>
      <c r="I115" s="183">
        <f ca="1">TblPop[[#This Row],[Employment]]</f>
        <v>1</v>
      </c>
      <c r="J115" s="183">
        <f ca="1">TblPop[[#This Row],[Total]]/TblPop[[#This Row],[Net max]]</f>
        <v>1</v>
      </c>
      <c r="K115" s="306">
        <f>TblRezone[[#This Row],[Hour]]</f>
        <v>112</v>
      </c>
      <c r="L115" s="307">
        <f ca="1">TblImps[[#This Row],[Real time]]</f>
        <v>45434.374999999731</v>
      </c>
      <c r="M115" s="62">
        <f>IF(ISERROR(TblImps[[#This Row],[algorithm]]),0,TblImps[[#This Row],[algorithm]]*1)</f>
        <v>0</v>
      </c>
      <c r="N115" s="97">
        <f ca="1">TblImps[[#This Row],[Land]]</f>
        <v>700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45434.374999999731</v>
      </c>
      <c r="BZ115" s="317">
        <f ca="1">OFFSET(TblImps[[#This Row],[Servertime]],-1,0)+1/24</f>
        <v>45434.624999999731</v>
      </c>
      <c r="CA115" s="57"/>
      <c r="CB115" s="315"/>
      <c r="CC115" s="315"/>
    </row>
    <row r="116" spans="1:81" x14ac:dyDescent="0.2">
      <c r="A116" s="225">
        <f ca="1">TblConstr[[#This Row],[Land]]</f>
        <v>700</v>
      </c>
      <c r="B116" s="145"/>
      <c r="C116" s="97">
        <f ca="1">TblProd[[#This Row],[Platinum]]</f>
        <v>1624543</v>
      </c>
      <c r="D116" s="97">
        <f ca="1">TblProd[[#This Row],[Lumber]]</f>
        <v>46638</v>
      </c>
      <c r="E116" s="97">
        <f ca="1">TblProd[[#This Row],[Ore]]</f>
        <v>0</v>
      </c>
      <c r="F116" s="97">
        <f ca="1">TblProd[[#This Row],[Gems]]</f>
        <v>0</v>
      </c>
      <c r="G116" s="157"/>
      <c r="H116" s="97">
        <f ca="1">TblMili[[#This Row],[Draftees]]</f>
        <v>3016</v>
      </c>
      <c r="I116" s="183">
        <f ca="1">TblPop[[#This Row],[Employment]]</f>
        <v>1</v>
      </c>
      <c r="J116" s="183">
        <f ca="1">TblPop[[#This Row],[Total]]/TblPop[[#This Row],[Net max]]</f>
        <v>1</v>
      </c>
      <c r="K116" s="306">
        <f>TblRezone[[#This Row],[Hour]]</f>
        <v>113</v>
      </c>
      <c r="L116" s="307">
        <f ca="1">TblImps[[#This Row],[Real time]]</f>
        <v>45434.416666666395</v>
      </c>
      <c r="M116" s="62">
        <f>IF(ISERROR(TblImps[[#This Row],[algorithm]]),0,TblImps[[#This Row],[algorithm]]*1)</f>
        <v>0</v>
      </c>
      <c r="N116" s="97">
        <f ca="1">TblImps[[#This Row],[Land]]</f>
        <v>700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45434.416666666395</v>
      </c>
      <c r="BZ116" s="317">
        <f ca="1">OFFSET(TblImps[[#This Row],[Servertime]],-1,0)+1/24</f>
        <v>45434.666666666395</v>
      </c>
      <c r="CA116" s="57"/>
      <c r="CB116" s="315"/>
      <c r="CC116" s="315"/>
    </row>
    <row r="117" spans="1:81" x14ac:dyDescent="0.2">
      <c r="A117" s="225">
        <f ca="1">TblConstr[[#This Row],[Land]]</f>
        <v>700</v>
      </c>
      <c r="B117" s="145"/>
      <c r="C117" s="97">
        <f ca="1">TblProd[[#This Row],[Platinum]]</f>
        <v>1655005</v>
      </c>
      <c r="D117" s="97">
        <f ca="1">TblProd[[#This Row],[Lumber]]</f>
        <v>47297</v>
      </c>
      <c r="E117" s="97">
        <f ca="1">TblProd[[#This Row],[Ore]]</f>
        <v>0</v>
      </c>
      <c r="F117" s="97">
        <f ca="1">TblProd[[#This Row],[Gems]]</f>
        <v>0</v>
      </c>
      <c r="G117" s="157"/>
      <c r="H117" s="97">
        <f ca="1">TblMili[[#This Row],[Draftees]]</f>
        <v>3083</v>
      </c>
      <c r="I117" s="183">
        <f ca="1">TblPop[[#This Row],[Employment]]</f>
        <v>1</v>
      </c>
      <c r="J117" s="183">
        <f ca="1">TblPop[[#This Row],[Total]]/TblPop[[#This Row],[Net max]]</f>
        <v>1</v>
      </c>
      <c r="K117" s="306">
        <f>TblRezone[[#This Row],[Hour]]</f>
        <v>114</v>
      </c>
      <c r="L117" s="307">
        <f ca="1">TblImps[[#This Row],[Real time]]</f>
        <v>45434.458333333059</v>
      </c>
      <c r="M117" s="62">
        <f>IF(ISERROR(TblImps[[#This Row],[algorithm]]),0,TblImps[[#This Row],[algorithm]]*1)</f>
        <v>0</v>
      </c>
      <c r="N117" s="97">
        <f ca="1">TblImps[[#This Row],[Land]]</f>
        <v>700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45434.458333333059</v>
      </c>
      <c r="BZ117" s="317">
        <f ca="1">OFFSET(TblImps[[#This Row],[Servertime]],-1,0)+1/24</f>
        <v>45434.708333333059</v>
      </c>
      <c r="CA117" s="57"/>
      <c r="CB117" s="315"/>
      <c r="CC117" s="315"/>
    </row>
    <row r="118" spans="1:81" x14ac:dyDescent="0.2">
      <c r="A118" s="225">
        <f ca="1">TblConstr[[#This Row],[Land]]</f>
        <v>700</v>
      </c>
      <c r="B118" s="145"/>
      <c r="C118" s="97">
        <f ca="1">TblProd[[#This Row],[Platinum]]</f>
        <v>1685286</v>
      </c>
      <c r="D118" s="97">
        <f ca="1">TblProd[[#This Row],[Lumber]]</f>
        <v>47949</v>
      </c>
      <c r="E118" s="97">
        <f ca="1">TblProd[[#This Row],[Ore]]</f>
        <v>0</v>
      </c>
      <c r="F118" s="97">
        <f ca="1">TblProd[[#This Row],[Gems]]</f>
        <v>0</v>
      </c>
      <c r="G118" s="157"/>
      <c r="H118" s="97">
        <f ca="1">TblMili[[#This Row],[Draftees]]</f>
        <v>3149</v>
      </c>
      <c r="I118" s="183">
        <f ca="1">TblPop[[#This Row],[Employment]]</f>
        <v>1</v>
      </c>
      <c r="J118" s="183">
        <f ca="1">TblPop[[#This Row],[Total]]/TblPop[[#This Row],[Net max]]</f>
        <v>1</v>
      </c>
      <c r="K118" s="306">
        <f>TblRezone[[#This Row],[Hour]]</f>
        <v>115</v>
      </c>
      <c r="L118" s="307">
        <f ca="1">TblImps[[#This Row],[Real time]]</f>
        <v>45434.499999999724</v>
      </c>
      <c r="M118" s="62">
        <f>IF(ISERROR(TblImps[[#This Row],[algorithm]]),0,TblImps[[#This Row],[algorithm]]*1)</f>
        <v>0</v>
      </c>
      <c r="N118" s="97">
        <f ca="1">TblImps[[#This Row],[Land]]</f>
        <v>700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45434.499999999724</v>
      </c>
      <c r="BZ118" s="317">
        <f ca="1">OFFSET(TblImps[[#This Row],[Servertime]],-1,0)+1/24</f>
        <v>45434.749999999724</v>
      </c>
      <c r="CA118" s="57"/>
      <c r="CB118" s="315"/>
      <c r="CC118" s="315"/>
    </row>
    <row r="119" spans="1:81" x14ac:dyDescent="0.2">
      <c r="A119" s="225">
        <f ca="1">TblConstr[[#This Row],[Land]]</f>
        <v>700</v>
      </c>
      <c r="B119" s="145"/>
      <c r="C119" s="97">
        <f ca="1">TblProd[[#This Row],[Platinum]]</f>
        <v>1715389</v>
      </c>
      <c r="D119" s="97">
        <f ca="1">TblProd[[#This Row],[Lumber]]</f>
        <v>48595</v>
      </c>
      <c r="E119" s="97">
        <f ca="1">TblProd[[#This Row],[Ore]]</f>
        <v>0</v>
      </c>
      <c r="F119" s="97">
        <f ca="1">TblProd[[#This Row],[Gems]]</f>
        <v>0</v>
      </c>
      <c r="G119" s="157"/>
      <c r="H119" s="97">
        <f ca="1">TblMili[[#This Row],[Draftees]]</f>
        <v>3215</v>
      </c>
      <c r="I119" s="183">
        <f ca="1">TblPop[[#This Row],[Employment]]</f>
        <v>1</v>
      </c>
      <c r="J119" s="183">
        <f ca="1">TblPop[[#This Row],[Total]]/TblPop[[#This Row],[Net max]]</f>
        <v>1</v>
      </c>
      <c r="K119" s="306">
        <f>TblRezone[[#This Row],[Hour]]</f>
        <v>116</v>
      </c>
      <c r="L119" s="307">
        <f ca="1">TblImps[[#This Row],[Real time]]</f>
        <v>45434.541666666388</v>
      </c>
      <c r="M119" s="62">
        <f>IF(ISERROR(TblImps[[#This Row],[algorithm]]),0,TblImps[[#This Row],[algorithm]]*1)</f>
        <v>0</v>
      </c>
      <c r="N119" s="97">
        <f ca="1">TblImps[[#This Row],[Land]]</f>
        <v>700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45434.541666666388</v>
      </c>
      <c r="BZ119" s="317">
        <f ca="1">OFFSET(TblImps[[#This Row],[Servertime]],-1,0)+1/24</f>
        <v>45434.791666666388</v>
      </c>
      <c r="CA119" s="57"/>
      <c r="CB119" s="315"/>
      <c r="CC119" s="315"/>
    </row>
    <row r="120" spans="1:81" x14ac:dyDescent="0.2">
      <c r="A120" s="225">
        <f ca="1">TblConstr[[#This Row],[Land]]</f>
        <v>700</v>
      </c>
      <c r="B120" s="145"/>
      <c r="C120" s="97">
        <f ca="1">TblProd[[#This Row],[Platinum]]</f>
        <v>1745314</v>
      </c>
      <c r="D120" s="97">
        <f ca="1">TblProd[[#This Row],[Lumber]]</f>
        <v>49234</v>
      </c>
      <c r="E120" s="97">
        <f ca="1">TblProd[[#This Row],[Ore]]</f>
        <v>0</v>
      </c>
      <c r="F120" s="97">
        <f ca="1">TblProd[[#This Row],[Gems]]</f>
        <v>0</v>
      </c>
      <c r="G120" s="157"/>
      <c r="H120" s="97">
        <f ca="1">TblMili[[#This Row],[Draftees]]</f>
        <v>3280</v>
      </c>
      <c r="I120" s="183">
        <f ca="1">TblPop[[#This Row],[Employment]]</f>
        <v>1</v>
      </c>
      <c r="J120" s="183">
        <f ca="1">TblPop[[#This Row],[Total]]/TblPop[[#This Row],[Net max]]</f>
        <v>1</v>
      </c>
      <c r="K120" s="306">
        <f>TblRezone[[#This Row],[Hour]]</f>
        <v>117</v>
      </c>
      <c r="L120" s="307">
        <f ca="1">TblImps[[#This Row],[Real time]]</f>
        <v>45434.583333333052</v>
      </c>
      <c r="M120" s="62">
        <f>IF(ISERROR(TblImps[[#This Row],[algorithm]]),0,TblImps[[#This Row],[algorithm]]*1)</f>
        <v>0</v>
      </c>
      <c r="N120" s="97">
        <f ca="1">TblImps[[#This Row],[Land]]</f>
        <v>700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45434.583333333052</v>
      </c>
      <c r="BZ120" s="317">
        <f ca="1">OFFSET(TblImps[[#This Row],[Servertime]],-1,0)+1/24</f>
        <v>45434.833333333052</v>
      </c>
      <c r="CA120" s="57"/>
      <c r="CB120" s="315"/>
      <c r="CC120" s="315"/>
    </row>
    <row r="121" spans="1:81" x14ac:dyDescent="0.2">
      <c r="A121" s="225">
        <f ca="1">TblConstr[[#This Row],[Land]]</f>
        <v>700</v>
      </c>
      <c r="B121" s="145"/>
      <c r="C121" s="97">
        <f ca="1">TblProd[[#This Row],[Platinum]]</f>
        <v>1775063</v>
      </c>
      <c r="D121" s="97">
        <f ca="1">TblProd[[#This Row],[Lumber]]</f>
        <v>49867</v>
      </c>
      <c r="E121" s="97">
        <f ca="1">TblProd[[#This Row],[Ore]]</f>
        <v>0</v>
      </c>
      <c r="F121" s="97">
        <f ca="1">TblProd[[#This Row],[Gems]]</f>
        <v>0</v>
      </c>
      <c r="G121" s="157"/>
      <c r="H121" s="97">
        <f ca="1">TblMili[[#This Row],[Draftees]]</f>
        <v>3344</v>
      </c>
      <c r="I121" s="183">
        <f ca="1">TblPop[[#This Row],[Employment]]</f>
        <v>1</v>
      </c>
      <c r="J121" s="183">
        <f ca="1">TblPop[[#This Row],[Total]]/TblPop[[#This Row],[Net max]]</f>
        <v>1</v>
      </c>
      <c r="K121" s="306">
        <f>TblRezone[[#This Row],[Hour]]</f>
        <v>118</v>
      </c>
      <c r="L121" s="307">
        <f ca="1">TblImps[[#This Row],[Real time]]</f>
        <v>45434.624999999716</v>
      </c>
      <c r="M121" s="62">
        <f>IF(ISERROR(TblImps[[#This Row],[algorithm]]),0,TblImps[[#This Row],[algorithm]]*1)</f>
        <v>0</v>
      </c>
      <c r="N121" s="97">
        <f ca="1">TblImps[[#This Row],[Land]]</f>
        <v>700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45434.624999999716</v>
      </c>
      <c r="BZ121" s="317">
        <f ca="1">OFFSET(TblImps[[#This Row],[Servertime]],-1,0)+1/24</f>
        <v>45434.874999999716</v>
      </c>
      <c r="CA121" s="57"/>
      <c r="CB121" s="315"/>
      <c r="CC121" s="315"/>
    </row>
    <row r="122" spans="1:81" x14ac:dyDescent="0.2">
      <c r="A122" s="225">
        <f ca="1">TblConstr[[#This Row],[Land]]</f>
        <v>700</v>
      </c>
      <c r="B122" s="145"/>
      <c r="C122" s="97">
        <f ca="1">TblProd[[#This Row],[Platinum]]</f>
        <v>1804639</v>
      </c>
      <c r="D122" s="97">
        <f ca="1">TblProd[[#This Row],[Lumber]]</f>
        <v>50493</v>
      </c>
      <c r="E122" s="97">
        <f ca="1">TblProd[[#This Row],[Ore]]</f>
        <v>0</v>
      </c>
      <c r="F122" s="97">
        <f ca="1">TblProd[[#This Row],[Gems]]</f>
        <v>0</v>
      </c>
      <c r="G122" s="157"/>
      <c r="H122" s="97">
        <f ca="1">TblMili[[#This Row],[Draftees]]</f>
        <v>3408</v>
      </c>
      <c r="I122" s="183">
        <f ca="1">TblPop[[#This Row],[Employment]]</f>
        <v>1</v>
      </c>
      <c r="J122" s="183">
        <f ca="1">TblPop[[#This Row],[Total]]/TblPop[[#This Row],[Net max]]</f>
        <v>1</v>
      </c>
      <c r="K122" s="306">
        <f>TblRezone[[#This Row],[Hour]]</f>
        <v>119</v>
      </c>
      <c r="L122" s="307">
        <f ca="1">TblImps[[#This Row],[Real time]]</f>
        <v>45434.66666666638</v>
      </c>
      <c r="M122" s="62">
        <f>IF(ISERROR(TblImps[[#This Row],[algorithm]]),0,TblImps[[#This Row],[algorithm]]*1)</f>
        <v>0</v>
      </c>
      <c r="N122" s="97">
        <f ca="1">TblImps[[#This Row],[Land]]</f>
        <v>700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45434.66666666638</v>
      </c>
      <c r="BZ122" s="317">
        <f ca="1">OFFSET(TblImps[[#This Row],[Servertime]],-1,0)+1/24</f>
        <v>45434.91666666638</v>
      </c>
      <c r="CA122" s="57"/>
      <c r="CB122" s="315"/>
      <c r="CC122" s="315"/>
    </row>
    <row r="123" spans="1:81" x14ac:dyDescent="0.2">
      <c r="A123" s="225">
        <f ca="1">TblConstr[[#This Row],[Land]]</f>
        <v>700</v>
      </c>
      <c r="B123" s="145"/>
      <c r="C123" s="97">
        <f ca="1">TblProd[[#This Row],[Platinum]]</f>
        <v>1834042</v>
      </c>
      <c r="D123" s="97">
        <f ca="1">TblProd[[#This Row],[Lumber]]</f>
        <v>51113</v>
      </c>
      <c r="E123" s="97">
        <f ca="1">TblProd[[#This Row],[Ore]]</f>
        <v>0</v>
      </c>
      <c r="F123" s="97">
        <f ca="1">TblProd[[#This Row],[Gems]]</f>
        <v>0</v>
      </c>
      <c r="G123" s="157"/>
      <c r="H123" s="97">
        <f ca="1">TblMili[[#This Row],[Draftees]]</f>
        <v>3471</v>
      </c>
      <c r="I123" s="183">
        <f ca="1">TblPop[[#This Row],[Employment]]</f>
        <v>1</v>
      </c>
      <c r="J123" s="183">
        <f ca="1">TblPop[[#This Row],[Total]]/TblPop[[#This Row],[Net max]]</f>
        <v>1</v>
      </c>
      <c r="K123" s="306">
        <f>TblRezone[[#This Row],[Hour]]</f>
        <v>120</v>
      </c>
      <c r="L123" s="307">
        <f ca="1">TblImps[[#This Row],[Real time]]</f>
        <v>45434.708333333045</v>
      </c>
      <c r="M123" s="62">
        <f>IF(ISERROR(TblImps[[#This Row],[algorithm]]),0,TblImps[[#This Row],[algorithm]]*1)</f>
        <v>0</v>
      </c>
      <c r="N123" s="97">
        <f ca="1">TblImps[[#This Row],[Land]]</f>
        <v>700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45434.708333333045</v>
      </c>
      <c r="BZ123" s="317">
        <f ca="1">OFFSET(TblImps[[#This Row],[Servertime]],-1,0)+1/24</f>
        <v>45434.958333333045</v>
      </c>
      <c r="CA123" s="57"/>
      <c r="CB123" s="315"/>
      <c r="CC123" s="315"/>
    </row>
    <row r="124" spans="1:81" x14ac:dyDescent="0.2">
      <c r="A124" s="225">
        <f ca="1">TblConstr[[#This Row],[Land]]</f>
        <v>700</v>
      </c>
      <c r="B124" s="145"/>
      <c r="C124" s="97">
        <f ca="1">TblProd[[#This Row],[Platinum]]</f>
        <v>1863275</v>
      </c>
      <c r="D124" s="97">
        <f ca="1">TblProd[[#This Row],[Lumber]]</f>
        <v>51727</v>
      </c>
      <c r="E124" s="97">
        <f ca="1">TblProd[[#This Row],[Ore]]</f>
        <v>0</v>
      </c>
      <c r="F124" s="97">
        <f ca="1">TblProd[[#This Row],[Gems]]</f>
        <v>0</v>
      </c>
      <c r="G124" s="157"/>
      <c r="H124" s="97">
        <f ca="1">TblMili[[#This Row],[Draftees]]</f>
        <v>3533</v>
      </c>
      <c r="I124" s="183">
        <f ca="1">TblPop[[#This Row],[Employment]]</f>
        <v>1</v>
      </c>
      <c r="J124" s="183">
        <f ca="1">TblPop[[#This Row],[Total]]/TblPop[[#This Row],[Net max]]</f>
        <v>1</v>
      </c>
      <c r="K124" s="306">
        <f>TblRezone[[#This Row],[Hour]]</f>
        <v>121</v>
      </c>
      <c r="L124" s="307">
        <f ca="1">TblImps[[#This Row],[Real time]]</f>
        <v>45434.749999999709</v>
      </c>
      <c r="M124" s="62">
        <f>IF(ISERROR(TblImps[[#This Row],[algorithm]]),0,TblImps[[#This Row],[algorithm]]*1)</f>
        <v>0</v>
      </c>
      <c r="N124" s="97">
        <f ca="1">TblImps[[#This Row],[Land]]</f>
        <v>700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45434.749999999709</v>
      </c>
      <c r="BZ124" s="317">
        <f ca="1">OFFSET(TblImps[[#This Row],[Servertime]],-1,0)+1/24</f>
        <v>45434.999999999709</v>
      </c>
      <c r="CA124" s="57"/>
      <c r="CB124" s="315"/>
      <c r="CC124" s="315"/>
    </row>
    <row r="125" spans="1:81" x14ac:dyDescent="0.2">
      <c r="A125" s="225">
        <f ca="1">TblConstr[[#This Row],[Land]]</f>
        <v>700</v>
      </c>
      <c r="B125" s="145"/>
      <c r="C125" s="97">
        <f ca="1">TblProd[[#This Row],[Platinum]]</f>
        <v>1892341</v>
      </c>
      <c r="D125" s="97">
        <f ca="1">TblProd[[#This Row],[Lumber]]</f>
        <v>52335</v>
      </c>
      <c r="E125" s="97">
        <f ca="1">TblProd[[#This Row],[Ore]]</f>
        <v>0</v>
      </c>
      <c r="F125" s="97">
        <f ca="1">TblProd[[#This Row],[Gems]]</f>
        <v>0</v>
      </c>
      <c r="G125" s="157"/>
      <c r="H125" s="97">
        <f ca="1">TblMili[[#This Row],[Draftees]]</f>
        <v>3595</v>
      </c>
      <c r="I125" s="183">
        <f ca="1">TblPop[[#This Row],[Employment]]</f>
        <v>1</v>
      </c>
      <c r="J125" s="183">
        <f ca="1">TblPop[[#This Row],[Total]]/TblPop[[#This Row],[Net max]]</f>
        <v>1</v>
      </c>
      <c r="K125" s="306">
        <f>TblRezone[[#This Row],[Hour]]</f>
        <v>122</v>
      </c>
      <c r="L125" s="307">
        <f ca="1">TblImps[[#This Row],[Real time]]</f>
        <v>45434.791666666373</v>
      </c>
      <c r="M125" s="62">
        <f>IF(ISERROR(TblImps[[#This Row],[algorithm]]),0,TblImps[[#This Row],[algorithm]]*1)</f>
        <v>0</v>
      </c>
      <c r="N125" s="97">
        <f ca="1">TblImps[[#This Row],[Land]]</f>
        <v>700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45434.791666666373</v>
      </c>
      <c r="BZ125" s="317">
        <f ca="1">OFFSET(TblImps[[#This Row],[Servertime]],-1,0)+1/24</f>
        <v>45435.041666666373</v>
      </c>
      <c r="CA125" s="57"/>
      <c r="CB125" s="315"/>
      <c r="CC125" s="315"/>
    </row>
    <row r="126" spans="1:81" x14ac:dyDescent="0.2">
      <c r="A126" s="225">
        <f ca="1">TblConstr[[#This Row],[Land]]</f>
        <v>700</v>
      </c>
      <c r="B126" s="145"/>
      <c r="C126" s="97">
        <f ca="1">TblProd[[#This Row],[Platinum]]</f>
        <v>1921240</v>
      </c>
      <c r="D126" s="97">
        <f ca="1">TblProd[[#This Row],[Lumber]]</f>
        <v>52937</v>
      </c>
      <c r="E126" s="97">
        <f ca="1">TblProd[[#This Row],[Ore]]</f>
        <v>0</v>
      </c>
      <c r="F126" s="97">
        <f ca="1">TblProd[[#This Row],[Gems]]</f>
        <v>0</v>
      </c>
      <c r="G126" s="157"/>
      <c r="H126" s="97">
        <f ca="1">TblMili[[#This Row],[Draftees]]</f>
        <v>3656</v>
      </c>
      <c r="I126" s="183">
        <f ca="1">TblPop[[#This Row],[Employment]]</f>
        <v>1</v>
      </c>
      <c r="J126" s="183">
        <f ca="1">TblPop[[#This Row],[Total]]/TblPop[[#This Row],[Net max]]</f>
        <v>1</v>
      </c>
      <c r="K126" s="306">
        <f>TblRezone[[#This Row],[Hour]]</f>
        <v>123</v>
      </c>
      <c r="L126" s="307">
        <f ca="1">TblImps[[#This Row],[Real time]]</f>
        <v>45434.833333333037</v>
      </c>
      <c r="M126" s="62">
        <f>IF(ISERROR(TblImps[[#This Row],[algorithm]]),0,TblImps[[#This Row],[algorithm]]*1)</f>
        <v>0</v>
      </c>
      <c r="N126" s="97">
        <f ca="1">TblImps[[#This Row],[Land]]</f>
        <v>700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45434.833333333037</v>
      </c>
      <c r="BZ126" s="317">
        <f ca="1">OFFSET(TblImps[[#This Row],[Servertime]],-1,0)+1/24</f>
        <v>45435.083333333037</v>
      </c>
      <c r="CA126" s="57"/>
      <c r="CB126" s="315"/>
      <c r="CC126" s="315"/>
    </row>
    <row r="127" spans="1:81" x14ac:dyDescent="0.2">
      <c r="A127" s="225">
        <f ca="1">TblConstr[[#This Row],[Land]]</f>
        <v>700</v>
      </c>
      <c r="B127" s="145"/>
      <c r="C127" s="97">
        <f ca="1">TblProd[[#This Row],[Platinum]]</f>
        <v>1949974</v>
      </c>
      <c r="D127" s="97">
        <f ca="1">TblProd[[#This Row],[Lumber]]</f>
        <v>53533</v>
      </c>
      <c r="E127" s="97">
        <f ca="1">TblProd[[#This Row],[Ore]]</f>
        <v>0</v>
      </c>
      <c r="F127" s="97">
        <f ca="1">TblProd[[#This Row],[Gems]]</f>
        <v>0</v>
      </c>
      <c r="G127" s="157"/>
      <c r="H127" s="97">
        <f ca="1">TblMili[[#This Row],[Draftees]]</f>
        <v>3717</v>
      </c>
      <c r="I127" s="183">
        <f ca="1">TblPop[[#This Row],[Employment]]</f>
        <v>1</v>
      </c>
      <c r="J127" s="183">
        <f ca="1">TblPop[[#This Row],[Total]]/TblPop[[#This Row],[Net max]]</f>
        <v>1</v>
      </c>
      <c r="K127" s="306">
        <f>TblRezone[[#This Row],[Hour]]</f>
        <v>124</v>
      </c>
      <c r="L127" s="307">
        <f ca="1">TblImps[[#This Row],[Real time]]</f>
        <v>45434.874999999702</v>
      </c>
      <c r="M127" s="62">
        <f>IF(ISERROR(TblImps[[#This Row],[algorithm]]),0,TblImps[[#This Row],[algorithm]]*1)</f>
        <v>0</v>
      </c>
      <c r="N127" s="97">
        <f ca="1">TblImps[[#This Row],[Land]]</f>
        <v>700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45434.874999999702</v>
      </c>
      <c r="BZ127" s="317">
        <f ca="1">OFFSET(TblImps[[#This Row],[Servertime]],-1,0)+1/24</f>
        <v>45435.124999999702</v>
      </c>
      <c r="CA127" s="57"/>
      <c r="CB127" s="315"/>
      <c r="CC127" s="315"/>
    </row>
    <row r="128" spans="1:81" x14ac:dyDescent="0.2">
      <c r="A128" s="225">
        <f ca="1">TblConstr[[#This Row],[Land]]</f>
        <v>700</v>
      </c>
      <c r="B128" s="145"/>
      <c r="C128" s="97">
        <f ca="1">TblProd[[#This Row],[Platinum]]</f>
        <v>1978543</v>
      </c>
      <c r="D128" s="97">
        <f ca="1">TblProd[[#This Row],[Lumber]]</f>
        <v>54123</v>
      </c>
      <c r="E128" s="97">
        <f ca="1">TblProd[[#This Row],[Ore]]</f>
        <v>0</v>
      </c>
      <c r="F128" s="97">
        <f ca="1">TblProd[[#This Row],[Gems]]</f>
        <v>0</v>
      </c>
      <c r="G128" s="157"/>
      <c r="H128" s="97">
        <f ca="1">TblMili[[#This Row],[Draftees]]</f>
        <v>3777</v>
      </c>
      <c r="I128" s="183">
        <f ca="1">TblPop[[#This Row],[Employment]]</f>
        <v>1</v>
      </c>
      <c r="J128" s="183">
        <f ca="1">TblPop[[#This Row],[Total]]/TblPop[[#This Row],[Net max]]</f>
        <v>1</v>
      </c>
      <c r="K128" s="306">
        <f>TblRezone[[#This Row],[Hour]]</f>
        <v>125</v>
      </c>
      <c r="L128" s="307">
        <f ca="1">TblImps[[#This Row],[Real time]]</f>
        <v>45434.916666666366</v>
      </c>
      <c r="M128" s="62">
        <f>IF(ISERROR(TblImps[[#This Row],[algorithm]]),0,TblImps[[#This Row],[algorithm]]*1)</f>
        <v>0</v>
      </c>
      <c r="N128" s="97">
        <f ca="1">TblImps[[#This Row],[Land]]</f>
        <v>700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45434.916666666366</v>
      </c>
      <c r="BZ128" s="317">
        <f ca="1">OFFSET(TblImps[[#This Row],[Servertime]],-1,0)+1/24</f>
        <v>45435.166666666366</v>
      </c>
      <c r="CA128" s="57"/>
      <c r="CB128" s="315"/>
      <c r="CC128" s="315"/>
    </row>
    <row r="129" spans="1:81" x14ac:dyDescent="0.2">
      <c r="A129" s="225">
        <f ca="1">TblConstr[[#This Row],[Land]]</f>
        <v>700</v>
      </c>
      <c r="B129" s="145"/>
      <c r="C129" s="97">
        <f ca="1">TblProd[[#This Row],[Platinum]]</f>
        <v>2006950</v>
      </c>
      <c r="D129" s="97">
        <f ca="1">TblProd[[#This Row],[Lumber]]</f>
        <v>54707</v>
      </c>
      <c r="E129" s="97">
        <f ca="1">TblProd[[#This Row],[Ore]]</f>
        <v>0</v>
      </c>
      <c r="F129" s="97">
        <f ca="1">TblProd[[#This Row],[Gems]]</f>
        <v>0</v>
      </c>
      <c r="G129" s="157"/>
      <c r="H129" s="97">
        <f ca="1">TblMili[[#This Row],[Draftees]]</f>
        <v>3836</v>
      </c>
      <c r="I129" s="183">
        <f ca="1">TblPop[[#This Row],[Employment]]</f>
        <v>1</v>
      </c>
      <c r="J129" s="183">
        <f ca="1">TblPop[[#This Row],[Total]]/TblPop[[#This Row],[Net max]]</f>
        <v>1</v>
      </c>
      <c r="K129" s="306">
        <f>TblRezone[[#This Row],[Hour]]</f>
        <v>126</v>
      </c>
      <c r="L129" s="307">
        <f ca="1">TblImps[[#This Row],[Real time]]</f>
        <v>45434.95833333303</v>
      </c>
      <c r="M129" s="62">
        <f>IF(ISERROR(TblImps[[#This Row],[algorithm]]),0,TblImps[[#This Row],[algorithm]]*1)</f>
        <v>0</v>
      </c>
      <c r="N129" s="97">
        <f ca="1">TblImps[[#This Row],[Land]]</f>
        <v>700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45434.95833333303</v>
      </c>
      <c r="BZ129" s="317">
        <f ca="1">OFFSET(TblImps[[#This Row],[Servertime]],-1,0)+1/24</f>
        <v>45435.20833333303</v>
      </c>
      <c r="CA129" s="57"/>
      <c r="CB129" s="315"/>
      <c r="CC129" s="315"/>
    </row>
    <row r="130" spans="1:81" x14ac:dyDescent="0.2">
      <c r="A130" s="225">
        <f ca="1">TblConstr[[#This Row],[Land]]</f>
        <v>700</v>
      </c>
      <c r="B130" s="145"/>
      <c r="C130" s="97">
        <f ca="1">TblProd[[#This Row],[Platinum]]</f>
        <v>2035198</v>
      </c>
      <c r="D130" s="97">
        <f ca="1">TblProd[[#This Row],[Lumber]]</f>
        <v>55285</v>
      </c>
      <c r="E130" s="97">
        <f ca="1">TblProd[[#This Row],[Ore]]</f>
        <v>0</v>
      </c>
      <c r="F130" s="97">
        <f ca="1">TblProd[[#This Row],[Gems]]</f>
        <v>0</v>
      </c>
      <c r="G130" s="157"/>
      <c r="H130" s="97">
        <f ca="1">TblMili[[#This Row],[Draftees]]</f>
        <v>3895</v>
      </c>
      <c r="I130" s="183">
        <f ca="1">TblPop[[#This Row],[Employment]]</f>
        <v>1</v>
      </c>
      <c r="J130" s="183">
        <f ca="1">TblPop[[#This Row],[Total]]/TblPop[[#This Row],[Net max]]</f>
        <v>1</v>
      </c>
      <c r="K130" s="306">
        <f>TblRezone[[#This Row],[Hour]]</f>
        <v>127</v>
      </c>
      <c r="L130" s="307">
        <f ca="1">TblImps[[#This Row],[Real time]]</f>
        <v>45434.999999999694</v>
      </c>
      <c r="M130" s="62">
        <f>IF(ISERROR(TblImps[[#This Row],[algorithm]]),0,TblImps[[#This Row],[algorithm]]*1)</f>
        <v>0</v>
      </c>
      <c r="N130" s="97">
        <f ca="1">TblImps[[#This Row],[Land]]</f>
        <v>700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45434.999999999694</v>
      </c>
      <c r="BZ130" s="317">
        <f ca="1">OFFSET(TblImps[[#This Row],[Servertime]],-1,0)+1/24</f>
        <v>45435.249999999694</v>
      </c>
      <c r="CA130" s="57"/>
      <c r="CB130" s="315"/>
      <c r="CC130" s="315"/>
    </row>
    <row r="131" spans="1:81" x14ac:dyDescent="0.2">
      <c r="A131" s="225">
        <f ca="1">TblConstr[[#This Row],[Land]]</f>
        <v>700</v>
      </c>
      <c r="B131" s="145"/>
      <c r="C131" s="97">
        <f ca="1">TblProd[[#This Row],[Platinum]]</f>
        <v>2063287</v>
      </c>
      <c r="D131" s="97">
        <f ca="1">TblProd[[#This Row],[Lumber]]</f>
        <v>55857</v>
      </c>
      <c r="E131" s="97">
        <f ca="1">TblProd[[#This Row],[Ore]]</f>
        <v>0</v>
      </c>
      <c r="F131" s="97">
        <f ca="1">TblProd[[#This Row],[Gems]]</f>
        <v>0</v>
      </c>
      <c r="G131" s="157"/>
      <c r="H131" s="97">
        <f ca="1">TblMili[[#This Row],[Draftees]]</f>
        <v>3953</v>
      </c>
      <c r="I131" s="183">
        <f ca="1">TblPop[[#This Row],[Employment]]</f>
        <v>1</v>
      </c>
      <c r="J131" s="183">
        <f ca="1">TblPop[[#This Row],[Total]]/TblPop[[#This Row],[Net max]]</f>
        <v>1</v>
      </c>
      <c r="K131" s="306">
        <f>TblRezone[[#This Row],[Hour]]</f>
        <v>128</v>
      </c>
      <c r="L131" s="307">
        <f ca="1">TblImps[[#This Row],[Real time]]</f>
        <v>45435.041666666359</v>
      </c>
      <c r="M131" s="62">
        <f>IF(ISERROR(TblImps[[#This Row],[algorithm]]),0,TblImps[[#This Row],[algorithm]]*1)</f>
        <v>0</v>
      </c>
      <c r="N131" s="97">
        <f ca="1">TblImps[[#This Row],[Land]]</f>
        <v>700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45435.041666666359</v>
      </c>
      <c r="BZ131" s="317">
        <f ca="1">OFFSET(TblImps[[#This Row],[Servertime]],-1,0)+1/24</f>
        <v>45435.291666666359</v>
      </c>
      <c r="CA131" s="57"/>
      <c r="CB131" s="315"/>
      <c r="CC131" s="315"/>
    </row>
    <row r="132" spans="1:81" x14ac:dyDescent="0.2">
      <c r="A132" s="225">
        <f ca="1">TblConstr[[#This Row],[Land]]</f>
        <v>700</v>
      </c>
      <c r="B132" s="145"/>
      <c r="C132" s="97">
        <f ca="1">TblProd[[#This Row],[Platinum]]</f>
        <v>2091219</v>
      </c>
      <c r="D132" s="97">
        <f ca="1">TblProd[[#This Row],[Lumber]]</f>
        <v>56423</v>
      </c>
      <c r="E132" s="97">
        <f ca="1">TblProd[[#This Row],[Ore]]</f>
        <v>0</v>
      </c>
      <c r="F132" s="97">
        <f ca="1">TblProd[[#This Row],[Gems]]</f>
        <v>0</v>
      </c>
      <c r="G132" s="157"/>
      <c r="H132" s="97">
        <f ca="1">TblMili[[#This Row],[Draftees]]</f>
        <v>4011</v>
      </c>
      <c r="I132" s="183">
        <f ca="1">TblPop[[#This Row],[Employment]]</f>
        <v>1</v>
      </c>
      <c r="J132" s="183">
        <f ca="1">TblPop[[#This Row],[Total]]/TblPop[[#This Row],[Net max]]</f>
        <v>1</v>
      </c>
      <c r="K132" s="306">
        <f>TblRezone[[#This Row],[Hour]]</f>
        <v>129</v>
      </c>
      <c r="L132" s="307">
        <f ca="1">TblImps[[#This Row],[Real time]]</f>
        <v>45435.083333333023</v>
      </c>
      <c r="M132" s="62">
        <f>IF(ISERROR(TblImps[[#This Row],[algorithm]]),0,TblImps[[#This Row],[algorithm]]*1)</f>
        <v>0</v>
      </c>
      <c r="N132" s="97">
        <f ca="1">TblImps[[#This Row],[Land]]</f>
        <v>700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45435.083333333023</v>
      </c>
      <c r="BZ132" s="317">
        <f ca="1">OFFSET(TblImps[[#This Row],[Servertime]],-1,0)+1/24</f>
        <v>45435.333333333023</v>
      </c>
      <c r="CA132" s="57"/>
      <c r="CB132" s="315"/>
      <c r="CC132" s="315"/>
    </row>
    <row r="133" spans="1:81" x14ac:dyDescent="0.2">
      <c r="A133" s="225">
        <f ca="1">TblConstr[[#This Row],[Land]]</f>
        <v>700</v>
      </c>
      <c r="B133" s="145"/>
      <c r="C133" s="97">
        <f ca="1">TblProd[[#This Row],[Platinum]]</f>
        <v>2118994</v>
      </c>
      <c r="D133" s="97">
        <f ca="1">TblProd[[#This Row],[Lumber]]</f>
        <v>56984</v>
      </c>
      <c r="E133" s="97">
        <f ca="1">TblProd[[#This Row],[Ore]]</f>
        <v>0</v>
      </c>
      <c r="F133" s="97">
        <f ca="1">TblProd[[#This Row],[Gems]]</f>
        <v>0</v>
      </c>
      <c r="G133" s="157"/>
      <c r="H133" s="97">
        <f ca="1">TblMili[[#This Row],[Draftees]]</f>
        <v>4068</v>
      </c>
      <c r="I133" s="183">
        <f ca="1">TblPop[[#This Row],[Employment]]</f>
        <v>1</v>
      </c>
      <c r="J133" s="183">
        <f ca="1">TblPop[[#This Row],[Total]]/TblPop[[#This Row],[Net max]]</f>
        <v>1</v>
      </c>
      <c r="K133" s="306">
        <f>TblRezone[[#This Row],[Hour]]</f>
        <v>130</v>
      </c>
      <c r="L133" s="307">
        <f ca="1">TblImps[[#This Row],[Real time]]</f>
        <v>45435.124999999687</v>
      </c>
      <c r="M133" s="62">
        <f>IF(ISERROR(TblImps[[#This Row],[algorithm]]),0,TblImps[[#This Row],[algorithm]]*1)</f>
        <v>0</v>
      </c>
      <c r="N133" s="97">
        <f ca="1">TblImps[[#This Row],[Land]]</f>
        <v>700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45435.124999999687</v>
      </c>
      <c r="BZ133" s="317">
        <f ca="1">OFFSET(TblImps[[#This Row],[Servertime]],-1,0)+1/24</f>
        <v>45435.374999999687</v>
      </c>
      <c r="CA133" s="57"/>
      <c r="CB133" s="315"/>
      <c r="CC133" s="315"/>
    </row>
    <row r="134" spans="1:81" x14ac:dyDescent="0.2">
      <c r="A134" s="225">
        <f ca="1">TblConstr[[#This Row],[Land]]</f>
        <v>700</v>
      </c>
      <c r="B134" s="145"/>
      <c r="C134" s="97">
        <f ca="1">TblProd[[#This Row],[Platinum]]</f>
        <v>2146615</v>
      </c>
      <c r="D134" s="97">
        <f ca="1">TblProd[[#This Row],[Lumber]]</f>
        <v>57539</v>
      </c>
      <c r="E134" s="97">
        <f ca="1">TblProd[[#This Row],[Ore]]</f>
        <v>0</v>
      </c>
      <c r="F134" s="97">
        <f ca="1">TblProd[[#This Row],[Gems]]</f>
        <v>0</v>
      </c>
      <c r="G134" s="157"/>
      <c r="H134" s="97">
        <f ca="1">TblMili[[#This Row],[Draftees]]</f>
        <v>4124</v>
      </c>
      <c r="I134" s="183">
        <f ca="1">TblPop[[#This Row],[Employment]]</f>
        <v>1</v>
      </c>
      <c r="J134" s="183">
        <f ca="1">TblPop[[#This Row],[Total]]/TblPop[[#This Row],[Net max]]</f>
        <v>1</v>
      </c>
      <c r="K134" s="306">
        <f>TblRezone[[#This Row],[Hour]]</f>
        <v>131</v>
      </c>
      <c r="L134" s="307">
        <f ca="1">TblImps[[#This Row],[Real time]]</f>
        <v>45435.166666666351</v>
      </c>
      <c r="M134" s="62">
        <f>IF(ISERROR(TblImps[[#This Row],[algorithm]]),0,TblImps[[#This Row],[algorithm]]*1)</f>
        <v>0</v>
      </c>
      <c r="N134" s="97">
        <f ca="1">TblImps[[#This Row],[Land]]</f>
        <v>700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45435.166666666351</v>
      </c>
      <c r="BZ134" s="317">
        <f ca="1">OFFSET(TblImps[[#This Row],[Servertime]],-1,0)+1/24</f>
        <v>45435.416666666351</v>
      </c>
      <c r="CA134" s="57"/>
      <c r="CB134" s="315"/>
      <c r="CC134" s="315"/>
    </row>
    <row r="135" spans="1:81" x14ac:dyDescent="0.2">
      <c r="A135" s="225">
        <f ca="1">TblConstr[[#This Row],[Land]]</f>
        <v>700</v>
      </c>
      <c r="B135" s="145"/>
      <c r="C135" s="97">
        <f ca="1">TblProd[[#This Row],[Platinum]]</f>
        <v>2174085</v>
      </c>
      <c r="D135" s="97">
        <f ca="1">TblProd[[#This Row],[Lumber]]</f>
        <v>58089</v>
      </c>
      <c r="E135" s="97">
        <f ca="1">TblProd[[#This Row],[Ore]]</f>
        <v>0</v>
      </c>
      <c r="F135" s="97">
        <f ca="1">TblProd[[#This Row],[Gems]]</f>
        <v>0</v>
      </c>
      <c r="G135" s="157"/>
      <c r="H135" s="97">
        <f ca="1">TblMili[[#This Row],[Draftees]]</f>
        <v>4180</v>
      </c>
      <c r="I135" s="183">
        <f ca="1">TblPop[[#This Row],[Employment]]</f>
        <v>1</v>
      </c>
      <c r="J135" s="183">
        <f ca="1">TblPop[[#This Row],[Total]]/TblPop[[#This Row],[Net max]]</f>
        <v>1</v>
      </c>
      <c r="K135" s="306">
        <f>TblRezone[[#This Row],[Hour]]</f>
        <v>132</v>
      </c>
      <c r="L135" s="307">
        <f ca="1">TblImps[[#This Row],[Real time]]</f>
        <v>45435.208333333016</v>
      </c>
      <c r="M135" s="62">
        <f>IF(ISERROR(TblImps[[#This Row],[algorithm]]),0,TblImps[[#This Row],[algorithm]]*1)</f>
        <v>0</v>
      </c>
      <c r="N135" s="97">
        <f ca="1">TblImps[[#This Row],[Land]]</f>
        <v>700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45435.208333333016</v>
      </c>
      <c r="BZ135" s="317">
        <f ca="1">OFFSET(TblImps[[#This Row],[Servertime]],-1,0)+1/24</f>
        <v>45435.458333333016</v>
      </c>
      <c r="CA135" s="57"/>
      <c r="CB135" s="315"/>
      <c r="CC135" s="315"/>
    </row>
    <row r="136" spans="1:81" x14ac:dyDescent="0.2">
      <c r="A136" s="225">
        <f ca="1">TblConstr[[#This Row],[Land]]</f>
        <v>700</v>
      </c>
      <c r="B136" s="145"/>
      <c r="C136" s="97">
        <f ca="1">TblProd[[#This Row],[Platinum]]</f>
        <v>2201404</v>
      </c>
      <c r="D136" s="97">
        <f ca="1">TblProd[[#This Row],[Lumber]]</f>
        <v>58633</v>
      </c>
      <c r="E136" s="97">
        <f ca="1">TblProd[[#This Row],[Ore]]</f>
        <v>0</v>
      </c>
      <c r="F136" s="97">
        <f ca="1">TblProd[[#This Row],[Gems]]</f>
        <v>0</v>
      </c>
      <c r="G136" s="157"/>
      <c r="H136" s="97">
        <f ca="1">TblMili[[#This Row],[Draftees]]</f>
        <v>4235</v>
      </c>
      <c r="I136" s="183">
        <f ca="1">TblPop[[#This Row],[Employment]]</f>
        <v>0</v>
      </c>
      <c r="J136" s="183">
        <f ca="1">TblPop[[#This Row],[Total]]/TblPop[[#This Row],[Net max]]</f>
        <v>1</v>
      </c>
      <c r="K136" s="306">
        <f>TblRezone[[#This Row],[Hour]]</f>
        <v>133</v>
      </c>
      <c r="L136" s="307">
        <f ca="1">TblImps[[#This Row],[Real time]]</f>
        <v>45435.24999999968</v>
      </c>
      <c r="M136" s="62">
        <f>IF(ISERROR(TblImps[[#This Row],[algorithm]]),0,TblImps[[#This Row],[algorithm]]*1)</f>
        <v>0</v>
      </c>
      <c r="N136" s="97">
        <f ca="1">TblImps[[#This Row],[Land]]</f>
        <v>700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45435.24999999968</v>
      </c>
      <c r="BZ136" s="317">
        <f ca="1">OFFSET(TblImps[[#This Row],[Servertime]],-1,0)+1/24</f>
        <v>45435.49999999968</v>
      </c>
      <c r="CA136" s="57"/>
      <c r="CB136" s="315"/>
      <c r="CC136" s="315"/>
    </row>
    <row r="1269" spans="2:23" x14ac:dyDescent="0.2">
      <c r="B1269" s="496" t="s">
        <v>316</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472</v>
      </c>
      <c r="P16" s="39"/>
    </row>
    <row r="27" spans="8:9" ht="12.75" customHeight="1" x14ac:dyDescent="0.2"/>
    <row r="28" spans="8:9" x14ac:dyDescent="0.2">
      <c r="H28" s="28" t="s">
        <v>472</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1006</v>
      </c>
      <c r="D2" s="41" t="s">
        <v>937</v>
      </c>
      <c r="E2" s="41" t="s">
        <v>1008</v>
      </c>
    </row>
    <row r="3" spans="2:5" ht="15.75" x14ac:dyDescent="0.25">
      <c r="B3" s="40" t="s">
        <v>985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991</v>
      </c>
      <c r="C9" s="42" t="s">
        <v>348</v>
      </c>
      <c r="D9" s="40">
        <f>_xlfn.IFNA(INDEX(TblConstr[],MATCH(Log!$I$28,TblConstr[Hour],0),MATCH(TblStats[[#This Row],[Abbr]],TblConstr[#Headers],0)),0)</f>
        <v>0</v>
      </c>
      <c r="E9" s="43" t="e">
        <f>TblStats[[#This Row],[Number]]/INDEX(TblConstr[[Hour]:[Land]],MATCH(Log!$I$28,TblConstr[Hour],0),6)</f>
        <v>#N/A</v>
      </c>
    </row>
    <row r="10" spans="2:5" ht="15.75" x14ac:dyDescent="0.25">
      <c r="B10" s="40" t="s">
        <v>992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996</v>
      </c>
      <c r="C14" s="42" t="s">
        <v>350</v>
      </c>
      <c r="D14" s="40">
        <f>_xlfn.IFNA(INDEX(TblConstr[],MATCH(Log!$I$28,TblConstr[Hour],0),MATCH(TblStats[[#This Row],[Abbr]],TblConstr[#Headers],0)),0)</f>
        <v>0</v>
      </c>
      <c r="E14" s="43" t="e">
        <f>TblStats[[#This Row],[Number]]/INDEX(TblConstr[[Hour]:[Land]],MATCH(Log!$I$28,TblConstr[Hour],0),6)</f>
        <v>#N/A</v>
      </c>
    </row>
    <row r="15" spans="2:5" ht="15.75" x14ac:dyDescent="0.25">
      <c r="B15" s="40" t="s">
        <v>997</v>
      </c>
      <c r="C15" s="42" t="s">
        <v>353</v>
      </c>
      <c r="D15" s="40">
        <f>_xlfn.IFNA(INDEX(TblConstr[],MATCH(Log!$I$28,TblConstr[Hour],0),MATCH(TblStats[[#This Row],[Abbr]],TblConstr[#Headers],0)),0)</f>
        <v>0</v>
      </c>
      <c r="E15" s="43" t="e">
        <f>TblStats[[#This Row],[Number]]/INDEX(TblConstr[[Hour]:[Land]],MATCH(Log!$I$28,TblConstr[Hour],0),6)</f>
        <v>#N/A</v>
      </c>
    </row>
    <row r="16" spans="2:5" ht="15.75" x14ac:dyDescent="0.25">
      <c r="B16" s="40" t="s">
        <v>998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999</v>
      </c>
      <c r="C17" s="42" t="s">
        <v>351</v>
      </c>
      <c r="D17" s="40">
        <f>_xlfn.IFNA(INDEX(TblConstr[],MATCH(Log!$I$28,TblConstr[Hour],0),MATCH(TblStats[[#This Row],[Abbr]],TblConstr[#Headers],0)),0)</f>
        <v>0</v>
      </c>
      <c r="E17" s="43" t="e">
        <f>TblStats[[#This Row],[Number]]/INDEX(TblConstr[[Hour]:[Land]],MATCH(Log!$I$28,TblConstr[Hour],0),6)</f>
        <v>#N/A</v>
      </c>
    </row>
    <row r="18" spans="2:12" ht="15.75" x14ac:dyDescent="0.25">
      <c r="B18" s="40" t="s">
        <v>1000</v>
      </c>
      <c r="C18" s="42" t="s">
        <v>297</v>
      </c>
      <c r="D18" s="40">
        <f>_xlfn.IFNA(INDEX(TblConstr[],MATCH(Log!$I$28,TblConstr[Hour],0),MATCH(TblStats[[#This Row],[Abbr]],TblConstr[#Headers],0)),0)</f>
        <v>0</v>
      </c>
      <c r="E18" s="43" t="e">
        <f>TblStats[[#This Row],[Number]]/INDEX(TblConstr[[Hour]:[Land]],MATCH(Log!$I$28,TblConstr[Hour],0),6)</f>
        <v>#N/A</v>
      </c>
    </row>
    <row r="19" spans="2:12" ht="15.75" x14ac:dyDescent="0.25">
      <c r="B19" s="40" t="s">
        <v>1001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1002</v>
      </c>
      <c r="C20" s="42" t="s">
        <v>371</v>
      </c>
      <c r="D20" s="40">
        <f>_xlfn.IFNA(INDEX(TblConstr[],MATCH(Log!$I$28,TblConstr[Hour],0),MATCH(TblStats[[#This Row],[Abbr]],TblConstr[#Headers],0)),0)</f>
        <v>0</v>
      </c>
      <c r="E20" s="43" t="e">
        <f>TblStats[[#This Row],[Number]]/INDEX(TblConstr[[Hour]:[Land]],MATCH(Log!$I$28,TblConstr[Hour],0),6)</f>
        <v>#N/A</v>
      </c>
    </row>
    <row r="21" spans="2:12" ht="15.75" x14ac:dyDescent="0.25">
      <c r="B21" s="40" t="s">
        <v>1003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1005</v>
      </c>
      <c r="C23" s="40" t="s">
        <v>1007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topLeftCell="A85" zoomScale="70" zoomScaleNormal="70" workbookViewId="0">
      <selection activeCell="A145" sqref="A145"/>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536</v>
      </c>
      <c r="B11" s="45">
        <v>25</v>
      </c>
      <c r="C11" s="45" t="s">
        <v>8</v>
      </c>
    </row>
    <row r="12" spans="1:6" x14ac:dyDescent="0.2">
      <c r="A12" s="329" t="s">
        <v>67</v>
      </c>
      <c r="B12" s="266">
        <v>1.75</v>
      </c>
      <c r="C12" s="45" t="s">
        <v>511</v>
      </c>
      <c r="D12" s="159">
        <v>0.35</v>
      </c>
      <c r="E12" s="45" t="s">
        <v>437</v>
      </c>
    </row>
    <row r="13" spans="1:6" x14ac:dyDescent="0.2">
      <c r="A13" s="329" t="s">
        <v>65</v>
      </c>
      <c r="B13" s="266">
        <v>1.75</v>
      </c>
      <c r="C13" s="45" t="s">
        <v>512</v>
      </c>
      <c r="D13" s="159">
        <v>0.35</v>
      </c>
      <c r="E13" s="45" t="s">
        <v>437</v>
      </c>
    </row>
    <row r="14" spans="1:6" x14ac:dyDescent="0.2">
      <c r="A14" s="329" t="s">
        <v>481</v>
      </c>
      <c r="B14" s="45">
        <v>0</v>
      </c>
      <c r="C14" s="45" t="s">
        <v>482</v>
      </c>
      <c r="D14" s="330"/>
      <c r="F14" s="159"/>
    </row>
    <row r="15" spans="1:6" x14ac:dyDescent="0.2">
      <c r="B15" s="45">
        <v>3.5</v>
      </c>
      <c r="C15" s="45" t="s">
        <v>483</v>
      </c>
      <c r="D15" s="331">
        <v>0.35</v>
      </c>
      <c r="E15" s="45" t="s">
        <v>437</v>
      </c>
      <c r="F15" s="159"/>
    </row>
    <row r="16" spans="1:6" x14ac:dyDescent="0.2">
      <c r="A16" s="329" t="s">
        <v>478</v>
      </c>
      <c r="B16" s="45">
        <v>0</v>
      </c>
      <c r="C16" s="45" t="s">
        <v>485</v>
      </c>
      <c r="D16" s="331">
        <v>0</v>
      </c>
      <c r="E16" s="45" t="s">
        <v>437</v>
      </c>
      <c r="F16" s="159"/>
    </row>
    <row r="17" spans="1:19" x14ac:dyDescent="0.2">
      <c r="B17" s="45">
        <v>3.5</v>
      </c>
      <c r="C17" s="45" t="s">
        <v>484</v>
      </c>
      <c r="D17" s="331">
        <v>0.35</v>
      </c>
      <c r="E17" s="45" t="s">
        <v>437</v>
      </c>
      <c r="F17" s="159"/>
    </row>
    <row r="18" spans="1:19" x14ac:dyDescent="0.2">
      <c r="B18" s="45">
        <v>15</v>
      </c>
      <c r="C18" s="45" t="s">
        <v>13</v>
      </c>
      <c r="D18" s="331"/>
      <c r="F18" s="159"/>
    </row>
    <row r="19" spans="1:19" x14ac:dyDescent="0.2">
      <c r="A19" s="329" t="s">
        <v>184</v>
      </c>
      <c r="B19" s="45">
        <v>2</v>
      </c>
      <c r="C19" s="45" t="s">
        <v>438</v>
      </c>
      <c r="D19" s="159">
        <v>0.36</v>
      </c>
      <c r="E19" s="45" t="s">
        <v>437</v>
      </c>
    </row>
    <row r="20" spans="1:19" x14ac:dyDescent="0.2">
      <c r="A20" s="329" t="s">
        <v>453</v>
      </c>
      <c r="B20" s="45">
        <v>2.6</v>
      </c>
      <c r="C20" s="45" t="s">
        <v>486</v>
      </c>
    </row>
    <row r="21" spans="1:19" x14ac:dyDescent="0.2">
      <c r="A21" s="329" t="s">
        <v>454</v>
      </c>
      <c r="B21" s="332">
        <v>5</v>
      </c>
      <c r="C21" s="45" t="s">
        <v>455</v>
      </c>
      <c r="D21" s="159">
        <v>0.5</v>
      </c>
      <c r="E21" s="45" t="s">
        <v>437</v>
      </c>
    </row>
    <row r="22" spans="1:19" x14ac:dyDescent="0.2">
      <c r="B22" s="332">
        <v>5</v>
      </c>
      <c r="C22" s="45" t="s">
        <v>456</v>
      </c>
      <c r="D22" s="159">
        <v>0.5</v>
      </c>
      <c r="E22" s="45" t="s">
        <v>437</v>
      </c>
    </row>
    <row r="23" spans="1:19" x14ac:dyDescent="0.2">
      <c r="A23" s="329" t="s">
        <v>1073</v>
      </c>
      <c r="B23" s="332"/>
      <c r="C23" s="45" t="s">
        <v>1074</v>
      </c>
      <c r="D23" s="159">
        <v>0.5</v>
      </c>
      <c r="E23" s="45" t="s">
        <v>437</v>
      </c>
    </row>
    <row r="24" spans="1:19" x14ac:dyDescent="0.2">
      <c r="A24" s="328" t="s">
        <v>80</v>
      </c>
    </row>
    <row r="25" spans="1:19" x14ac:dyDescent="0.2">
      <c r="A25" s="333" t="s">
        <v>72</v>
      </c>
      <c r="B25" s="333" t="s">
        <v>71</v>
      </c>
      <c r="C25" s="333" t="s">
        <v>70</v>
      </c>
      <c r="D25" s="333" t="s">
        <v>69</v>
      </c>
      <c r="E25" s="333" t="s">
        <v>68</v>
      </c>
      <c r="F25" s="334" t="s">
        <v>63</v>
      </c>
      <c r="G25" s="334" t="s">
        <v>348</v>
      </c>
      <c r="H25" s="335" t="s">
        <v>64</v>
      </c>
      <c r="I25" s="335" t="s">
        <v>65</v>
      </c>
      <c r="J25" s="336" t="s">
        <v>66</v>
      </c>
      <c r="K25" s="336" t="s">
        <v>67</v>
      </c>
      <c r="L25" s="336" t="s">
        <v>350</v>
      </c>
      <c r="M25" s="337" t="s">
        <v>353</v>
      </c>
      <c r="N25" s="338" t="s">
        <v>74</v>
      </c>
      <c r="O25" s="338" t="s">
        <v>351</v>
      </c>
      <c r="P25" s="338" t="s">
        <v>509</v>
      </c>
      <c r="Q25" s="339" t="s">
        <v>75</v>
      </c>
      <c r="R25" s="339" t="s">
        <v>371</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395</v>
      </c>
      <c r="M32" s="5"/>
      <c r="N32" s="5"/>
      <c r="O32" s="5"/>
      <c r="P32" s="5"/>
      <c r="Q32" s="5"/>
      <c r="R32" s="5"/>
      <c r="S32" s="5"/>
    </row>
    <row r="33" spans="1:16" x14ac:dyDescent="0.2">
      <c r="A33" s="329" t="s">
        <v>21</v>
      </c>
      <c r="B33" s="45">
        <f>HLOOKUP(1,E33:J37,2)</f>
        <v>1300</v>
      </c>
      <c r="D33" s="45" t="s">
        <v>436</v>
      </c>
      <c r="E33" s="45">
        <v>1</v>
      </c>
      <c r="F33" s="45">
        <v>2</v>
      </c>
      <c r="G33" s="45">
        <v>3</v>
      </c>
      <c r="H33" s="45">
        <v>4</v>
      </c>
      <c r="I33" s="45">
        <v>5</v>
      </c>
      <c r="J33" s="45">
        <v>6</v>
      </c>
      <c r="L33" s="45" t="s">
        <v>385</v>
      </c>
      <c r="M33" s="159">
        <v>0.1</v>
      </c>
      <c r="N33" s="45" t="s">
        <v>396</v>
      </c>
    </row>
    <row r="34" spans="1:16" x14ac:dyDescent="0.2">
      <c r="A34" s="329" t="s">
        <v>24</v>
      </c>
      <c r="B34" s="45">
        <v>100</v>
      </c>
      <c r="D34" s="45" t="s">
        <v>21</v>
      </c>
      <c r="E34" s="97">
        <v>1300</v>
      </c>
      <c r="F34" s="97">
        <v>1390</v>
      </c>
      <c r="G34" s="97">
        <v>1480</v>
      </c>
      <c r="H34" s="97">
        <v>1570</v>
      </c>
      <c r="I34" s="97">
        <v>1660</v>
      </c>
      <c r="J34" s="97">
        <v>1750</v>
      </c>
      <c r="K34" s="97"/>
      <c r="M34" s="159">
        <v>0.05</v>
      </c>
      <c r="N34" s="45" t="s">
        <v>397</v>
      </c>
    </row>
    <row r="35" spans="1:16" x14ac:dyDescent="0.2">
      <c r="A35" s="329" t="str">
        <f>Overview!$A22</f>
        <v>Fire Spirit</v>
      </c>
      <c r="B35" s="45">
        <v>0</v>
      </c>
      <c r="D35" s="45" t="s">
        <v>2</v>
      </c>
      <c r="E35" s="97">
        <v>100000</v>
      </c>
      <c r="F35" s="97">
        <v>110000</v>
      </c>
      <c r="G35" s="97">
        <v>120000</v>
      </c>
      <c r="H35" s="97">
        <v>130000</v>
      </c>
      <c r="I35" s="97">
        <v>140000</v>
      </c>
      <c r="J35" s="97">
        <v>150000</v>
      </c>
      <c r="M35" s="159">
        <v>0.05</v>
      </c>
      <c r="N35" s="45" t="s">
        <v>398</v>
      </c>
    </row>
    <row r="36" spans="1:16" x14ac:dyDescent="0.2">
      <c r="A36" s="329" t="str">
        <f>Overview!$A23</f>
        <v>Flamewolf</v>
      </c>
      <c r="B36" s="45">
        <v>150</v>
      </c>
      <c r="D36" s="45" t="s">
        <v>5</v>
      </c>
      <c r="E36" s="97">
        <v>15000</v>
      </c>
      <c r="F36" s="97">
        <v>16000</v>
      </c>
      <c r="G36" s="97">
        <v>17000</v>
      </c>
      <c r="H36" s="97">
        <v>18000</v>
      </c>
      <c r="I36" s="97">
        <v>19000</v>
      </c>
      <c r="J36" s="97">
        <v>20000</v>
      </c>
      <c r="L36" s="45" t="s">
        <v>176</v>
      </c>
      <c r="M36" s="159">
        <v>-0.05</v>
      </c>
      <c r="N36" s="45" t="s">
        <v>399</v>
      </c>
    </row>
    <row r="37" spans="1:16" x14ac:dyDescent="0.2">
      <c r="A37" s="329" t="str">
        <f>Overview!$A24</f>
        <v>Phoenix</v>
      </c>
      <c r="B37" s="45">
        <v>0</v>
      </c>
      <c r="D37" s="45" t="s">
        <v>7</v>
      </c>
      <c r="E37" s="97">
        <v>15000</v>
      </c>
      <c r="F37" s="97">
        <v>15450</v>
      </c>
      <c r="G37" s="97">
        <v>15900</v>
      </c>
      <c r="H37" s="97">
        <v>16350</v>
      </c>
      <c r="I37" s="97">
        <v>16800</v>
      </c>
      <c r="J37" s="97">
        <v>17250</v>
      </c>
      <c r="M37" s="45">
        <v>-1</v>
      </c>
      <c r="N37" s="45" t="s">
        <v>400</v>
      </c>
    </row>
    <row r="38" spans="1:16" x14ac:dyDescent="0.2">
      <c r="A38" s="329" t="str">
        <f>Overview!$A25</f>
        <v>Salamander</v>
      </c>
      <c r="B38" s="45">
        <v>0</v>
      </c>
      <c r="M38" s="159">
        <v>-0.1</v>
      </c>
      <c r="N38" s="45" t="s">
        <v>399</v>
      </c>
      <c r="O38" s="45">
        <v>-2</v>
      </c>
      <c r="P38" s="45" t="s">
        <v>400</v>
      </c>
    </row>
    <row r="39" spans="1:16" x14ac:dyDescent="0.2">
      <c r="A39" s="329" t="s">
        <v>25</v>
      </c>
      <c r="B39" s="45">
        <v>25</v>
      </c>
      <c r="D39" s="45" t="s">
        <v>370</v>
      </c>
      <c r="E39" s="97">
        <v>1</v>
      </c>
      <c r="F39" s="45">
        <v>2</v>
      </c>
      <c r="G39" s="45">
        <v>3</v>
      </c>
      <c r="H39" s="45">
        <v>4</v>
      </c>
      <c r="I39" s="45">
        <v>5</v>
      </c>
      <c r="J39" s="45">
        <v>6</v>
      </c>
      <c r="L39" s="45" t="s">
        <v>279</v>
      </c>
      <c r="M39" s="159">
        <v>-0.1</v>
      </c>
      <c r="N39" s="45" t="s">
        <v>401</v>
      </c>
    </row>
    <row r="40" spans="1:16" x14ac:dyDescent="0.2">
      <c r="A40" s="329" t="s">
        <v>1094</v>
      </c>
      <c r="B40" s="45">
        <v>0</v>
      </c>
      <c r="D40" s="45" t="s">
        <v>21</v>
      </c>
      <c r="E40" s="45">
        <v>1200</v>
      </c>
      <c r="F40" s="45">
        <v>1325</v>
      </c>
      <c r="G40" s="45">
        <v>1450</v>
      </c>
      <c r="H40" s="45">
        <v>1575</v>
      </c>
      <c r="I40" s="45">
        <v>1700</v>
      </c>
      <c r="J40" s="45">
        <v>1825</v>
      </c>
      <c r="M40" s="159">
        <v>-0.1</v>
      </c>
      <c r="N40" s="45" t="s">
        <v>402</v>
      </c>
    </row>
    <row r="41" spans="1:16" x14ac:dyDescent="0.2">
      <c r="A41" s="329" t="s">
        <v>26</v>
      </c>
      <c r="B41" s="45">
        <v>25</v>
      </c>
      <c r="D41" s="45" t="s">
        <v>2</v>
      </c>
      <c r="E41" s="45">
        <v>100000</v>
      </c>
      <c r="F41" s="45">
        <v>104750</v>
      </c>
      <c r="G41" s="45">
        <v>109500</v>
      </c>
      <c r="H41" s="45">
        <v>114250</v>
      </c>
      <c r="I41" s="45">
        <v>119000</v>
      </c>
      <c r="J41" s="45">
        <v>123750</v>
      </c>
      <c r="M41" s="159">
        <v>0.02</v>
      </c>
      <c r="N41" s="45" t="s">
        <v>403</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404</v>
      </c>
    </row>
    <row r="43" spans="1:16" x14ac:dyDescent="0.2">
      <c r="D43" s="45" t="s">
        <v>7</v>
      </c>
      <c r="E43" s="45">
        <v>15000</v>
      </c>
      <c r="F43" s="45">
        <v>15450</v>
      </c>
      <c r="G43" s="45">
        <v>15900</v>
      </c>
      <c r="H43" s="45">
        <v>16350</v>
      </c>
      <c r="I43" s="45">
        <v>16800</v>
      </c>
      <c r="J43" s="45">
        <v>17250</v>
      </c>
      <c r="M43" s="159">
        <v>-0.1</v>
      </c>
      <c r="N43" s="45" t="s">
        <v>405</v>
      </c>
    </row>
    <row r="44" spans="1:16" x14ac:dyDescent="0.2">
      <c r="A44" s="328" t="s">
        <v>78</v>
      </c>
      <c r="C44" s="97"/>
      <c r="M44" s="159">
        <v>0.05</v>
      </c>
      <c r="N44" s="45" t="s">
        <v>294</v>
      </c>
    </row>
    <row r="45" spans="1:16" x14ac:dyDescent="0.2">
      <c r="A45" s="329" t="s">
        <v>2</v>
      </c>
      <c r="B45" s="97">
        <f>HLOOKUP(1,E33:J37,3)</f>
        <v>100000</v>
      </c>
      <c r="C45" s="97"/>
      <c r="D45" s="45" t="s">
        <v>441</v>
      </c>
      <c r="L45" s="45" t="s">
        <v>73</v>
      </c>
      <c r="M45" s="159">
        <v>-0.1</v>
      </c>
      <c r="N45" s="45" t="s">
        <v>406</v>
      </c>
    </row>
    <row r="46" spans="1:16" x14ac:dyDescent="0.2">
      <c r="A46" s="329" t="s">
        <v>5</v>
      </c>
      <c r="B46" s="97">
        <f>HLOOKUP(1,E33:J37,4)</f>
        <v>15000</v>
      </c>
      <c r="C46" s="97"/>
      <c r="D46" s="45" t="s">
        <v>21</v>
      </c>
      <c r="E46" s="45">
        <v>100</v>
      </c>
      <c r="M46" s="159">
        <v>-0.2</v>
      </c>
      <c r="N46" s="45" t="s">
        <v>407</v>
      </c>
    </row>
    <row r="47" spans="1:16" x14ac:dyDescent="0.2">
      <c r="A47" s="329" t="s">
        <v>81</v>
      </c>
      <c r="B47" s="97">
        <f>HLOOKUP(1,E33:J37,5)</f>
        <v>15000</v>
      </c>
      <c r="C47" s="97"/>
      <c r="D47" s="45" t="s">
        <v>2</v>
      </c>
      <c r="E47" s="45">
        <v>5000</v>
      </c>
      <c r="M47" s="45">
        <v>1</v>
      </c>
      <c r="N47" s="45" t="s">
        <v>408</v>
      </c>
    </row>
    <row r="48" spans="1:16" x14ac:dyDescent="0.2">
      <c r="A48" s="329" t="s">
        <v>12</v>
      </c>
      <c r="B48" s="97">
        <v>0</v>
      </c>
      <c r="C48" s="97"/>
      <c r="D48" s="45" t="s">
        <v>5</v>
      </c>
      <c r="E48" s="45">
        <v>1500</v>
      </c>
      <c r="L48" s="45" t="s">
        <v>182</v>
      </c>
      <c r="M48" s="159">
        <v>-0.1</v>
      </c>
      <c r="N48" s="45" t="s">
        <v>409</v>
      </c>
    </row>
    <row r="49" spans="1:21" x14ac:dyDescent="0.2">
      <c r="A49" s="329" t="s">
        <v>3</v>
      </c>
      <c r="B49" s="97">
        <v>0</v>
      </c>
      <c r="C49" s="97"/>
      <c r="D49" s="45" t="s">
        <v>7</v>
      </c>
      <c r="E49" s="45">
        <v>2500</v>
      </c>
      <c r="M49" s="159">
        <v>-0.2</v>
      </c>
      <c r="N49" s="45" t="s">
        <v>410</v>
      </c>
    </row>
    <row r="50" spans="1:21" x14ac:dyDescent="0.2">
      <c r="A50" s="329" t="s">
        <v>4</v>
      </c>
      <c r="B50" s="97">
        <v>10000</v>
      </c>
      <c r="C50" s="97"/>
      <c r="D50" s="45" t="s">
        <v>3</v>
      </c>
      <c r="E50" s="45">
        <v>2500</v>
      </c>
      <c r="M50" s="45">
        <v>1</v>
      </c>
      <c r="N50" s="45" t="s">
        <v>411</v>
      </c>
    </row>
    <row r="51" spans="1:21" x14ac:dyDescent="0.2">
      <c r="A51" s="329" t="s">
        <v>82</v>
      </c>
      <c r="B51" s="97">
        <v>0</v>
      </c>
      <c r="D51" s="45" t="s">
        <v>12</v>
      </c>
      <c r="E51" s="45">
        <v>1000</v>
      </c>
      <c r="L51" s="45" t="s">
        <v>386</v>
      </c>
      <c r="M51" s="159">
        <v>-0.1</v>
      </c>
      <c r="N51" s="45" t="s">
        <v>412</v>
      </c>
    </row>
    <row r="52" spans="1:21" x14ac:dyDescent="0.2">
      <c r="D52" s="45" t="s">
        <v>442</v>
      </c>
      <c r="E52" s="45">
        <v>30</v>
      </c>
      <c r="L52" s="45" t="s">
        <v>387</v>
      </c>
      <c r="M52" s="159">
        <v>0.2</v>
      </c>
      <c r="N52" s="45" t="s">
        <v>413</v>
      </c>
      <c r="O52" s="159">
        <v>0.1</v>
      </c>
      <c r="P52" s="45" t="s">
        <v>397</v>
      </c>
    </row>
    <row r="53" spans="1:21" x14ac:dyDescent="0.2">
      <c r="A53" s="328" t="s">
        <v>86</v>
      </c>
      <c r="D53" s="45" t="s">
        <v>443</v>
      </c>
      <c r="E53" s="45">
        <v>30</v>
      </c>
      <c r="L53" s="45" t="s">
        <v>388</v>
      </c>
      <c r="M53" s="160">
        <v>0.06</v>
      </c>
      <c r="N53" s="45" t="s">
        <v>403</v>
      </c>
    </row>
    <row r="54" spans="1:21" x14ac:dyDescent="0.2">
      <c r="A54" s="329" t="s">
        <v>21</v>
      </c>
      <c r="B54" s="342">
        <v>0.03</v>
      </c>
      <c r="L54" s="45" t="s">
        <v>389</v>
      </c>
      <c r="M54" s="121">
        <v>0.125</v>
      </c>
      <c r="N54" s="45" t="s">
        <v>398</v>
      </c>
    </row>
    <row r="55" spans="1:21" x14ac:dyDescent="0.2">
      <c r="A55" s="329" t="s">
        <v>24</v>
      </c>
      <c r="B55" s="342">
        <v>0.01</v>
      </c>
      <c r="L55" s="45" t="s">
        <v>390</v>
      </c>
      <c r="M55" s="159">
        <v>-0.3</v>
      </c>
      <c r="N55" s="45" t="s">
        <v>414</v>
      </c>
    </row>
    <row r="56" spans="1:21" x14ac:dyDescent="0.2">
      <c r="A56" s="329" t="s">
        <v>14</v>
      </c>
      <c r="B56" s="342">
        <v>0.01</v>
      </c>
      <c r="L56" s="45" t="s">
        <v>391</v>
      </c>
      <c r="M56" s="159">
        <v>-0.2</v>
      </c>
      <c r="N56" s="45" t="s">
        <v>399</v>
      </c>
      <c r="O56" s="159">
        <v>0.15</v>
      </c>
      <c r="P56" s="45" t="s">
        <v>415</v>
      </c>
    </row>
    <row r="57" spans="1:21" x14ac:dyDescent="0.2">
      <c r="A57" s="329" t="s">
        <v>16</v>
      </c>
      <c r="B57" s="342">
        <v>0.01</v>
      </c>
      <c r="L57" s="45" t="s">
        <v>392</v>
      </c>
      <c r="M57" s="159">
        <v>-0.25</v>
      </c>
      <c r="N57" s="45" t="s">
        <v>416</v>
      </c>
    </row>
    <row r="58" spans="1:21" x14ac:dyDescent="0.2">
      <c r="A58" s="329" t="s">
        <v>15</v>
      </c>
      <c r="B58" s="342">
        <v>0.02</v>
      </c>
      <c r="L58" s="45" t="s">
        <v>393</v>
      </c>
      <c r="M58" s="159">
        <v>0.1</v>
      </c>
      <c r="N58" s="45" t="s">
        <v>294</v>
      </c>
      <c r="O58" s="159">
        <v>0.15</v>
      </c>
      <c r="P58" s="45" t="s">
        <v>417</v>
      </c>
    </row>
    <row r="59" spans="1:21" x14ac:dyDescent="0.2">
      <c r="L59" s="45" t="s">
        <v>394</v>
      </c>
      <c r="M59" s="45">
        <v>3</v>
      </c>
      <c r="N59" s="45" t="s">
        <v>418</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471</v>
      </c>
      <c r="U62" s="160"/>
    </row>
    <row r="63" spans="1:21" x14ac:dyDescent="0.2">
      <c r="A63" s="328" t="s">
        <v>169</v>
      </c>
    </row>
    <row r="64" spans="1:21" x14ac:dyDescent="0.2">
      <c r="A64" s="329" t="s">
        <v>345</v>
      </c>
      <c r="B64" s="45">
        <v>36</v>
      </c>
      <c r="C64" s="45" t="s">
        <v>346</v>
      </c>
      <c r="D64" s="45" t="s">
        <v>347</v>
      </c>
      <c r="L64" s="45" t="s">
        <v>470</v>
      </c>
      <c r="M64" s="45">
        <v>3780</v>
      </c>
      <c r="U64" s="159"/>
    </row>
    <row r="65" spans="1:21" x14ac:dyDescent="0.2">
      <c r="A65" s="329" t="s">
        <v>171</v>
      </c>
      <c r="B65" s="45">
        <v>30</v>
      </c>
      <c r="C65" s="45" t="s">
        <v>270</v>
      </c>
    </row>
    <row r="66" spans="1:21" x14ac:dyDescent="0.2">
      <c r="A66" s="329" t="s">
        <v>477</v>
      </c>
      <c r="B66" s="45">
        <v>15</v>
      </c>
      <c r="C66" s="45" t="s">
        <v>270</v>
      </c>
      <c r="L66" s="5" t="s">
        <v>628</v>
      </c>
      <c r="U66" s="159"/>
    </row>
    <row r="67" spans="1:21" x14ac:dyDescent="0.2">
      <c r="A67" s="329" t="s">
        <v>349</v>
      </c>
      <c r="B67" s="45">
        <v>15</v>
      </c>
      <c r="C67" s="45" t="s">
        <v>270</v>
      </c>
      <c r="L67" s="111" t="s">
        <v>538</v>
      </c>
      <c r="M67" s="434">
        <v>2.5000000000000001E-2</v>
      </c>
      <c r="N67" s="45" t="s">
        <v>633</v>
      </c>
      <c r="S67" s="45" t="s">
        <v>682</v>
      </c>
      <c r="U67" s="159"/>
    </row>
    <row r="68" spans="1:21" x14ac:dyDescent="0.2">
      <c r="A68" s="329" t="s">
        <v>170</v>
      </c>
      <c r="B68" s="45">
        <v>15</v>
      </c>
      <c r="C68" s="45" t="str">
        <f>C65</f>
        <v>peasants</v>
      </c>
      <c r="L68" s="111" t="s">
        <v>540</v>
      </c>
      <c r="M68" s="434">
        <v>0.05</v>
      </c>
      <c r="N68" s="45" t="s">
        <v>634</v>
      </c>
      <c r="S68" s="45" t="s">
        <v>683</v>
      </c>
    </row>
    <row r="69" spans="1:21" x14ac:dyDescent="0.2">
      <c r="A69" s="329" t="s">
        <v>271</v>
      </c>
      <c r="B69" s="45">
        <f>IF(OR(Overview!$B$14="Halfling",Overview!$B$14="Dwarf",Overview!$B$14="Gnome"),10,IF(race="Nomad",25,5))</f>
        <v>5</v>
      </c>
      <c r="L69" s="45" t="s">
        <v>541</v>
      </c>
      <c r="M69" s="2">
        <v>0.05</v>
      </c>
      <c r="N69" s="45" t="s">
        <v>635</v>
      </c>
      <c r="S69" s="45" t="s">
        <v>684</v>
      </c>
    </row>
    <row r="70" spans="1:21" x14ac:dyDescent="0.2">
      <c r="L70" s="45" t="s">
        <v>543</v>
      </c>
      <c r="M70" s="434">
        <v>7.4999999999999997E-2</v>
      </c>
      <c r="N70" s="45" t="s">
        <v>633</v>
      </c>
      <c r="S70" s="45" t="s">
        <v>685</v>
      </c>
      <c r="T70" s="111"/>
      <c r="U70" s="160"/>
    </row>
    <row r="71" spans="1:21" x14ac:dyDescent="0.2">
      <c r="A71" s="343" t="s">
        <v>272</v>
      </c>
      <c r="L71" s="45" t="s">
        <v>545</v>
      </c>
      <c r="M71" s="434">
        <v>0.02</v>
      </c>
      <c r="N71" s="45" t="s">
        <v>636</v>
      </c>
      <c r="S71" s="45" t="s">
        <v>686</v>
      </c>
      <c r="U71" s="160"/>
    </row>
    <row r="72" spans="1:21" x14ac:dyDescent="0.2">
      <c r="A72" s="329" t="str">
        <f>CONCATENATE("Your race is ",Overview!B14)</f>
        <v>Your race is Firewalker</v>
      </c>
      <c r="L72" s="45" t="s">
        <v>546</v>
      </c>
      <c r="M72" s="2">
        <v>0.05</v>
      </c>
      <c r="N72" s="45" t="s">
        <v>671</v>
      </c>
      <c r="S72" s="111" t="s">
        <v>697</v>
      </c>
      <c r="T72" s="111"/>
      <c r="U72" s="159"/>
    </row>
    <row r="73" spans="1:21" x14ac:dyDescent="0.2">
      <c r="L73" s="45" t="s">
        <v>547</v>
      </c>
      <c r="M73" s="2">
        <v>0.1</v>
      </c>
      <c r="N73" s="45" t="s">
        <v>752</v>
      </c>
      <c r="S73" s="111" t="s">
        <v>726</v>
      </c>
      <c r="T73" s="111"/>
      <c r="U73" s="159"/>
    </row>
    <row r="74" spans="1:21" x14ac:dyDescent="0.2">
      <c r="A74" s="328" t="s">
        <v>202</v>
      </c>
      <c r="B74" s="45" t="s">
        <v>273</v>
      </c>
      <c r="F74" s="45" t="s">
        <v>207</v>
      </c>
      <c r="L74" s="45" t="s">
        <v>548</v>
      </c>
      <c r="M74" s="2">
        <v>-0.1</v>
      </c>
      <c r="N74" s="45" t="s">
        <v>669</v>
      </c>
      <c r="O74" s="45" t="s">
        <v>639</v>
      </c>
      <c r="S74" s="111" t="s">
        <v>689</v>
      </c>
      <c r="T74" s="111"/>
      <c r="U74" s="159"/>
    </row>
    <row r="75" spans="1:21" x14ac:dyDescent="0.2">
      <c r="A75" s="329" t="s">
        <v>197</v>
      </c>
      <c r="B75" s="45">
        <v>2</v>
      </c>
      <c r="C75" s="45" t="s">
        <v>203</v>
      </c>
      <c r="D75" s="342"/>
      <c r="F75" s="342">
        <v>0.1</v>
      </c>
      <c r="G75" s="45" t="s">
        <v>106</v>
      </c>
      <c r="L75" s="45" t="s">
        <v>549</v>
      </c>
      <c r="M75" s="2">
        <v>-0.05</v>
      </c>
      <c r="N75" s="45" t="s">
        <v>676</v>
      </c>
      <c r="O75" s="159">
        <v>-0.15</v>
      </c>
      <c r="P75" s="45" t="s">
        <v>654</v>
      </c>
      <c r="S75" s="111" t="s">
        <v>708</v>
      </c>
      <c r="T75" s="111"/>
      <c r="U75" s="160"/>
    </row>
    <row r="76" spans="1:21" x14ac:dyDescent="0.2">
      <c r="A76" s="329" t="s">
        <v>198</v>
      </c>
      <c r="B76" s="45">
        <v>2</v>
      </c>
      <c r="C76" s="45" t="s">
        <v>203</v>
      </c>
      <c r="D76" s="342"/>
      <c r="F76" s="342">
        <v>0.1</v>
      </c>
      <c r="G76" s="45" t="s">
        <v>109</v>
      </c>
      <c r="L76" s="45" t="s">
        <v>551</v>
      </c>
      <c r="M76" s="434">
        <v>-2.5000000000000001E-2</v>
      </c>
      <c r="N76" s="45" t="s">
        <v>640</v>
      </c>
      <c r="S76" s="111" t="s">
        <v>690</v>
      </c>
      <c r="T76" s="111"/>
      <c r="U76" s="159"/>
    </row>
    <row r="77" spans="1:21" x14ac:dyDescent="0.2">
      <c r="A77" s="329" t="s">
        <v>204</v>
      </c>
      <c r="B77" s="45">
        <v>2.5</v>
      </c>
      <c r="C77" s="45" t="s">
        <v>203</v>
      </c>
      <c r="D77" s="342"/>
      <c r="F77" s="342">
        <v>0.1</v>
      </c>
      <c r="G77" s="45" t="s">
        <v>32</v>
      </c>
      <c r="L77" s="45" t="s">
        <v>553</v>
      </c>
      <c r="M77" s="2">
        <v>-0.1</v>
      </c>
      <c r="N77" s="45" t="s">
        <v>753</v>
      </c>
      <c r="S77" s="111" t="s">
        <v>1066</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105</v>
      </c>
      <c r="L79" s="45" t="s">
        <v>554</v>
      </c>
      <c r="M79" s="434">
        <v>-0.1</v>
      </c>
      <c r="N79" s="45" t="s">
        <v>642</v>
      </c>
      <c r="S79" s="111" t="s">
        <v>692</v>
      </c>
      <c r="T79" s="111"/>
      <c r="U79" s="160"/>
    </row>
    <row r="80" spans="1:21" x14ac:dyDescent="0.2">
      <c r="A80" s="329" t="s">
        <v>530</v>
      </c>
      <c r="B80" s="45">
        <v>5</v>
      </c>
      <c r="C80" s="45" t="s">
        <v>203</v>
      </c>
      <c r="D80" s="342"/>
      <c r="F80" s="342">
        <v>0.2</v>
      </c>
      <c r="G80" s="45" t="s">
        <v>109</v>
      </c>
      <c r="H80" s="45" t="s">
        <v>247</v>
      </c>
      <c r="L80" s="45" t="s">
        <v>555</v>
      </c>
      <c r="M80" s="2">
        <v>0.15</v>
      </c>
      <c r="N80" s="45" t="s">
        <v>643</v>
      </c>
      <c r="S80" s="111" t="s">
        <v>693</v>
      </c>
      <c r="T80" s="111"/>
      <c r="U80" s="159"/>
    </row>
    <row r="81" spans="1:23" x14ac:dyDescent="0.2">
      <c r="A81" s="329" t="s">
        <v>531</v>
      </c>
      <c r="B81" s="45">
        <v>5</v>
      </c>
      <c r="C81" s="45" t="s">
        <v>203</v>
      </c>
      <c r="D81" s="342"/>
      <c r="F81" s="342">
        <v>0.3</v>
      </c>
      <c r="G81" s="45" t="s">
        <v>532</v>
      </c>
      <c r="L81" s="45" t="s">
        <v>556</v>
      </c>
      <c r="M81" s="2">
        <v>-0.1</v>
      </c>
      <c r="N81" s="45" t="s">
        <v>644</v>
      </c>
      <c r="S81" s="111" t="s">
        <v>694</v>
      </c>
      <c r="T81" s="111"/>
      <c r="U81" s="159"/>
    </row>
    <row r="82" spans="1:23" x14ac:dyDescent="0.2">
      <c r="A82" s="329" t="s">
        <v>262</v>
      </c>
      <c r="B82" s="45">
        <f>B80</f>
        <v>5</v>
      </c>
      <c r="C82" s="45" t="str">
        <f>C80</f>
        <v>* Landsize</v>
      </c>
      <c r="D82" s="159"/>
      <c r="F82" s="342">
        <v>0.2</v>
      </c>
      <c r="G82" s="45" t="s">
        <v>32</v>
      </c>
      <c r="H82" s="45" t="s">
        <v>259</v>
      </c>
      <c r="L82" s="45" t="s">
        <v>558</v>
      </c>
      <c r="M82" s="2">
        <v>-0.2</v>
      </c>
      <c r="N82" s="45" t="s">
        <v>645</v>
      </c>
      <c r="O82" s="167">
        <v>0.1</v>
      </c>
      <c r="P82" s="5" t="s">
        <v>1102</v>
      </c>
      <c r="S82" s="111" t="s">
        <v>695</v>
      </c>
      <c r="T82" s="111"/>
      <c r="U82" s="159"/>
    </row>
    <row r="83" spans="1:23" x14ac:dyDescent="0.2">
      <c r="A83" s="329" t="s">
        <v>261</v>
      </c>
      <c r="B83" s="45">
        <f>B80</f>
        <v>5</v>
      </c>
      <c r="C83" s="45" t="str">
        <f>C80</f>
        <v>* Landsize</v>
      </c>
      <c r="D83" s="159"/>
      <c r="F83" s="342">
        <v>0.1</v>
      </c>
      <c r="G83" s="45" t="s">
        <v>31</v>
      </c>
      <c r="L83" s="45" t="s">
        <v>559</v>
      </c>
      <c r="M83" s="2">
        <v>0.01</v>
      </c>
      <c r="N83" s="45" t="s">
        <v>646</v>
      </c>
      <c r="O83" s="45" t="s">
        <v>639</v>
      </c>
      <c r="S83" s="111" t="s">
        <v>696</v>
      </c>
      <c r="T83" s="111"/>
      <c r="U83" s="159"/>
    </row>
    <row r="84" spans="1:23" x14ac:dyDescent="0.2">
      <c r="A84" s="329" t="s">
        <v>299</v>
      </c>
      <c r="B84" s="45">
        <v>5</v>
      </c>
      <c r="C84" s="45" t="str">
        <f t="shared" ref="C84:C90" si="0">C83</f>
        <v>* Landsize</v>
      </c>
      <c r="D84" s="159"/>
      <c r="F84" s="159">
        <v>0.2</v>
      </c>
      <c r="G84" s="45" t="s">
        <v>106</v>
      </c>
      <c r="H84" s="159">
        <v>0.1</v>
      </c>
      <c r="I84" s="45" t="s">
        <v>107</v>
      </c>
      <c r="L84" s="45" t="s">
        <v>560</v>
      </c>
      <c r="M84" s="29">
        <f>-2.5%/explore_tech_divisor</f>
        <v>-1.2500000000000001E-2</v>
      </c>
      <c r="N84" s="45" t="s">
        <v>638</v>
      </c>
      <c r="O84" s="160">
        <v>-0.05</v>
      </c>
      <c r="P84" s="45" t="s">
        <v>754</v>
      </c>
      <c r="S84" s="111" t="s">
        <v>688</v>
      </c>
      <c r="T84" s="111"/>
    </row>
    <row r="85" spans="1:23" x14ac:dyDescent="0.2">
      <c r="A85" s="329" t="s">
        <v>336</v>
      </c>
      <c r="B85" s="45">
        <f>B84</f>
        <v>5</v>
      </c>
      <c r="C85" s="45" t="str">
        <f t="shared" si="0"/>
        <v>* Landsize</v>
      </c>
      <c r="D85" s="159"/>
      <c r="F85" s="159">
        <v>0.1</v>
      </c>
      <c r="G85" s="45" t="s">
        <v>31</v>
      </c>
      <c r="H85" s="159">
        <v>0.1</v>
      </c>
      <c r="I85" s="45" t="s">
        <v>32</v>
      </c>
      <c r="L85" s="45" t="s">
        <v>562</v>
      </c>
      <c r="M85">
        <v>1.25</v>
      </c>
      <c r="N85" s="45" t="s">
        <v>673</v>
      </c>
      <c r="S85" s="111" t="s">
        <v>715</v>
      </c>
      <c r="T85" s="111"/>
      <c r="U85" s="160"/>
    </row>
    <row r="86" spans="1:23" x14ac:dyDescent="0.2">
      <c r="A86" s="329" t="s">
        <v>335</v>
      </c>
      <c r="B86" s="45">
        <f>B85</f>
        <v>5</v>
      </c>
      <c r="C86" s="45" t="str">
        <f t="shared" si="0"/>
        <v>* Landsize</v>
      </c>
      <c r="D86" s="159"/>
      <c r="F86" s="159">
        <v>0.15</v>
      </c>
      <c r="G86" s="45" t="s">
        <v>32</v>
      </c>
      <c r="H86" s="159" t="s">
        <v>337</v>
      </c>
      <c r="L86" s="45" t="s">
        <v>564</v>
      </c>
      <c r="M86" s="2">
        <v>-0.15</v>
      </c>
      <c r="N86" s="45" t="s">
        <v>642</v>
      </c>
      <c r="S86" s="111" t="s">
        <v>699</v>
      </c>
      <c r="T86" s="111"/>
      <c r="U86" s="159"/>
    </row>
    <row r="87" spans="1:23" x14ac:dyDescent="0.2">
      <c r="A87" s="329" t="s">
        <v>342</v>
      </c>
      <c r="B87" s="45">
        <v>5</v>
      </c>
      <c r="C87" s="344" t="str">
        <f t="shared" si="0"/>
        <v>* Landsize</v>
      </c>
      <c r="D87" s="159"/>
      <c r="F87" s="262">
        <v>13</v>
      </c>
      <c r="G87" s="45" t="s">
        <v>343</v>
      </c>
      <c r="H87" s="159"/>
      <c r="L87" s="45" t="s">
        <v>565</v>
      </c>
      <c r="M87" s="434">
        <f>-2.5%/explore_tech_divisor</f>
        <v>-1.2500000000000001E-2</v>
      </c>
      <c r="N87" s="45" t="s">
        <v>638</v>
      </c>
      <c r="O87" s="45">
        <v>-1</v>
      </c>
      <c r="P87" s="45" t="s">
        <v>670</v>
      </c>
      <c r="S87" s="111" t="s">
        <v>700</v>
      </c>
      <c r="T87" s="111"/>
      <c r="U87" s="159"/>
    </row>
    <row r="88" spans="1:23" x14ac:dyDescent="0.2">
      <c r="A88" s="329" t="s">
        <v>426</v>
      </c>
      <c r="B88" s="45">
        <v>5</v>
      </c>
      <c r="C88" s="45" t="str">
        <f t="shared" si="0"/>
        <v>* Landsize</v>
      </c>
      <c r="D88" s="159"/>
      <c r="F88" s="121">
        <v>0.05</v>
      </c>
      <c r="G88" s="45" t="s">
        <v>31</v>
      </c>
      <c r="L88" s="45" t="s">
        <v>566</v>
      </c>
      <c r="M88" s="434">
        <v>-2.5000000000000001E-2</v>
      </c>
      <c r="N88" s="45" t="s">
        <v>644</v>
      </c>
      <c r="S88" s="111" t="s">
        <v>701</v>
      </c>
      <c r="T88" s="111"/>
      <c r="U88" s="160"/>
    </row>
    <row r="89" spans="1:23" x14ac:dyDescent="0.2">
      <c r="A89" s="329" t="s">
        <v>1084</v>
      </c>
      <c r="B89" s="45">
        <v>5</v>
      </c>
      <c r="C89" s="45" t="str">
        <f t="shared" si="0"/>
        <v>* Landsize</v>
      </c>
      <c r="D89" s="121">
        <v>0.01</v>
      </c>
      <c r="E89" s="45" t="s">
        <v>359</v>
      </c>
      <c r="F89" s="159">
        <v>0.1</v>
      </c>
      <c r="G89" s="45" t="s">
        <v>1086</v>
      </c>
      <c r="M89"/>
      <c r="S89" s="111"/>
      <c r="T89" s="111"/>
    </row>
    <row r="90" spans="1:23" x14ac:dyDescent="0.2">
      <c r="A90" s="329" t="s">
        <v>1091</v>
      </c>
      <c r="B90" s="45">
        <v>5</v>
      </c>
      <c r="C90" s="45" t="str">
        <f t="shared" si="0"/>
        <v>* Landsize</v>
      </c>
      <c r="F90" s="159">
        <v>0.15</v>
      </c>
      <c r="G90" s="45" t="s">
        <v>105</v>
      </c>
      <c r="L90" s="45" t="s">
        <v>568</v>
      </c>
      <c r="M90" s="2">
        <v>0.05</v>
      </c>
      <c r="N90" s="45" t="s">
        <v>647</v>
      </c>
      <c r="S90" s="111" t="s">
        <v>702</v>
      </c>
      <c r="T90" s="111"/>
    </row>
    <row r="91" spans="1:23" x14ac:dyDescent="0.2">
      <c r="L91" s="45" t="s">
        <v>570</v>
      </c>
      <c r="M91" s="434">
        <v>2.5000000000000001E-2</v>
      </c>
      <c r="N91" s="45" t="s">
        <v>649</v>
      </c>
      <c r="S91" s="111" t="s">
        <v>703</v>
      </c>
      <c r="T91" s="111"/>
      <c r="U91" s="160"/>
    </row>
    <row r="92" spans="1:23" x14ac:dyDescent="0.2">
      <c r="A92" s="328" t="s">
        <v>82</v>
      </c>
      <c r="L92" s="45" t="s">
        <v>572</v>
      </c>
      <c r="M92" s="434">
        <v>7.4999999999999997E-2</v>
      </c>
      <c r="N92" s="45" t="s">
        <v>650</v>
      </c>
      <c r="O92" s="121">
        <v>0.25</v>
      </c>
      <c r="P92" s="45" t="s">
        <v>651</v>
      </c>
      <c r="S92" s="111" t="s">
        <v>704</v>
      </c>
      <c r="T92" s="111"/>
      <c r="U92" s="160"/>
      <c r="W92" s="159"/>
    </row>
    <row r="93" spans="1:23" x14ac:dyDescent="0.2">
      <c r="A93" s="329" t="s">
        <v>269</v>
      </c>
      <c r="B93" s="45">
        <f>IF(Overview!$B$14="Kobold",40,30)</f>
        <v>30</v>
      </c>
      <c r="C93" s="45" t="s">
        <v>240</v>
      </c>
      <c r="L93" s="45" t="s">
        <v>573</v>
      </c>
      <c r="M93" s="434">
        <v>0.1</v>
      </c>
      <c r="N93" s="45" t="s">
        <v>634</v>
      </c>
      <c r="O93" s="159">
        <v>0.05</v>
      </c>
      <c r="P93" s="45" t="s">
        <v>652</v>
      </c>
      <c r="S93" s="111" t="s">
        <v>705</v>
      </c>
      <c r="T93" s="111"/>
      <c r="U93" s="160"/>
      <c r="W93" s="159"/>
    </row>
    <row r="94" spans="1:23" x14ac:dyDescent="0.2">
      <c r="L94" s="45" t="s">
        <v>574</v>
      </c>
      <c r="M94" s="434">
        <v>-1.7500000000000002E-2</v>
      </c>
      <c r="N94" s="45" t="s">
        <v>637</v>
      </c>
      <c r="S94" s="111" t="s">
        <v>687</v>
      </c>
      <c r="T94" s="111"/>
    </row>
    <row r="95" spans="1:23" x14ac:dyDescent="0.2">
      <c r="A95" s="328" t="s">
        <v>352</v>
      </c>
      <c r="L95" s="45" t="s">
        <v>575</v>
      </c>
      <c r="M95" s="434">
        <v>1.4999999999999999E-2</v>
      </c>
      <c r="N95" s="45" t="s">
        <v>648</v>
      </c>
      <c r="S95" s="111" t="s">
        <v>698</v>
      </c>
      <c r="T95" s="111"/>
      <c r="U95" s="159"/>
    </row>
    <row r="96" spans="1:23" x14ac:dyDescent="0.2">
      <c r="A96" s="329" t="s">
        <v>504</v>
      </c>
      <c r="B96" s="45">
        <v>250</v>
      </c>
      <c r="L96" s="45" t="s">
        <v>576</v>
      </c>
      <c r="M96" s="434">
        <f>-7.5%/explore_tech_divisor</f>
        <v>-3.7499999999999999E-2</v>
      </c>
      <c r="N96" s="45" t="s">
        <v>638</v>
      </c>
      <c r="O96" s="45">
        <v>-2</v>
      </c>
      <c r="P96" s="45" t="s">
        <v>670</v>
      </c>
      <c r="S96" s="111" t="s">
        <v>706</v>
      </c>
      <c r="T96" s="111"/>
      <c r="U96" s="160"/>
    </row>
    <row r="97" spans="1:23" x14ac:dyDescent="0.2">
      <c r="A97" s="329" t="s">
        <v>505</v>
      </c>
      <c r="B97" s="159">
        <v>0.01</v>
      </c>
      <c r="L97" s="45" t="s">
        <v>577</v>
      </c>
      <c r="M97" s="2">
        <v>-0.5</v>
      </c>
      <c r="N97" s="45" t="s">
        <v>653</v>
      </c>
      <c r="S97" s="111" t="s">
        <v>707</v>
      </c>
      <c r="T97" s="111"/>
      <c r="U97" s="159"/>
    </row>
    <row r="98" spans="1:23" x14ac:dyDescent="0.2">
      <c r="A98" s="329" t="s">
        <v>506</v>
      </c>
      <c r="B98" s="159">
        <v>0.01</v>
      </c>
      <c r="L98" s="45" t="s">
        <v>579</v>
      </c>
      <c r="M98" s="2">
        <v>-0.1</v>
      </c>
      <c r="N98" s="45" t="s">
        <v>641</v>
      </c>
      <c r="S98" s="111" t="s">
        <v>691</v>
      </c>
      <c r="T98" s="111"/>
      <c r="U98" s="159"/>
      <c r="W98" s="159"/>
    </row>
    <row r="99" spans="1:23" x14ac:dyDescent="0.2">
      <c r="A99" s="329" t="s">
        <v>507</v>
      </c>
      <c r="B99" s="159">
        <v>0.01</v>
      </c>
      <c r="M99"/>
      <c r="S99" s="111"/>
      <c r="T99" s="111"/>
    </row>
    <row r="100" spans="1:23" x14ac:dyDescent="0.2">
      <c r="L100" s="45" t="s">
        <v>581</v>
      </c>
      <c r="M100" s="434">
        <v>0.125</v>
      </c>
      <c r="N100" s="45" t="s">
        <v>655</v>
      </c>
      <c r="S100" s="111" t="s">
        <v>709</v>
      </c>
      <c r="T100" s="111"/>
      <c r="U100" s="160"/>
    </row>
    <row r="101" spans="1:23" x14ac:dyDescent="0.2">
      <c r="A101" s="328" t="s">
        <v>457</v>
      </c>
      <c r="L101" s="45" t="s">
        <v>582</v>
      </c>
      <c r="M101"/>
      <c r="N101" s="45" t="s">
        <v>629</v>
      </c>
      <c r="S101" s="111" t="s">
        <v>710</v>
      </c>
      <c r="T101" s="111"/>
    </row>
    <row r="102" spans="1:23" x14ac:dyDescent="0.2">
      <c r="L102" s="45" t="s">
        <v>583</v>
      </c>
      <c r="M102" s="434">
        <v>2.5000000000000001E-2</v>
      </c>
      <c r="N102" s="45" t="s">
        <v>649</v>
      </c>
      <c r="O102" s="160">
        <v>7.4999999999999997E-2</v>
      </c>
      <c r="P102" s="45" t="s">
        <v>647</v>
      </c>
      <c r="S102" s="111" t="s">
        <v>711</v>
      </c>
      <c r="T102" s="111"/>
      <c r="U102" s="160"/>
      <c r="W102" s="160"/>
    </row>
    <row r="103" spans="1:23" x14ac:dyDescent="0.2">
      <c r="A103" s="329" t="s">
        <v>458</v>
      </c>
      <c r="B103" s="45" t="s">
        <v>211</v>
      </c>
      <c r="D103" s="342">
        <v>0.3</v>
      </c>
      <c r="E103" s="45" t="s">
        <v>437</v>
      </c>
      <c r="L103" s="45" t="s">
        <v>584</v>
      </c>
      <c r="M103" s="2">
        <v>0.04</v>
      </c>
      <c r="N103" s="45" t="s">
        <v>636</v>
      </c>
      <c r="S103" s="111" t="s">
        <v>712</v>
      </c>
      <c r="T103" s="111"/>
      <c r="U103" s="159"/>
    </row>
    <row r="104" spans="1:23" x14ac:dyDescent="0.2">
      <c r="B104" s="45" t="s">
        <v>209</v>
      </c>
      <c r="D104" s="342">
        <v>0.2</v>
      </c>
      <c r="E104" s="45" t="s">
        <v>437</v>
      </c>
      <c r="L104" s="45" t="s">
        <v>585</v>
      </c>
      <c r="M104">
        <v>2</v>
      </c>
      <c r="N104" s="45" t="s">
        <v>1101</v>
      </c>
      <c r="S104" s="111" t="s">
        <v>1065</v>
      </c>
      <c r="T104" s="111"/>
      <c r="U104" s="159"/>
    </row>
    <row r="105" spans="1:23" x14ac:dyDescent="0.2">
      <c r="B105" s="45" t="s">
        <v>459</v>
      </c>
      <c r="D105" s="342">
        <v>0.3</v>
      </c>
      <c r="E105" s="45" t="s">
        <v>437</v>
      </c>
      <c r="L105" s="45" t="s">
        <v>586</v>
      </c>
      <c r="M105" s="434">
        <v>-0.1</v>
      </c>
      <c r="N105" s="45" t="s">
        <v>644</v>
      </c>
      <c r="S105" s="111" t="s">
        <v>714</v>
      </c>
      <c r="T105" s="111"/>
      <c r="U105" s="159"/>
    </row>
    <row r="106" spans="1:23" x14ac:dyDescent="0.2">
      <c r="B106" s="45" t="s">
        <v>460</v>
      </c>
      <c r="D106" s="342">
        <v>0.6</v>
      </c>
      <c r="E106" s="45" t="s">
        <v>437</v>
      </c>
      <c r="L106" s="45" t="s">
        <v>588</v>
      </c>
      <c r="M106">
        <v>-1</v>
      </c>
      <c r="N106" s="45" t="s">
        <v>755</v>
      </c>
      <c r="S106" s="111" t="s">
        <v>1067</v>
      </c>
      <c r="T106" s="111"/>
      <c r="U106" s="160"/>
    </row>
    <row r="107" spans="1:23" x14ac:dyDescent="0.2">
      <c r="L107" s="45" t="s">
        <v>589</v>
      </c>
      <c r="M107" s="2">
        <v>-0.2</v>
      </c>
      <c r="N107" s="45" t="s">
        <v>656</v>
      </c>
      <c r="S107" s="111" t="s">
        <v>713</v>
      </c>
      <c r="T107" s="111"/>
    </row>
    <row r="108" spans="1:23" x14ac:dyDescent="0.2">
      <c r="A108" s="329" t="s">
        <v>461</v>
      </c>
      <c r="B108" s="45" t="s">
        <v>211</v>
      </c>
      <c r="D108" s="45">
        <v>4000</v>
      </c>
      <c r="E108" s="45" t="s">
        <v>508</v>
      </c>
      <c r="M108"/>
    </row>
    <row r="109" spans="1:23" x14ac:dyDescent="0.2">
      <c r="B109" s="45" t="s">
        <v>209</v>
      </c>
      <c r="D109" s="45">
        <v>4000</v>
      </c>
      <c r="E109" s="45" t="s">
        <v>508</v>
      </c>
      <c r="L109" s="45" t="s">
        <v>590</v>
      </c>
      <c r="M109" s="434">
        <v>2.5000000000000001E-2</v>
      </c>
      <c r="N109" s="45" t="s">
        <v>1071</v>
      </c>
      <c r="O109" s="45" t="s">
        <v>658</v>
      </c>
      <c r="S109" s="111" t="s">
        <v>717</v>
      </c>
      <c r="T109" s="111"/>
      <c r="U109" s="159"/>
      <c r="W109" s="159"/>
    </row>
    <row r="110" spans="1:23" x14ac:dyDescent="0.2">
      <c r="B110" s="45" t="s">
        <v>459</v>
      </c>
      <c r="D110" s="45">
        <v>7500</v>
      </c>
      <c r="E110" s="45" t="s">
        <v>508</v>
      </c>
      <c r="L110" s="45" t="s">
        <v>591</v>
      </c>
      <c r="M110" s="2">
        <v>-0.2</v>
      </c>
      <c r="N110" s="45" t="s">
        <v>674</v>
      </c>
      <c r="O110" s="159">
        <v>-0.2</v>
      </c>
      <c r="P110" s="45" t="s">
        <v>657</v>
      </c>
      <c r="Q110" s="5"/>
      <c r="R110" s="5"/>
      <c r="S110" s="111" t="s">
        <v>716</v>
      </c>
      <c r="T110" s="111"/>
    </row>
    <row r="111" spans="1:23" x14ac:dyDescent="0.2">
      <c r="B111" s="45" t="s">
        <v>528</v>
      </c>
      <c r="D111" s="45">
        <v>5000</v>
      </c>
      <c r="E111" s="45" t="s">
        <v>508</v>
      </c>
      <c r="L111" s="45" t="s">
        <v>592</v>
      </c>
      <c r="M111" s="434">
        <v>-1.7500000000000002E-2</v>
      </c>
      <c r="N111" s="45" t="s">
        <v>637</v>
      </c>
      <c r="S111" s="111" t="s">
        <v>718</v>
      </c>
      <c r="T111" s="111"/>
      <c r="U111" s="159"/>
    </row>
    <row r="112" spans="1:23" x14ac:dyDescent="0.2">
      <c r="B112" s="45" t="s">
        <v>212</v>
      </c>
      <c r="D112" s="45">
        <v>5000</v>
      </c>
      <c r="E112" s="45" t="s">
        <v>508</v>
      </c>
      <c r="L112" s="45" t="s">
        <v>593</v>
      </c>
      <c r="M112" s="434">
        <v>2.5000000000000001E-2</v>
      </c>
      <c r="N112" s="45" t="s">
        <v>666</v>
      </c>
      <c r="O112" s="160">
        <v>7.4999999999999997E-2</v>
      </c>
      <c r="P112" s="45" t="s">
        <v>659</v>
      </c>
      <c r="S112" s="111" t="s">
        <v>719</v>
      </c>
      <c r="T112" s="111"/>
      <c r="U112" s="160"/>
      <c r="W112" s="160"/>
    </row>
    <row r="113" spans="1:23" x14ac:dyDescent="0.2">
      <c r="L113" s="45" t="s">
        <v>594</v>
      </c>
      <c r="M113" s="434">
        <v>-1.7500000000000002E-2</v>
      </c>
      <c r="N113" s="45" t="s">
        <v>637</v>
      </c>
      <c r="S113" s="111" t="s">
        <v>720</v>
      </c>
      <c r="T113" s="111"/>
      <c r="U113" s="159"/>
    </row>
    <row r="114" spans="1:23" x14ac:dyDescent="0.2">
      <c r="A114" s="328" t="s">
        <v>462</v>
      </c>
      <c r="F114" s="45" t="s">
        <v>464</v>
      </c>
      <c r="L114" s="45" t="s">
        <v>595</v>
      </c>
      <c r="M114">
        <v>1</v>
      </c>
      <c r="N114" s="45" t="s">
        <v>672</v>
      </c>
      <c r="S114" s="111" t="s">
        <v>394</v>
      </c>
      <c r="T114" s="111"/>
      <c r="U114" s="159"/>
      <c r="W114" s="159"/>
    </row>
    <row r="115" spans="1:23" x14ac:dyDescent="0.2">
      <c r="A115" s="329" t="s">
        <v>124</v>
      </c>
      <c r="B115" s="253"/>
      <c r="C115" s="345">
        <v>0.2</v>
      </c>
      <c r="D115" s="45" t="s">
        <v>468</v>
      </c>
      <c r="F115" s="180">
        <v>4.5</v>
      </c>
      <c r="L115" s="45" t="s">
        <v>596</v>
      </c>
      <c r="M115" s="2">
        <v>-0.01</v>
      </c>
      <c r="N115" s="45" t="s">
        <v>660</v>
      </c>
      <c r="S115" s="111" t="s">
        <v>722</v>
      </c>
      <c r="T115" s="111"/>
      <c r="U115" s="159"/>
    </row>
    <row r="116" spans="1:23" x14ac:dyDescent="0.2">
      <c r="A116" s="329" t="s">
        <v>125</v>
      </c>
      <c r="B116" s="119" t="s">
        <v>294</v>
      </c>
      <c r="C116" s="345">
        <v>0.2</v>
      </c>
      <c r="D116" s="45" t="s">
        <v>468</v>
      </c>
      <c r="F116" s="180">
        <v>4.5</v>
      </c>
      <c r="T116" s="111"/>
    </row>
    <row r="117" spans="1:23" x14ac:dyDescent="0.2">
      <c r="B117" s="45" t="s">
        <v>293</v>
      </c>
      <c r="C117" s="121">
        <v>0.2</v>
      </c>
      <c r="D117" s="45" t="s">
        <v>468</v>
      </c>
      <c r="F117" s="180">
        <v>4.5</v>
      </c>
      <c r="L117" s="45" t="s">
        <v>597</v>
      </c>
      <c r="M117" s="29">
        <v>1.4999999999999999E-2</v>
      </c>
      <c r="N117" s="45" t="s">
        <v>648</v>
      </c>
      <c r="S117" s="111" t="s">
        <v>723</v>
      </c>
      <c r="T117" s="111"/>
      <c r="U117" s="160"/>
    </row>
    <row r="118" spans="1:23" x14ac:dyDescent="0.2">
      <c r="A118" s="329" t="s">
        <v>139</v>
      </c>
      <c r="B118" s="253"/>
      <c r="C118" s="345">
        <v>0.2</v>
      </c>
      <c r="D118" s="45" t="s">
        <v>468</v>
      </c>
      <c r="F118" s="180">
        <v>4</v>
      </c>
      <c r="L118" s="45" t="s">
        <v>598</v>
      </c>
      <c r="M118" s="434">
        <v>2.5000000000000001E-2</v>
      </c>
      <c r="N118" s="45" t="s">
        <v>649</v>
      </c>
      <c r="O118" s="159">
        <v>-0.05</v>
      </c>
      <c r="P118" s="45" t="s">
        <v>661</v>
      </c>
      <c r="S118" s="111" t="s">
        <v>724</v>
      </c>
      <c r="T118" s="111"/>
      <c r="U118" s="160"/>
      <c r="W118" s="159"/>
    </row>
    <row r="119" spans="1:23" x14ac:dyDescent="0.2">
      <c r="A119" s="329" t="s">
        <v>132</v>
      </c>
      <c r="B119" s="253"/>
      <c r="C119" s="345">
        <v>0.2</v>
      </c>
      <c r="D119" s="45" t="s">
        <v>469</v>
      </c>
      <c r="F119" s="180">
        <v>2</v>
      </c>
      <c r="L119" s="45" t="s">
        <v>600</v>
      </c>
      <c r="M119" s="2">
        <v>-0.05</v>
      </c>
      <c r="N119" s="45" t="s">
        <v>644</v>
      </c>
      <c r="O119" s="159">
        <v>-0.1</v>
      </c>
      <c r="P119" s="45" t="s">
        <v>657</v>
      </c>
      <c r="Q119" s="45">
        <v>5</v>
      </c>
      <c r="R119" s="45" t="s">
        <v>677</v>
      </c>
      <c r="S119" s="111" t="s">
        <v>1068</v>
      </c>
      <c r="T119" s="111"/>
      <c r="U119" s="159"/>
      <c r="W119" s="159"/>
    </row>
    <row r="120" spans="1:23" x14ac:dyDescent="0.2">
      <c r="A120" s="329" t="s">
        <v>1076</v>
      </c>
      <c r="B120" s="119" t="s">
        <v>294</v>
      </c>
      <c r="C120" s="345">
        <v>0.1</v>
      </c>
      <c r="D120" s="45" t="s">
        <v>297</v>
      </c>
      <c r="F120" s="180">
        <v>0</v>
      </c>
      <c r="L120" s="45" t="s">
        <v>601</v>
      </c>
      <c r="M120" s="434">
        <v>-0.125</v>
      </c>
      <c r="N120" s="45" t="s">
        <v>662</v>
      </c>
      <c r="S120" s="111" t="s">
        <v>725</v>
      </c>
      <c r="T120" s="111"/>
      <c r="U120" s="160"/>
    </row>
    <row r="121" spans="1:23" x14ac:dyDescent="0.2">
      <c r="B121" s="45" t="s">
        <v>293</v>
      </c>
      <c r="C121" s="346">
        <v>0.1</v>
      </c>
      <c r="D121" s="45" t="s">
        <v>297</v>
      </c>
      <c r="F121" s="180">
        <v>0</v>
      </c>
      <c r="L121" s="45" t="s">
        <v>603</v>
      </c>
      <c r="M121" s="434">
        <v>0.01</v>
      </c>
      <c r="N121" s="45" t="s">
        <v>648</v>
      </c>
      <c r="O121" s="5"/>
      <c r="P121" s="5"/>
      <c r="S121" s="111" t="s">
        <v>721</v>
      </c>
      <c r="T121" s="111"/>
      <c r="U121" s="159"/>
    </row>
    <row r="122" spans="1:23" x14ac:dyDescent="0.2">
      <c r="A122" s="329" t="s">
        <v>463</v>
      </c>
      <c r="B122" s="253"/>
      <c r="C122" s="345">
        <v>0.2</v>
      </c>
      <c r="D122" s="45" t="s">
        <v>469</v>
      </c>
      <c r="F122" s="180">
        <v>3</v>
      </c>
      <c r="L122" s="45" t="s">
        <v>604</v>
      </c>
      <c r="M122" s="29">
        <v>7.4999999999999997E-2</v>
      </c>
      <c r="N122" s="45" t="s">
        <v>675</v>
      </c>
      <c r="O122" s="159">
        <v>-0.05</v>
      </c>
      <c r="P122" s="45" t="s">
        <v>663</v>
      </c>
      <c r="S122" s="111" t="s">
        <v>727</v>
      </c>
      <c r="T122" s="111"/>
      <c r="U122" s="159"/>
      <c r="W122" s="159"/>
    </row>
    <row r="123" spans="1:23" x14ac:dyDescent="0.2">
      <c r="A123" s="329" t="s">
        <v>334</v>
      </c>
      <c r="C123" s="180">
        <v>1</v>
      </c>
      <c r="D123" s="45" t="s">
        <v>465</v>
      </c>
      <c r="F123" s="180">
        <v>3</v>
      </c>
      <c r="M123"/>
      <c r="S123" s="111"/>
      <c r="T123" s="111"/>
    </row>
    <row r="124" spans="1:23" x14ac:dyDescent="0.2">
      <c r="A124" s="329" t="s">
        <v>375</v>
      </c>
      <c r="B124" s="180" t="s">
        <v>467</v>
      </c>
      <c r="C124" s="119">
        <v>500</v>
      </c>
      <c r="D124" s="45" t="s">
        <v>466</v>
      </c>
      <c r="F124" s="180">
        <v>0</v>
      </c>
      <c r="L124" s="45" t="s">
        <v>605</v>
      </c>
      <c r="M124" s="2">
        <v>0.3</v>
      </c>
      <c r="N124" s="45" t="s">
        <v>664</v>
      </c>
      <c r="S124" s="111" t="s">
        <v>728</v>
      </c>
      <c r="T124" s="111"/>
      <c r="U124" s="159"/>
    </row>
    <row r="125" spans="1:23" x14ac:dyDescent="0.2">
      <c r="A125" s="329" t="s">
        <v>358</v>
      </c>
      <c r="B125" s="180" t="s">
        <v>467</v>
      </c>
      <c r="C125" s="119">
        <v>300</v>
      </c>
      <c r="D125" s="45" t="s">
        <v>466</v>
      </c>
      <c r="F125" s="180">
        <v>3</v>
      </c>
      <c r="L125" s="45" t="s">
        <v>607</v>
      </c>
      <c r="M125">
        <v>1.25</v>
      </c>
      <c r="N125" s="45" t="s">
        <v>679</v>
      </c>
      <c r="S125" s="111" t="s">
        <v>732</v>
      </c>
      <c r="T125" s="111"/>
      <c r="U125" s="159"/>
    </row>
    <row r="126" spans="1:23" x14ac:dyDescent="0.2">
      <c r="A126" s="329" t="s">
        <v>424</v>
      </c>
      <c r="B126" s="253"/>
      <c r="C126" s="121">
        <v>0.1</v>
      </c>
      <c r="D126" s="45" t="s">
        <v>499</v>
      </c>
      <c r="F126" s="180">
        <v>4</v>
      </c>
      <c r="L126" s="45" t="s">
        <v>609</v>
      </c>
      <c r="M126" s="434">
        <v>-7.4999999999999997E-2</v>
      </c>
      <c r="N126" s="45" t="s">
        <v>663</v>
      </c>
      <c r="O126" s="160">
        <v>7.4999999999999997E-3</v>
      </c>
      <c r="P126" s="45" t="s">
        <v>756</v>
      </c>
      <c r="S126" s="111" t="s">
        <v>1069</v>
      </c>
      <c r="T126" s="111"/>
      <c r="U126" s="159"/>
    </row>
    <row r="127" spans="1:23" x14ac:dyDescent="0.2">
      <c r="L127" s="45" t="s">
        <v>610</v>
      </c>
      <c r="M127" s="434">
        <v>2.5000000000000001E-2</v>
      </c>
      <c r="N127" s="45" t="s">
        <v>666</v>
      </c>
      <c r="S127" s="111" t="s">
        <v>730</v>
      </c>
      <c r="T127" s="111"/>
      <c r="U127" s="160"/>
    </row>
    <row r="128" spans="1:23" x14ac:dyDescent="0.2">
      <c r="A128" s="328" t="s">
        <v>265</v>
      </c>
      <c r="L128" s="45" t="s">
        <v>611</v>
      </c>
      <c r="M128" s="434">
        <v>-2.5000000000000001E-2</v>
      </c>
      <c r="N128" s="45" t="s">
        <v>640</v>
      </c>
      <c r="O128" s="5">
        <v>2</v>
      </c>
      <c r="P128" s="5" t="s">
        <v>678</v>
      </c>
      <c r="S128" s="111" t="s">
        <v>731</v>
      </c>
      <c r="T128" s="111"/>
      <c r="U128" s="160"/>
    </row>
    <row r="129" spans="1:23" x14ac:dyDescent="0.2">
      <c r="A129" s="329" t="s">
        <v>480</v>
      </c>
      <c r="B129" s="45">
        <v>20</v>
      </c>
      <c r="M129"/>
      <c r="S129" s="111"/>
      <c r="T129" s="111"/>
    </row>
    <row r="130" spans="1:23" x14ac:dyDescent="0.2">
      <c r="A130" s="329" t="s">
        <v>478</v>
      </c>
      <c r="B130" s="45">
        <v>0</v>
      </c>
      <c r="C130" s="45" t="s">
        <v>479</v>
      </c>
      <c r="L130" s="45" t="s">
        <v>613</v>
      </c>
      <c r="M130" s="2">
        <v>0.6</v>
      </c>
      <c r="N130" s="45" t="s">
        <v>757</v>
      </c>
      <c r="S130" s="111" t="s">
        <v>1070</v>
      </c>
      <c r="T130" s="111"/>
    </row>
    <row r="131" spans="1:23" x14ac:dyDescent="0.2">
      <c r="L131" s="45" t="s">
        <v>614</v>
      </c>
      <c r="M131" s="434">
        <v>-7.4999999999999997E-2</v>
      </c>
      <c r="N131" s="45" t="s">
        <v>663</v>
      </c>
      <c r="S131" s="111" t="s">
        <v>733</v>
      </c>
      <c r="T131" s="111"/>
      <c r="U131" s="160"/>
    </row>
    <row r="132" spans="1:23" x14ac:dyDescent="0.2">
      <c r="A132" s="328" t="s">
        <v>758</v>
      </c>
      <c r="L132" s="45" t="s">
        <v>616</v>
      </c>
      <c r="M132">
        <v>2</v>
      </c>
      <c r="N132" s="45" t="s">
        <v>680</v>
      </c>
      <c r="S132" s="111" t="s">
        <v>734</v>
      </c>
      <c r="T132" s="111"/>
    </row>
    <row r="133" spans="1:23" x14ac:dyDescent="0.2">
      <c r="A133" s="329" t="s">
        <v>89</v>
      </c>
      <c r="B133" s="45" t="s">
        <v>3</v>
      </c>
      <c r="L133" s="45" t="s">
        <v>618</v>
      </c>
      <c r="M133" s="2">
        <v>0.3</v>
      </c>
      <c r="N133" s="45" t="s">
        <v>667</v>
      </c>
      <c r="S133" s="111" t="s">
        <v>735</v>
      </c>
      <c r="T133" s="111"/>
      <c r="U133" s="159"/>
    </row>
    <row r="134" spans="1:23" x14ac:dyDescent="0.2">
      <c r="A134" s="329" t="s">
        <v>90</v>
      </c>
      <c r="B134" s="45" t="s">
        <v>3</v>
      </c>
      <c r="M134"/>
      <c r="S134" s="111"/>
      <c r="T134" s="111"/>
    </row>
    <row r="135" spans="1:23" x14ac:dyDescent="0.2">
      <c r="A135" s="329" t="s">
        <v>91</v>
      </c>
      <c r="B135" s="45" t="s">
        <v>3</v>
      </c>
      <c r="L135" s="45" t="s">
        <v>619</v>
      </c>
      <c r="M135" s="2">
        <v>-0.15</v>
      </c>
      <c r="N135" s="45" t="s">
        <v>676</v>
      </c>
      <c r="O135" s="159">
        <v>-0.05</v>
      </c>
      <c r="P135" s="45" t="s">
        <v>654</v>
      </c>
      <c r="S135" s="111" t="s">
        <v>736</v>
      </c>
      <c r="T135" s="111"/>
      <c r="U135" s="159"/>
      <c r="W135" s="159"/>
    </row>
    <row r="136" spans="1:23" x14ac:dyDescent="0.2">
      <c r="A136" s="329" t="s">
        <v>92</v>
      </c>
      <c r="B136" s="45" t="s">
        <v>3</v>
      </c>
      <c r="L136" s="45" t="s">
        <v>621</v>
      </c>
      <c r="M136" s="434">
        <v>-0.05</v>
      </c>
      <c r="N136" s="45" t="s">
        <v>644</v>
      </c>
      <c r="S136" s="111" t="s">
        <v>737</v>
      </c>
      <c r="T136" s="111"/>
      <c r="U136" s="160"/>
    </row>
    <row r="137" spans="1:23" x14ac:dyDescent="0.2">
      <c r="A137" s="329" t="s">
        <v>93</v>
      </c>
      <c r="B137" s="45" t="s">
        <v>3</v>
      </c>
      <c r="L137" s="45" t="s">
        <v>622</v>
      </c>
      <c r="M137" s="2">
        <v>-0.25</v>
      </c>
      <c r="N137" s="45" t="s">
        <v>668</v>
      </c>
      <c r="S137" s="111" t="s">
        <v>738</v>
      </c>
      <c r="T137" s="111"/>
      <c r="U137" s="159"/>
    </row>
    <row r="138" spans="1:23" x14ac:dyDescent="0.2">
      <c r="A138" s="329" t="s">
        <v>94</v>
      </c>
      <c r="B138" s="45" t="s">
        <v>3</v>
      </c>
      <c r="M138"/>
      <c r="S138" s="111"/>
      <c r="T138" s="111"/>
    </row>
    <row r="139" spans="1:23" x14ac:dyDescent="0.2">
      <c r="A139" s="329" t="s">
        <v>95</v>
      </c>
      <c r="B139" s="45" t="s">
        <v>3</v>
      </c>
      <c r="L139" s="45" t="s">
        <v>623</v>
      </c>
      <c r="M139" s="29">
        <v>7.4999999999999997E-2</v>
      </c>
      <c r="N139" s="45" t="s">
        <v>665</v>
      </c>
      <c r="S139" s="111" t="s">
        <v>729</v>
      </c>
      <c r="T139" s="111"/>
      <c r="U139" s="160"/>
    </row>
    <row r="140" spans="1:23" x14ac:dyDescent="0.2">
      <c r="A140" s="329" t="s">
        <v>96</v>
      </c>
      <c r="B140" s="45" t="s">
        <v>7</v>
      </c>
      <c r="L140" s="45" t="s">
        <v>625</v>
      </c>
      <c r="M140" s="434">
        <v>-7.4999999999999997E-2</v>
      </c>
      <c r="N140" s="45" t="s">
        <v>662</v>
      </c>
      <c r="S140" s="111" t="s">
        <v>739</v>
      </c>
      <c r="T140" s="111"/>
      <c r="U140" s="159"/>
    </row>
    <row r="141" spans="1:23" x14ac:dyDescent="0.2">
      <c r="A141" s="329" t="s">
        <v>97</v>
      </c>
      <c r="B141" s="45" t="s">
        <v>3</v>
      </c>
      <c r="M141"/>
    </row>
    <row r="142" spans="1:23" x14ac:dyDescent="0.2">
      <c r="A142" s="329" t="s">
        <v>29</v>
      </c>
      <c r="B142" s="45" t="s">
        <v>3</v>
      </c>
      <c r="L142" s="45" t="s">
        <v>626</v>
      </c>
      <c r="M142" s="2">
        <v>-0.05</v>
      </c>
      <c r="N142" s="45" t="s">
        <v>663</v>
      </c>
      <c r="S142" s="45" t="s">
        <v>740</v>
      </c>
      <c r="U142" s="159"/>
    </row>
    <row r="143" spans="1:23" x14ac:dyDescent="0.2">
      <c r="A143" s="329" t="s">
        <v>99</v>
      </c>
      <c r="B143" s="45" t="s">
        <v>3</v>
      </c>
    </row>
    <row r="144" spans="1:23" x14ac:dyDescent="0.2">
      <c r="A144" s="329" t="s">
        <v>1123</v>
      </c>
      <c r="B144" s="45" t="s">
        <v>12</v>
      </c>
      <c r="L144" s="45" t="b">
        <f>OR(race=L145,race=L146,race=L147)</f>
        <v>1</v>
      </c>
      <c r="M144" s="45">
        <f>IF(L144=FALSE,1,2)</f>
        <v>2</v>
      </c>
    </row>
    <row r="145" spans="1:13" x14ac:dyDescent="0.2">
      <c r="A145" s="329" t="s">
        <v>100</v>
      </c>
      <c r="B145" s="45" t="s">
        <v>12</v>
      </c>
      <c r="L145" s="45" t="s">
        <v>97</v>
      </c>
    </row>
    <row r="146" spans="1:13" x14ac:dyDescent="0.2">
      <c r="A146" s="329" t="s">
        <v>101</v>
      </c>
      <c r="B146" s="45" t="s">
        <v>3</v>
      </c>
      <c r="L146" s="45" t="s">
        <v>101</v>
      </c>
    </row>
    <row r="147" spans="1:13" x14ac:dyDescent="0.2">
      <c r="A147" s="329" t="s">
        <v>102</v>
      </c>
      <c r="B147" s="45" t="s">
        <v>3</v>
      </c>
      <c r="L147" s="111" t="s">
        <v>344</v>
      </c>
      <c r="M147" s="159"/>
    </row>
    <row r="148" spans="1:13" x14ac:dyDescent="0.2">
      <c r="A148" s="329" t="s">
        <v>103</v>
      </c>
      <c r="B148" s="45" t="s">
        <v>3</v>
      </c>
      <c r="L148" s="111"/>
    </row>
    <row r="149" spans="1:13" x14ac:dyDescent="0.2">
      <c r="A149" s="329" t="s">
        <v>330</v>
      </c>
      <c r="B149" s="45" t="s">
        <v>3</v>
      </c>
      <c r="L149" s="111"/>
      <c r="M149" s="159"/>
    </row>
    <row r="150" spans="1:13" x14ac:dyDescent="0.2">
      <c r="A150" s="329" t="s">
        <v>344</v>
      </c>
      <c r="B150" s="45" t="s">
        <v>3</v>
      </c>
    </row>
    <row r="151" spans="1:13" x14ac:dyDescent="0.2">
      <c r="A151" s="329" t="s">
        <v>143</v>
      </c>
      <c r="B151" s="45" t="s">
        <v>7</v>
      </c>
    </row>
    <row r="152" spans="1:13" x14ac:dyDescent="0.2">
      <c r="A152" s="329" t="s">
        <v>500</v>
      </c>
      <c r="B152" s="45" t="s">
        <v>12</v>
      </c>
    </row>
    <row r="153" spans="1:13" x14ac:dyDescent="0.2">
      <c r="A153" s="329" t="s">
        <v>1124</v>
      </c>
      <c r="B153" s="45" t="s">
        <v>12</v>
      </c>
    </row>
    <row r="155" spans="1:13" x14ac:dyDescent="0.2">
      <c r="A155" s="328" t="s">
        <v>1054</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1055</v>
      </c>
    </row>
    <row r="162" spans="1:2" x14ac:dyDescent="0.2">
      <c r="A162" s="329" t="s">
        <v>279</v>
      </c>
      <c r="B162" s="159">
        <v>0.75</v>
      </c>
    </row>
    <row r="164" spans="1:2" x14ac:dyDescent="0.2">
      <c r="A164" s="328" t="s">
        <v>1120</v>
      </c>
    </row>
    <row r="165" spans="1:2" x14ac:dyDescent="0.2">
      <c r="A165" s="329" t="s">
        <v>454</v>
      </c>
      <c r="B165" s="45">
        <v>5</v>
      </c>
    </row>
  </sheetData>
  <phoneticPr fontId="0" type="noConversion"/>
  <conditionalFormatting sqref="J25:L25">
    <cfRule type="expression" dxfId="34"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tabSelected="1" zoomScale="85" zoomScaleNormal="85" workbookViewId="0">
      <pane ySplit="4" topLeftCell="A59" activePane="bottomLeft" state="frozenSplit"/>
      <selection pane="bottomLeft" activeCell="F77" sqref="F77"/>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283</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763</v>
      </c>
      <c r="D4" s="347" t="s">
        <v>764</v>
      </c>
      <c r="E4" s="348" t="s">
        <v>765</v>
      </c>
      <c r="F4" s="348" t="s">
        <v>766</v>
      </c>
      <c r="G4" s="348" t="s">
        <v>767</v>
      </c>
      <c r="H4" s="351" t="s">
        <v>768</v>
      </c>
      <c r="I4" s="351" t="s">
        <v>231</v>
      </c>
      <c r="J4" s="436" t="s">
        <v>164</v>
      </c>
      <c r="K4" s="436" t="s">
        <v>104</v>
      </c>
      <c r="L4" s="436" t="s">
        <v>161</v>
      </c>
      <c r="M4" s="436" t="s">
        <v>106</v>
      </c>
      <c r="N4" s="436" t="s">
        <v>107</v>
      </c>
      <c r="O4" s="436" t="s">
        <v>108</v>
      </c>
      <c r="P4" s="436" t="s">
        <v>109</v>
      </c>
      <c r="Q4" s="436" t="s">
        <v>110</v>
      </c>
      <c r="R4" s="436" t="s">
        <v>111</v>
      </c>
      <c r="S4" s="436" t="s">
        <v>32</v>
      </c>
      <c r="T4" s="436" t="s">
        <v>31</v>
      </c>
      <c r="U4" s="437" t="s">
        <v>162</v>
      </c>
      <c r="V4" s="436" t="s">
        <v>163</v>
      </c>
      <c r="W4" s="436" t="s">
        <v>439</v>
      </c>
      <c r="X4" s="436" t="s">
        <v>488</v>
      </c>
      <c r="Y4" s="436" t="s">
        <v>489</v>
      </c>
      <c r="Z4" s="436" t="s">
        <v>526</v>
      </c>
      <c r="AA4" s="436" t="s">
        <v>1075</v>
      </c>
    </row>
    <row r="5" spans="1:27" s="358" customFormat="1" ht="19.5" customHeight="1" x14ac:dyDescent="0.2">
      <c r="A5" s="298" t="s">
        <v>89</v>
      </c>
      <c r="B5" s="352" t="s">
        <v>98</v>
      </c>
      <c r="C5" s="298" t="s">
        <v>244</v>
      </c>
      <c r="D5" s="353" t="s">
        <v>112</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113</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114</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115</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1081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116</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117</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1082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118</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119</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120</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121</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122</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123</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124</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125</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126</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127</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129</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128</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130</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246</v>
      </c>
      <c r="D26" s="353" t="s">
        <v>131</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132</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133</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1117</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135</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136</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134</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137</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138</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139</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140</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141</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142</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356</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144</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145</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146</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147</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1076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1123</v>
      </c>
      <c r="B49" s="366" t="s">
        <v>30</v>
      </c>
      <c r="C49" s="358" t="s">
        <v>60</v>
      </c>
      <c r="D49" s="367" t="s">
        <v>1125</v>
      </c>
      <c r="E49" s="368">
        <v>3</v>
      </c>
      <c r="F49" s="368">
        <v>0</v>
      </c>
      <c r="G49" s="368">
        <v>275</v>
      </c>
      <c r="H49" s="358">
        <v>15</v>
      </c>
      <c r="I49" s="366">
        <v>5</v>
      </c>
      <c r="J49" s="369">
        <v>7.4999999999999997E-2</v>
      </c>
      <c r="K49" s="370"/>
      <c r="L49" s="370"/>
      <c r="M49" s="370"/>
      <c r="N49" s="370"/>
      <c r="O49" s="370">
        <v>0.2</v>
      </c>
      <c r="P49" s="370"/>
      <c r="Q49" s="370"/>
      <c r="R49" s="370">
        <v>-0.75</v>
      </c>
      <c r="S49" s="370"/>
      <c r="T49" s="370"/>
      <c r="U49" s="370"/>
      <c r="V49" s="370"/>
      <c r="W49" s="96"/>
      <c r="X49" s="356"/>
      <c r="Y49" s="368"/>
      <c r="Z49" s="368"/>
      <c r="AA49" s="357"/>
    </row>
    <row r="50" spans="1:27" ht="19.5" customHeight="1" x14ac:dyDescent="0.2">
      <c r="A50" s="298" t="s">
        <v>1123</v>
      </c>
      <c r="B50" s="352" t="s">
        <v>30</v>
      </c>
      <c r="C50" s="298" t="s">
        <v>60</v>
      </c>
      <c r="D50" s="353" t="s">
        <v>149</v>
      </c>
      <c r="E50" s="96">
        <v>0</v>
      </c>
      <c r="F50" s="96">
        <v>3</v>
      </c>
      <c r="G50" s="96">
        <v>275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1123</v>
      </c>
      <c r="B51" s="352" t="s">
        <v>30</v>
      </c>
      <c r="C51" s="298" t="s">
        <v>60</v>
      </c>
      <c r="D51" s="353" t="s">
        <v>1126</v>
      </c>
      <c r="E51" s="96">
        <v>2</v>
      </c>
      <c r="F51" s="96">
        <v>5</v>
      </c>
      <c r="G51" s="96">
        <v>1000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1123</v>
      </c>
      <c r="B52" s="371" t="s">
        <v>30</v>
      </c>
      <c r="C52" s="361" t="s">
        <v>60</v>
      </c>
      <c r="D52" s="359" t="s">
        <v>1127</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100</v>
      </c>
      <c r="B53" s="366" t="s">
        <v>98</v>
      </c>
      <c r="C53" s="358" t="s">
        <v>60</v>
      </c>
      <c r="D53" s="367" t="s">
        <v>150</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100</v>
      </c>
      <c r="B54" s="352" t="s">
        <v>98</v>
      </c>
      <c r="C54" s="298" t="s">
        <v>60</v>
      </c>
      <c r="D54" s="353" t="s">
        <v>1077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100</v>
      </c>
      <c r="B55" s="352" t="s">
        <v>98</v>
      </c>
      <c r="C55" s="298" t="s">
        <v>60</v>
      </c>
      <c r="D55" s="353" t="s">
        <v>1078</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100</v>
      </c>
      <c r="B56" s="371" t="s">
        <v>98</v>
      </c>
      <c r="C56" s="361" t="s">
        <v>60</v>
      </c>
      <c r="D56" s="359" t="s">
        <v>1079</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101</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101</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101</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101</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102</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102</v>
      </c>
      <c r="B62" s="352" t="s">
        <v>98</v>
      </c>
      <c r="C62" s="298" t="s">
        <v>245</v>
      </c>
      <c r="D62" s="353" t="s">
        <v>1114</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102</v>
      </c>
      <c r="B63" s="352" t="s">
        <v>98</v>
      </c>
      <c r="C63" s="298" t="s">
        <v>245</v>
      </c>
      <c r="D63" s="353" t="s">
        <v>1115</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102</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103</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103</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103</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103</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330</v>
      </c>
      <c r="B69" s="366" t="s">
        <v>30</v>
      </c>
      <c r="C69" s="358" t="s">
        <v>246</v>
      </c>
      <c r="D69" s="367" t="s">
        <v>331</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330</v>
      </c>
      <c r="B70" s="352" t="s">
        <v>30</v>
      </c>
      <c r="C70" s="298" t="s">
        <v>246</v>
      </c>
      <c r="D70" s="353" t="s">
        <v>332</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330</v>
      </c>
      <c r="B71" s="352" t="s">
        <v>30</v>
      </c>
      <c r="C71" s="298" t="s">
        <v>246</v>
      </c>
      <c r="D71" s="353" t="s">
        <v>1116</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330</v>
      </c>
      <c r="B72" s="371" t="s">
        <v>30</v>
      </c>
      <c r="C72" s="361" t="s">
        <v>246</v>
      </c>
      <c r="D72" s="359" t="s">
        <v>334</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344</v>
      </c>
      <c r="B73" s="366" t="s">
        <v>98</v>
      </c>
      <c r="C73" s="358" t="s">
        <v>243</v>
      </c>
      <c r="D73" s="367" t="s">
        <v>338</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344</v>
      </c>
      <c r="B74" s="352" t="s">
        <v>98</v>
      </c>
      <c r="C74" s="298" t="s">
        <v>243</v>
      </c>
      <c r="D74" s="353" t="s">
        <v>339</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344</v>
      </c>
      <c r="B75" s="352" t="s">
        <v>98</v>
      </c>
      <c r="C75" s="298" t="s">
        <v>243</v>
      </c>
      <c r="D75" s="353" t="s">
        <v>340</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344</v>
      </c>
      <c r="B76" s="371" t="s">
        <v>98</v>
      </c>
      <c r="C76" s="361" t="s">
        <v>243</v>
      </c>
      <c r="D76" s="359" t="s">
        <v>341</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143</v>
      </c>
      <c r="B77" s="366" t="s">
        <v>30</v>
      </c>
      <c r="C77" s="372" t="s">
        <v>58</v>
      </c>
      <c r="D77" s="358" t="s">
        <v>357</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143</v>
      </c>
      <c r="B78" s="352" t="s">
        <v>30</v>
      </c>
      <c r="C78" s="373" t="s">
        <v>58</v>
      </c>
      <c r="D78" s="298" t="s">
        <v>326</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143</v>
      </c>
      <c r="B79" s="352" t="s">
        <v>30</v>
      </c>
      <c r="C79" s="373" t="s">
        <v>58</v>
      </c>
      <c r="D79" s="298" t="s">
        <v>1118</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143</v>
      </c>
      <c r="B80" s="371" t="s">
        <v>30</v>
      </c>
      <c r="C80" s="374" t="s">
        <v>58</v>
      </c>
      <c r="D80" s="361" t="s">
        <v>358</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500</v>
      </c>
      <c r="B81" s="366" t="s">
        <v>30</v>
      </c>
      <c r="C81" s="372" t="s">
        <v>60</v>
      </c>
      <c r="D81" s="358" t="s">
        <v>422</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500</v>
      </c>
      <c r="B82" s="352" t="s">
        <v>30</v>
      </c>
      <c r="C82" s="373" t="s">
        <v>60</v>
      </c>
      <c r="D82" s="298" t="s">
        <v>423</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500</v>
      </c>
      <c r="B83" s="352" t="s">
        <v>30</v>
      </c>
      <c r="C83" s="373" t="s">
        <v>60</v>
      </c>
      <c r="D83" s="298" t="s">
        <v>424</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500</v>
      </c>
      <c r="B84" s="371" t="s">
        <v>30</v>
      </c>
      <c r="C84" s="374" t="s">
        <v>60</v>
      </c>
      <c r="D84" s="361" t="s">
        <v>425</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1124</v>
      </c>
      <c r="B85" s="352"/>
      <c r="C85" s="373" t="s">
        <v>60</v>
      </c>
      <c r="D85" s="298" t="s">
        <v>1128</v>
      </c>
      <c r="E85" s="96">
        <v>3</v>
      </c>
      <c r="F85" s="96">
        <v>0</v>
      </c>
      <c r="G85" s="96">
        <v>200</v>
      </c>
      <c r="H85" s="298">
        <v>25</v>
      </c>
      <c r="I85" s="352">
        <v>5</v>
      </c>
      <c r="J85" s="354">
        <v>0.05</v>
      </c>
      <c r="K85" s="355"/>
      <c r="L85" s="355"/>
      <c r="M85" s="355"/>
      <c r="N85" s="355"/>
      <c r="O85" s="355">
        <v>0.2</v>
      </c>
      <c r="P85" s="355"/>
      <c r="Q85" s="355"/>
      <c r="R85" s="355">
        <v>-0.5</v>
      </c>
      <c r="S85" s="355"/>
      <c r="T85" s="355"/>
      <c r="U85" s="355"/>
      <c r="V85" s="355"/>
      <c r="W85" s="96"/>
      <c r="X85" s="356"/>
      <c r="Y85" s="96"/>
      <c r="Z85" s="357"/>
      <c r="AA85" s="357"/>
    </row>
    <row r="86" spans="1:27" ht="19.5" customHeight="1" x14ac:dyDescent="0.2">
      <c r="A86" s="298" t="s">
        <v>1124</v>
      </c>
      <c r="B86" s="352"/>
      <c r="C86" s="373" t="s">
        <v>60</v>
      </c>
      <c r="D86" s="298" t="s">
        <v>1113</v>
      </c>
      <c r="E86" s="96">
        <v>0</v>
      </c>
      <c r="F86" s="96">
        <v>4</v>
      </c>
      <c r="G86" s="96">
        <v>800</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1124</v>
      </c>
      <c r="B87" s="352"/>
      <c r="C87" s="373" t="s">
        <v>60</v>
      </c>
      <c r="D87" s="298" t="s">
        <v>1129</v>
      </c>
      <c r="E87" s="96">
        <v>0</v>
      </c>
      <c r="F87" s="96">
        <v>6</v>
      </c>
      <c r="G87" s="96">
        <v>1100</v>
      </c>
      <c r="H87" s="298">
        <v>30</v>
      </c>
      <c r="I87" s="352">
        <f t="shared" ref="I87:I88" si="0">1.8 * MIN(6, MAX(E87,F87)) + 0.45 * MIN(6, MIN(E87,F87)) + IF(E87&gt;6, (E87-6)*0.2) + IF(F87&gt;6, (F87-6)*0.2)</f>
        <v>10.8</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1124</v>
      </c>
      <c r="B88" s="352"/>
      <c r="C88" s="373" t="s">
        <v>60</v>
      </c>
      <c r="D88" s="298" t="s">
        <v>1130</v>
      </c>
      <c r="E88" s="96">
        <v>4</v>
      </c>
      <c r="F88" s="96">
        <v>3</v>
      </c>
      <c r="G88" s="96">
        <v>700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769</v>
      </c>
      <c r="B89" s="352" t="s">
        <v>769</v>
      </c>
      <c r="C89" s="373" t="s">
        <v>769</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769</v>
      </c>
      <c r="B90" s="352" t="s">
        <v>769</v>
      </c>
      <c r="C90" s="373" t="s">
        <v>769</v>
      </c>
      <c r="D90" s="63" t="s">
        <v>1098</v>
      </c>
      <c r="G90" s="96">
        <v>1000</v>
      </c>
      <c r="H90" s="96" t="s">
        <v>1099</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769</v>
      </c>
      <c r="B91" s="352" t="s">
        <v>769</v>
      </c>
      <c r="C91" s="373" t="s">
        <v>769</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769</v>
      </c>
      <c r="B92" s="352" t="s">
        <v>769</v>
      </c>
      <c r="C92" s="373" t="s">
        <v>769</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361</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1123</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100</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101</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102</v>
      </c>
      <c r="B108" s="298">
        <v>61</v>
      </c>
      <c r="J108" s="379"/>
      <c r="K108" s="379"/>
      <c r="L108" s="379"/>
      <c r="M108" s="379"/>
      <c r="N108" s="379"/>
      <c r="O108" s="379"/>
      <c r="P108" s="379"/>
      <c r="Q108" s="379"/>
      <c r="R108" s="379"/>
      <c r="S108" s="379"/>
      <c r="T108" s="379"/>
      <c r="U108" s="379"/>
      <c r="V108" s="379"/>
    </row>
    <row r="109" spans="1:22" ht="19.5" customHeight="1" x14ac:dyDescent="0.2">
      <c r="A109" s="376" t="s">
        <v>103</v>
      </c>
      <c r="B109" s="298">
        <v>65</v>
      </c>
      <c r="J109" s="379"/>
      <c r="K109" s="379"/>
      <c r="L109" s="379"/>
      <c r="M109" s="379"/>
      <c r="N109" s="379"/>
      <c r="O109" s="379"/>
      <c r="P109" s="379"/>
      <c r="Q109" s="379"/>
      <c r="R109" s="379"/>
      <c r="S109" s="379"/>
      <c r="T109" s="379"/>
      <c r="U109" s="379"/>
      <c r="V109" s="379"/>
    </row>
    <row r="110" spans="1:22" ht="19.5" customHeight="1" x14ac:dyDescent="0.2">
      <c r="A110" s="376" t="s">
        <v>330</v>
      </c>
      <c r="B110" s="298">
        <v>69</v>
      </c>
      <c r="J110" s="379"/>
      <c r="K110" s="379"/>
      <c r="L110" s="379"/>
      <c r="M110" s="379"/>
      <c r="N110" s="379"/>
      <c r="O110" s="379"/>
      <c r="P110" s="379"/>
      <c r="Q110" s="379"/>
      <c r="R110" s="379"/>
      <c r="S110" s="379"/>
      <c r="T110" s="379"/>
      <c r="U110" s="379"/>
      <c r="V110" s="379"/>
    </row>
    <row r="111" spans="1:22" ht="19.5" customHeight="1" x14ac:dyDescent="0.2">
      <c r="A111" s="376" t="s">
        <v>344</v>
      </c>
      <c r="B111" s="298">
        <v>73</v>
      </c>
      <c r="J111" s="379"/>
      <c r="K111" s="379"/>
      <c r="L111" s="379"/>
      <c r="M111" s="379"/>
      <c r="N111" s="379"/>
      <c r="O111" s="379"/>
      <c r="P111" s="379"/>
      <c r="Q111" s="379"/>
      <c r="R111" s="379"/>
      <c r="S111" s="379"/>
      <c r="T111" s="379"/>
      <c r="U111" s="379"/>
      <c r="V111" s="379"/>
    </row>
    <row r="112" spans="1:22" ht="19.5" customHeight="1" x14ac:dyDescent="0.2">
      <c r="A112" s="376" t="s">
        <v>143</v>
      </c>
      <c r="B112" s="298">
        <v>77</v>
      </c>
      <c r="J112" s="379"/>
      <c r="K112" s="379"/>
      <c r="L112" s="379"/>
      <c r="M112" s="379"/>
      <c r="N112" s="379"/>
      <c r="O112" s="379"/>
      <c r="P112" s="379"/>
      <c r="Q112" s="379"/>
      <c r="R112" s="379"/>
      <c r="S112" s="379"/>
      <c r="T112" s="379"/>
      <c r="U112" s="379"/>
      <c r="V112" s="379"/>
    </row>
    <row r="113" spans="1:22" ht="19.5" customHeight="1" x14ac:dyDescent="0.2">
      <c r="A113" s="376" t="s">
        <v>500</v>
      </c>
      <c r="B113" s="298">
        <v>81</v>
      </c>
      <c r="J113" s="379"/>
      <c r="K113" s="379"/>
      <c r="L113" s="379"/>
      <c r="M113" s="379"/>
      <c r="N113" s="379"/>
      <c r="O113" s="379"/>
      <c r="P113" s="379"/>
      <c r="Q113" s="379"/>
      <c r="R113" s="379"/>
      <c r="S113" s="379"/>
      <c r="T113" s="379"/>
      <c r="U113" s="379"/>
      <c r="V113" s="379"/>
    </row>
    <row r="114" spans="1:22" ht="19.5" customHeight="1" x14ac:dyDescent="0.2">
      <c r="A114" s="376" t="s">
        <v>1124</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286</v>
      </c>
      <c r="D2" s="3" t="s">
        <v>287</v>
      </c>
      <c r="E2" s="3" t="s">
        <v>238</v>
      </c>
      <c r="F2" s="3" t="s">
        <v>237</v>
      </c>
      <c r="G2" s="3"/>
      <c r="H2" s="3"/>
      <c r="I2" s="3" t="s">
        <v>236</v>
      </c>
      <c r="J2" s="3" t="s">
        <v>239</v>
      </c>
      <c r="K2" s="11"/>
    </row>
    <row r="3" spans="2:11" ht="13.5" thickBot="1" x14ac:dyDescent="0.25">
      <c r="B3" s="7" t="s">
        <v>374</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284</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285</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440</v>
      </c>
      <c r="I18" s="504"/>
      <c r="J18" s="504"/>
      <c r="K18" s="505"/>
    </row>
    <row r="20" spans="1:14" ht="13.5" thickBot="1" x14ac:dyDescent="0.25">
      <c r="H20" s="1"/>
      <c r="I20" s="1"/>
      <c r="L20" t="s">
        <v>432</v>
      </c>
    </row>
    <row r="21" spans="1:14" ht="13.5" thickBot="1" x14ac:dyDescent="0.25">
      <c r="E21" t="s">
        <v>297</v>
      </c>
      <c r="F21" s="34">
        <v>0.125</v>
      </c>
      <c r="H21" s="1"/>
      <c r="I21" s="1"/>
      <c r="J21" t="s">
        <v>433</v>
      </c>
      <c r="K21" t="s">
        <v>434</v>
      </c>
      <c r="L21" s="33">
        <v>0.3</v>
      </c>
      <c r="M21" t="s">
        <v>435</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430</v>
      </c>
      <c r="J27" s="27">
        <v>1250</v>
      </c>
      <c r="K27" s="1">
        <f>J27*25</f>
        <v>31250</v>
      </c>
      <c r="M27" s="35">
        <f>SUM(M22:M26)</f>
        <v>52425.504910394266</v>
      </c>
      <c r="N27" t="s">
        <v>435</v>
      </c>
    </row>
    <row r="28" spans="1:14" ht="13.5" thickBot="1" x14ac:dyDescent="0.25">
      <c r="H28" s="1"/>
      <c r="I28" s="1" t="s">
        <v>431</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444</v>
      </c>
    </row>
    <row r="32" spans="1:14" ht="13.5" thickBot="1" x14ac:dyDescent="0.25">
      <c r="H32" s="1"/>
      <c r="I32" s="1"/>
      <c r="J32" t="s">
        <v>433</v>
      </c>
      <c r="K32" t="s">
        <v>434</v>
      </c>
      <c r="L32" s="33">
        <v>0.2</v>
      </c>
      <c r="M32" t="s">
        <v>435</v>
      </c>
      <c r="N32" t="s">
        <v>446</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356</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430</v>
      </c>
      <c r="J38" s="27">
        <v>2337</v>
      </c>
      <c r="K38" s="1">
        <f>J38*25</f>
        <v>58425</v>
      </c>
      <c r="M38" s="35"/>
      <c r="N38" s="35"/>
    </row>
    <row r="39" spans="1:14" ht="13.5" thickBot="1" x14ac:dyDescent="0.25">
      <c r="H39" s="1"/>
      <c r="I39" s="1" t="s">
        <v>445</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286</v>
      </c>
      <c r="D51" s="3" t="s">
        <v>287</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Perry Fotis</cp:lastModifiedBy>
  <cp:lastPrinted>2004-01-30T10:58:31Z</cp:lastPrinted>
  <dcterms:created xsi:type="dcterms:W3CDTF">2002-01-18T13:56:58Z</dcterms:created>
  <dcterms:modified xsi:type="dcterms:W3CDTF">2024-05-18T18:57:13Z</dcterms:modified>
</cp:coreProperties>
</file>