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burgedu.sharepoint.com/sites/XC/Shared Documents/General/WO/"/>
    </mc:Choice>
  </mc:AlternateContent>
  <xr:revisionPtr revIDLastSave="3808" documentId="8_{22F8D5F4-07C7-4498-AB5F-7CFA710333FA}" xr6:coauthVersionLast="47" xr6:coauthVersionMax="47" xr10:uidLastSave="{D5C8E367-153B-4159-90C7-5ECC401C0B82}"/>
  <bookViews>
    <workbookView xWindow="-110" yWindow="-110" windowWidth="19420" windowHeight="10300" xr2:uid="{17FA43AF-E00B-49C0-9955-DB544090F6D5}"/>
  </bookViews>
  <sheets>
    <sheet name="3-12" sheetId="24" r:id="rId1"/>
    <sheet name="3-8" sheetId="23" r:id="rId2"/>
    <sheet name="3-5" sheetId="22" r:id="rId3"/>
    <sheet name="3-1" sheetId="21" r:id="rId4"/>
    <sheet name="2-27" sheetId="20" r:id="rId5"/>
    <sheet name="2-23" sheetId="18" r:id="rId6"/>
    <sheet name="2-20 (2)" sheetId="19" r:id="rId7"/>
    <sheet name="2-20" sheetId="17" r:id="rId8"/>
    <sheet name="2-16" sheetId="16" r:id="rId9"/>
    <sheet name="2-13" sheetId="15" r:id="rId10"/>
    <sheet name="2-9" sheetId="14" r:id="rId11"/>
    <sheet name="2-6" sheetId="13" r:id="rId12"/>
    <sheet name="1-30" sheetId="12" r:id="rId13"/>
    <sheet name="1-23" sheetId="11" r:id="rId14"/>
    <sheet name="1-19" sheetId="10" r:id="rId15"/>
    <sheet name="1-16" sheetId="9" r:id="rId16"/>
    <sheet name="1-9" sheetId="8" r:id="rId17"/>
    <sheet name="1-6" sheetId="7" r:id="rId18"/>
    <sheet name="1-5" sheetId="6" r:id="rId19"/>
    <sheet name="Break" sheetId="5" r:id="rId20"/>
    <sheet name="12-8" sheetId="4" r:id="rId21"/>
    <sheet name="12-5" sheetId="2" r:id="rId22"/>
    <sheet name="12-1" sheetId="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24" l="1"/>
  <c r="G98" i="24"/>
  <c r="F98" i="24"/>
  <c r="H95" i="24"/>
  <c r="G95" i="24"/>
  <c r="F95" i="24"/>
  <c r="H94" i="24"/>
  <c r="G94" i="24"/>
  <c r="F94" i="24"/>
  <c r="H88" i="24"/>
  <c r="F88" i="24"/>
  <c r="D88" i="24"/>
  <c r="G88" i="24" s="1"/>
  <c r="H69" i="24"/>
  <c r="O69" i="24" s="1"/>
  <c r="F69" i="24"/>
  <c r="D69" i="24"/>
  <c r="G69" i="24" s="1"/>
  <c r="H66" i="24"/>
  <c r="F66" i="24"/>
  <c r="O66" i="24" s="1"/>
  <c r="D66" i="24"/>
  <c r="G66" i="24" s="1"/>
  <c r="H80" i="24"/>
  <c r="O80" i="24" s="1"/>
  <c r="F80" i="24"/>
  <c r="D80" i="24"/>
  <c r="G80" i="24" s="1"/>
  <c r="H79" i="24"/>
  <c r="O79" i="24" s="1"/>
  <c r="F79" i="24"/>
  <c r="D79" i="24"/>
  <c r="G79" i="24" s="1"/>
  <c r="H78" i="24"/>
  <c r="O78" i="24" s="1"/>
  <c r="F78" i="24"/>
  <c r="D78" i="24"/>
  <c r="G78" i="24" s="1"/>
  <c r="H77" i="24"/>
  <c r="O77" i="24" s="1"/>
  <c r="F77" i="24"/>
  <c r="D77" i="24"/>
  <c r="G77" i="24" s="1"/>
  <c r="H76" i="24"/>
  <c r="O76" i="24" s="1"/>
  <c r="F76" i="24"/>
  <c r="D76" i="24"/>
  <c r="G76" i="24" s="1"/>
  <c r="H75" i="24"/>
  <c r="O75" i="24" s="1"/>
  <c r="F75" i="24"/>
  <c r="D75" i="24"/>
  <c r="G75" i="24" s="1"/>
  <c r="H73" i="24"/>
  <c r="O73" i="24" s="1"/>
  <c r="F73" i="24"/>
  <c r="D73" i="24"/>
  <c r="G73" i="24" s="1"/>
  <c r="H72" i="24"/>
  <c r="O72" i="24" s="1"/>
  <c r="F72" i="24"/>
  <c r="D72" i="24"/>
  <c r="G72" i="24" s="1"/>
  <c r="H70" i="24"/>
  <c r="O70" i="24" s="1"/>
  <c r="F70" i="24"/>
  <c r="D70" i="24"/>
  <c r="G70" i="24" s="1"/>
  <c r="H68" i="24"/>
  <c r="O68" i="24" s="1"/>
  <c r="F68" i="24"/>
  <c r="D68" i="24"/>
  <c r="G68" i="24" s="1"/>
  <c r="H61" i="24"/>
  <c r="F61" i="24"/>
  <c r="O61" i="24" s="1"/>
  <c r="D61" i="24"/>
  <c r="G61" i="24" s="1"/>
  <c r="H83" i="24"/>
  <c r="O83" i="24" s="1"/>
  <c r="F83" i="24"/>
  <c r="D83" i="24"/>
  <c r="G83" i="24" s="1"/>
  <c r="H82" i="24"/>
  <c r="O82" i="24" s="1"/>
  <c r="F82" i="24"/>
  <c r="D82" i="24"/>
  <c r="G82" i="24" s="1"/>
  <c r="H81" i="24"/>
  <c r="O81" i="24" s="1"/>
  <c r="F81" i="24"/>
  <c r="D81" i="24"/>
  <c r="G81" i="24" s="1"/>
  <c r="H60" i="24"/>
  <c r="F60" i="24"/>
  <c r="O60" i="24" s="1"/>
  <c r="D60" i="24"/>
  <c r="G60" i="24" s="1"/>
  <c r="H58" i="24"/>
  <c r="F58" i="24"/>
  <c r="O58" i="24" s="1"/>
  <c r="D58" i="24"/>
  <c r="G58" i="24" s="1"/>
  <c r="H74" i="24"/>
  <c r="O74" i="24" s="1"/>
  <c r="F74" i="24"/>
  <c r="D74" i="24"/>
  <c r="G74" i="24" s="1"/>
  <c r="H51" i="24"/>
  <c r="F51" i="24"/>
  <c r="O51" i="24" s="1"/>
  <c r="D51" i="24"/>
  <c r="G51" i="24" s="1"/>
  <c r="H53" i="24"/>
  <c r="F53" i="24"/>
  <c r="O53" i="24" s="1"/>
  <c r="D53" i="24"/>
  <c r="G53" i="24" s="1"/>
  <c r="H71" i="24"/>
  <c r="O71" i="24" s="1"/>
  <c r="F71" i="24"/>
  <c r="D71" i="24"/>
  <c r="G71" i="24" s="1"/>
  <c r="H52" i="24"/>
  <c r="F52" i="24"/>
  <c r="O52" i="24" s="1"/>
  <c r="D52" i="24"/>
  <c r="G52" i="24" s="1"/>
  <c r="H67" i="24"/>
  <c r="G67" i="24"/>
  <c r="F67" i="24"/>
  <c r="H93" i="24"/>
  <c r="G93" i="24"/>
  <c r="F93" i="24"/>
  <c r="H91" i="24"/>
  <c r="G91" i="24"/>
  <c r="F91" i="24"/>
  <c r="H50" i="24"/>
  <c r="F50" i="24"/>
  <c r="O50" i="24" s="1"/>
  <c r="D50" i="24"/>
  <c r="G50" i="24" s="1"/>
  <c r="H46" i="24"/>
  <c r="F46" i="24"/>
  <c r="O46" i="24" s="1"/>
  <c r="D46" i="24"/>
  <c r="G46" i="24" s="1"/>
  <c r="H45" i="24"/>
  <c r="F45" i="24"/>
  <c r="O45" i="24" s="1"/>
  <c r="D45" i="24"/>
  <c r="G45" i="24" s="1"/>
  <c r="H44" i="24"/>
  <c r="F44" i="24"/>
  <c r="O44" i="24" s="1"/>
  <c r="D44" i="24"/>
  <c r="G44" i="24" s="1"/>
  <c r="H65" i="24"/>
  <c r="F65" i="24"/>
  <c r="O65" i="24" s="1"/>
  <c r="D65" i="24"/>
  <c r="G65" i="24" s="1"/>
  <c r="H64" i="24"/>
  <c r="F64" i="24"/>
  <c r="O64" i="24" s="1"/>
  <c r="D64" i="24"/>
  <c r="G64" i="24" s="1"/>
  <c r="H42" i="24"/>
  <c r="F42" i="24"/>
  <c r="D42" i="24"/>
  <c r="G42" i="24" s="1"/>
  <c r="H62" i="24"/>
  <c r="F62" i="24"/>
  <c r="O62" i="24" s="1"/>
  <c r="D62" i="24"/>
  <c r="G62" i="24" s="1"/>
  <c r="H59" i="24"/>
  <c r="F59" i="24"/>
  <c r="O59" i="24" s="1"/>
  <c r="D59" i="24"/>
  <c r="G59" i="24" s="1"/>
  <c r="H57" i="24"/>
  <c r="F57" i="24"/>
  <c r="O57" i="24" s="1"/>
  <c r="D57" i="24"/>
  <c r="G57" i="24" s="1"/>
  <c r="H56" i="24"/>
  <c r="F56" i="24"/>
  <c r="O56" i="24" s="1"/>
  <c r="D56" i="24"/>
  <c r="G56" i="24" s="1"/>
  <c r="H55" i="24"/>
  <c r="F55" i="24"/>
  <c r="O55" i="24" s="1"/>
  <c r="D55" i="24"/>
  <c r="G55" i="24" s="1"/>
  <c r="H48" i="24"/>
  <c r="F48" i="24"/>
  <c r="O48" i="24" s="1"/>
  <c r="D48" i="24"/>
  <c r="G48" i="24" s="1"/>
  <c r="H47" i="24"/>
  <c r="F47" i="24"/>
  <c r="O47" i="24" s="1"/>
  <c r="D47" i="24"/>
  <c r="G47" i="24" s="1"/>
  <c r="H54" i="24"/>
  <c r="F54" i="24"/>
  <c r="O54" i="24" s="1"/>
  <c r="D54" i="24"/>
  <c r="G54" i="24" s="1"/>
  <c r="H63" i="24"/>
  <c r="F63" i="24"/>
  <c r="O63" i="24" s="1"/>
  <c r="D63" i="24"/>
  <c r="G63" i="24" s="1"/>
  <c r="H89" i="24"/>
  <c r="G89" i="24"/>
  <c r="F89" i="24"/>
  <c r="H35" i="24"/>
  <c r="F35" i="24"/>
  <c r="D35" i="24"/>
  <c r="G35" i="24" s="1"/>
  <c r="H87" i="24"/>
  <c r="F87" i="24"/>
  <c r="D87" i="24"/>
  <c r="G87" i="24" s="1"/>
  <c r="H86" i="24"/>
  <c r="F86" i="24"/>
  <c r="D86" i="24"/>
  <c r="G86" i="24" s="1"/>
  <c r="H41" i="24"/>
  <c r="F41" i="24"/>
  <c r="D41" i="24"/>
  <c r="G41" i="24" s="1"/>
  <c r="H40" i="24"/>
  <c r="F40" i="24"/>
  <c r="D40" i="24"/>
  <c r="G40" i="24" s="1"/>
  <c r="H49" i="24"/>
  <c r="F49" i="24"/>
  <c r="O49" i="24" s="1"/>
  <c r="D49" i="24"/>
  <c r="G49" i="24" s="1"/>
  <c r="H37" i="24"/>
  <c r="F37" i="24"/>
  <c r="D37" i="24"/>
  <c r="G37" i="24" s="1"/>
  <c r="H36" i="24"/>
  <c r="F36" i="24"/>
  <c r="D36" i="24"/>
  <c r="G36" i="24" s="1"/>
  <c r="H39" i="24"/>
  <c r="F39" i="24"/>
  <c r="D39" i="24"/>
  <c r="G39" i="24" s="1"/>
  <c r="H38" i="24"/>
  <c r="F38" i="24"/>
  <c r="D38" i="24"/>
  <c r="G38" i="24" s="1"/>
  <c r="H33" i="24"/>
  <c r="G33" i="24"/>
  <c r="F33" i="24"/>
  <c r="H30" i="24"/>
  <c r="F30" i="24"/>
  <c r="D30" i="24"/>
  <c r="G30" i="24" s="1"/>
  <c r="H29" i="24"/>
  <c r="F29" i="24"/>
  <c r="D29" i="24"/>
  <c r="G29" i="24" s="1"/>
  <c r="H25" i="24"/>
  <c r="O25" i="24" s="1"/>
  <c r="F25" i="24"/>
  <c r="D25" i="24"/>
  <c r="G25" i="24" s="1"/>
  <c r="H24" i="24"/>
  <c r="O24" i="24" s="1"/>
  <c r="F24" i="24"/>
  <c r="D24" i="24"/>
  <c r="G24" i="24" s="1"/>
  <c r="H10" i="24"/>
  <c r="F10" i="24"/>
  <c r="O10" i="24" s="1"/>
  <c r="D10" i="24"/>
  <c r="G10" i="24" s="1"/>
  <c r="H23" i="24"/>
  <c r="O23" i="24" s="1"/>
  <c r="F23" i="24"/>
  <c r="D23" i="24"/>
  <c r="G23" i="24" s="1"/>
  <c r="H22" i="24"/>
  <c r="O22" i="24" s="1"/>
  <c r="F22" i="24"/>
  <c r="D22" i="24"/>
  <c r="G22" i="24" s="1"/>
  <c r="H21" i="24"/>
  <c r="G21" i="24"/>
  <c r="F21" i="24"/>
  <c r="H15" i="24"/>
  <c r="F15" i="24"/>
  <c r="O15" i="24" s="1"/>
  <c r="D15" i="24"/>
  <c r="G15" i="24" s="1"/>
  <c r="H14" i="24"/>
  <c r="F14" i="24"/>
  <c r="O14" i="24" s="1"/>
  <c r="D14" i="24"/>
  <c r="G14" i="24" s="1"/>
  <c r="H13" i="24"/>
  <c r="F13" i="24"/>
  <c r="O13" i="24" s="1"/>
  <c r="D13" i="24"/>
  <c r="G13" i="24" s="1"/>
  <c r="H12" i="24"/>
  <c r="F12" i="24"/>
  <c r="O12" i="24" s="1"/>
  <c r="D12" i="24"/>
  <c r="G12" i="24" s="1"/>
  <c r="H9" i="24"/>
  <c r="F9" i="24"/>
  <c r="O9" i="24" s="1"/>
  <c r="D9" i="24"/>
  <c r="G9" i="24" s="1"/>
  <c r="H27" i="24"/>
  <c r="G27" i="24"/>
  <c r="F27" i="24"/>
  <c r="H28" i="24"/>
  <c r="F28" i="24"/>
  <c r="D28" i="24"/>
  <c r="G28" i="24" s="1"/>
  <c r="H8" i="24"/>
  <c r="F8" i="24"/>
  <c r="O8" i="24" s="1"/>
  <c r="D8" i="24"/>
  <c r="G8" i="24" s="1"/>
  <c r="H7" i="24"/>
  <c r="F7" i="24"/>
  <c r="O7" i="24" s="1"/>
  <c r="D7" i="24"/>
  <c r="G7" i="24" s="1"/>
  <c r="H19" i="24"/>
  <c r="F19" i="24"/>
  <c r="O19" i="24" s="1"/>
  <c r="D19" i="24"/>
  <c r="G19" i="24" s="1"/>
  <c r="H18" i="24"/>
  <c r="F18" i="24"/>
  <c r="O18" i="24" s="1"/>
  <c r="D18" i="24"/>
  <c r="G18" i="24" s="1"/>
  <c r="H17" i="24"/>
  <c r="F17" i="24"/>
  <c r="O17" i="24" s="1"/>
  <c r="D17" i="24"/>
  <c r="G17" i="24" s="1"/>
  <c r="H16" i="24"/>
  <c r="F16" i="24"/>
  <c r="O16" i="24" s="1"/>
  <c r="D16" i="24"/>
  <c r="G16" i="24" s="1"/>
  <c r="H11" i="24"/>
  <c r="F11" i="24"/>
  <c r="O11" i="24" s="1"/>
  <c r="D11" i="24"/>
  <c r="G11" i="24" s="1"/>
  <c r="H6" i="24"/>
  <c r="G6" i="24"/>
  <c r="F6" i="24"/>
  <c r="H5" i="24"/>
  <c r="G5" i="24"/>
  <c r="F5" i="24"/>
  <c r="H4" i="24"/>
  <c r="F4" i="24"/>
  <c r="D4" i="24"/>
  <c r="G4" i="24" s="1"/>
  <c r="H3" i="24"/>
  <c r="F3" i="24"/>
  <c r="D3" i="24"/>
  <c r="G3" i="24" s="1"/>
  <c r="H2" i="24"/>
  <c r="F2" i="24"/>
  <c r="D2" i="24"/>
  <c r="G2" i="24" s="1"/>
  <c r="H98" i="23"/>
  <c r="G98" i="23"/>
  <c r="F98" i="23"/>
  <c r="H95" i="23"/>
  <c r="G95" i="23"/>
  <c r="F95" i="23"/>
  <c r="H94" i="23"/>
  <c r="G94" i="23"/>
  <c r="F94" i="23"/>
  <c r="H93" i="23"/>
  <c r="F93" i="23"/>
  <c r="D93" i="23"/>
  <c r="G93" i="23" s="1"/>
  <c r="H91" i="23"/>
  <c r="F91" i="23"/>
  <c r="D91" i="23"/>
  <c r="G91" i="23" s="1"/>
  <c r="H90" i="23"/>
  <c r="F90" i="23"/>
  <c r="D90" i="23"/>
  <c r="G90" i="23" s="1"/>
  <c r="H89" i="23"/>
  <c r="F89" i="23"/>
  <c r="D89" i="23"/>
  <c r="G89" i="23" s="1"/>
  <c r="H88" i="23"/>
  <c r="F88" i="23"/>
  <c r="D88" i="23"/>
  <c r="G88" i="23" s="1"/>
  <c r="H87" i="23"/>
  <c r="F87" i="23"/>
  <c r="D87" i="23"/>
  <c r="G87" i="23" s="1"/>
  <c r="H86" i="23"/>
  <c r="F86" i="23"/>
  <c r="D86" i="23"/>
  <c r="G86" i="23" s="1"/>
  <c r="H85" i="23"/>
  <c r="F85" i="23"/>
  <c r="D85" i="23"/>
  <c r="G85" i="23" s="1"/>
  <c r="H84" i="23"/>
  <c r="F84" i="23"/>
  <c r="D84" i="23"/>
  <c r="G84" i="23" s="1"/>
  <c r="H83" i="23"/>
  <c r="F83" i="23"/>
  <c r="D83" i="23"/>
  <c r="G83" i="23" s="1"/>
  <c r="H82" i="23"/>
  <c r="F82" i="23"/>
  <c r="D82" i="23"/>
  <c r="G82" i="23" s="1"/>
  <c r="H92" i="23"/>
  <c r="F92" i="23"/>
  <c r="D92" i="23"/>
  <c r="G92" i="23" s="1"/>
  <c r="H81" i="23"/>
  <c r="F81" i="23"/>
  <c r="D81" i="23"/>
  <c r="G81" i="23" s="1"/>
  <c r="H78" i="23"/>
  <c r="F78" i="23"/>
  <c r="D78" i="23"/>
  <c r="G78" i="23" s="1"/>
  <c r="H77" i="23"/>
  <c r="F77" i="23"/>
  <c r="D77" i="23"/>
  <c r="G77" i="23" s="1"/>
  <c r="H76" i="23"/>
  <c r="F76" i="23"/>
  <c r="D76" i="23"/>
  <c r="G76" i="23" s="1"/>
  <c r="H75" i="23"/>
  <c r="F75" i="23"/>
  <c r="D75" i="23"/>
  <c r="G75" i="23" s="1"/>
  <c r="H74" i="23"/>
  <c r="F74" i="23"/>
  <c r="D74" i="23"/>
  <c r="G74" i="23" s="1"/>
  <c r="H73" i="23"/>
  <c r="F73" i="23"/>
  <c r="D73" i="23"/>
  <c r="G73" i="23" s="1"/>
  <c r="H72" i="23"/>
  <c r="F72" i="23"/>
  <c r="D72" i="23"/>
  <c r="G72" i="23" s="1"/>
  <c r="H71" i="23"/>
  <c r="F71" i="23"/>
  <c r="D71" i="23"/>
  <c r="G71" i="23" s="1"/>
  <c r="H70" i="23"/>
  <c r="F70" i="23"/>
  <c r="D70" i="23"/>
  <c r="G70" i="23" s="1"/>
  <c r="H69" i="23"/>
  <c r="F69" i="23"/>
  <c r="D69" i="23"/>
  <c r="G69" i="23" s="1"/>
  <c r="H68" i="23"/>
  <c r="F68" i="23"/>
  <c r="D68" i="23"/>
  <c r="G68" i="23" s="1"/>
  <c r="H67" i="23"/>
  <c r="G67" i="23"/>
  <c r="F67" i="23"/>
  <c r="H66" i="23"/>
  <c r="G66" i="23"/>
  <c r="F66" i="23"/>
  <c r="H64" i="23"/>
  <c r="G64" i="23"/>
  <c r="F64" i="23"/>
  <c r="H58" i="23"/>
  <c r="F58" i="23"/>
  <c r="D58" i="23"/>
  <c r="G58" i="23" s="1"/>
  <c r="H57" i="23"/>
  <c r="F57" i="23"/>
  <c r="D57" i="23"/>
  <c r="G57" i="23" s="1"/>
  <c r="H56" i="23"/>
  <c r="F56" i="23"/>
  <c r="D56" i="23"/>
  <c r="G56" i="23" s="1"/>
  <c r="H55" i="23"/>
  <c r="F55" i="23"/>
  <c r="D55" i="23"/>
  <c r="G55" i="23" s="1"/>
  <c r="H54" i="23"/>
  <c r="F54" i="23"/>
  <c r="D54" i="23"/>
  <c r="G54" i="23" s="1"/>
  <c r="H53" i="23"/>
  <c r="F53" i="23"/>
  <c r="D53" i="23"/>
  <c r="G53" i="23" s="1"/>
  <c r="H52" i="23"/>
  <c r="F52" i="23"/>
  <c r="D52" i="23"/>
  <c r="G52" i="23" s="1"/>
  <c r="H51" i="23"/>
  <c r="F51" i="23"/>
  <c r="D51" i="23"/>
  <c r="G51" i="23" s="1"/>
  <c r="H50" i="23"/>
  <c r="F50" i="23"/>
  <c r="D50" i="23"/>
  <c r="G50" i="23" s="1"/>
  <c r="H62" i="23"/>
  <c r="F62" i="23"/>
  <c r="D62" i="23"/>
  <c r="G62" i="23" s="1"/>
  <c r="H61" i="23"/>
  <c r="F61" i="23"/>
  <c r="D61" i="23"/>
  <c r="G61" i="23" s="1"/>
  <c r="H49" i="23"/>
  <c r="F49" i="23"/>
  <c r="D49" i="23"/>
  <c r="G49" i="23" s="1"/>
  <c r="H60" i="23"/>
  <c r="F60" i="23"/>
  <c r="D60" i="23"/>
  <c r="G60" i="23" s="1"/>
  <c r="H59" i="23"/>
  <c r="F59" i="23"/>
  <c r="D59" i="23"/>
  <c r="G59" i="23" s="1"/>
  <c r="H45" i="23"/>
  <c r="G45" i="23"/>
  <c r="F45" i="23"/>
  <c r="H43" i="23"/>
  <c r="F43" i="23"/>
  <c r="D43" i="23"/>
  <c r="G43" i="23" s="1"/>
  <c r="H42" i="23"/>
  <c r="F42" i="23"/>
  <c r="D42" i="23"/>
  <c r="G42" i="23" s="1"/>
  <c r="H47" i="23"/>
  <c r="F47" i="23"/>
  <c r="D47" i="23"/>
  <c r="G47" i="23" s="1"/>
  <c r="H41" i="23"/>
  <c r="F41" i="23"/>
  <c r="D41" i="23"/>
  <c r="G41" i="23" s="1"/>
  <c r="H40" i="23"/>
  <c r="F40" i="23"/>
  <c r="D40" i="23"/>
  <c r="G40" i="23" s="1"/>
  <c r="H39" i="23"/>
  <c r="F39" i="23"/>
  <c r="D39" i="23"/>
  <c r="G39" i="23" s="1"/>
  <c r="H38" i="23"/>
  <c r="F38" i="23"/>
  <c r="D38" i="23"/>
  <c r="G38" i="23" s="1"/>
  <c r="H37" i="23"/>
  <c r="F37" i="23"/>
  <c r="D37" i="23"/>
  <c r="G37" i="23" s="1"/>
  <c r="H48" i="23"/>
  <c r="F48" i="23"/>
  <c r="D48" i="23"/>
  <c r="G48" i="23" s="1"/>
  <c r="H36" i="23"/>
  <c r="F36" i="23"/>
  <c r="D36" i="23"/>
  <c r="G36" i="23" s="1"/>
  <c r="H35" i="23"/>
  <c r="F35" i="23"/>
  <c r="D35" i="23"/>
  <c r="G35" i="23" s="1"/>
  <c r="H44" i="23"/>
  <c r="F44" i="23"/>
  <c r="D44" i="23"/>
  <c r="G44" i="23" s="1"/>
  <c r="H33" i="23"/>
  <c r="G33" i="23"/>
  <c r="F33" i="23"/>
  <c r="H31" i="23"/>
  <c r="F31" i="23"/>
  <c r="D31" i="23"/>
  <c r="G31" i="23" s="1"/>
  <c r="H30" i="23"/>
  <c r="F30" i="23"/>
  <c r="D30" i="23"/>
  <c r="G30" i="23" s="1"/>
  <c r="H28" i="23"/>
  <c r="F28" i="23"/>
  <c r="D28" i="23"/>
  <c r="G28" i="23" s="1"/>
  <c r="H27" i="23"/>
  <c r="F27" i="23"/>
  <c r="D27" i="23"/>
  <c r="G27" i="23" s="1"/>
  <c r="H26" i="23"/>
  <c r="F26" i="23"/>
  <c r="D26" i="23"/>
  <c r="G26" i="23" s="1"/>
  <c r="H25" i="23"/>
  <c r="F25" i="23"/>
  <c r="D25" i="23"/>
  <c r="G25" i="23" s="1"/>
  <c r="H24" i="23"/>
  <c r="F24" i="23"/>
  <c r="D24" i="23"/>
  <c r="G24" i="23" s="1"/>
  <c r="H29" i="23"/>
  <c r="F29" i="23"/>
  <c r="D29" i="23"/>
  <c r="G29" i="23" s="1"/>
  <c r="H23" i="23"/>
  <c r="G23" i="23"/>
  <c r="F23" i="23"/>
  <c r="H21" i="23"/>
  <c r="F21" i="23"/>
  <c r="D21" i="23"/>
  <c r="G21" i="23" s="1"/>
  <c r="H20" i="23"/>
  <c r="F20" i="23"/>
  <c r="D20" i="23"/>
  <c r="G20" i="23" s="1"/>
  <c r="H19" i="23"/>
  <c r="F19" i="23"/>
  <c r="D19" i="23"/>
  <c r="G19" i="23" s="1"/>
  <c r="H18" i="23"/>
  <c r="F18" i="23"/>
  <c r="D18" i="23"/>
  <c r="G18" i="23" s="1"/>
  <c r="H17" i="23"/>
  <c r="F17" i="23"/>
  <c r="D17" i="23"/>
  <c r="G17" i="23" s="1"/>
  <c r="H16" i="23"/>
  <c r="G16" i="23"/>
  <c r="F16" i="23"/>
  <c r="H11" i="23"/>
  <c r="F11" i="23"/>
  <c r="D11" i="23"/>
  <c r="G11" i="23" s="1"/>
  <c r="H10" i="23"/>
  <c r="F10" i="23"/>
  <c r="D10" i="23"/>
  <c r="G10" i="23" s="1"/>
  <c r="H9" i="23"/>
  <c r="F9" i="23"/>
  <c r="D9" i="23"/>
  <c r="G9" i="23" s="1"/>
  <c r="H8" i="23"/>
  <c r="F8" i="23"/>
  <c r="D8" i="23"/>
  <c r="G8" i="23" s="1"/>
  <c r="H14" i="23"/>
  <c r="F14" i="23"/>
  <c r="D14" i="23"/>
  <c r="G14" i="23" s="1"/>
  <c r="H13" i="23"/>
  <c r="F13" i="23"/>
  <c r="D13" i="23"/>
  <c r="G13" i="23" s="1"/>
  <c r="H12" i="23"/>
  <c r="F12" i="23"/>
  <c r="D12" i="23"/>
  <c r="G12" i="23" s="1"/>
  <c r="H6" i="23"/>
  <c r="G6" i="23"/>
  <c r="F6" i="23"/>
  <c r="H5" i="23"/>
  <c r="G5" i="23"/>
  <c r="F5" i="23"/>
  <c r="H3" i="23"/>
  <c r="F3" i="23"/>
  <c r="D3" i="23"/>
  <c r="G3" i="23" s="1"/>
  <c r="H2" i="23"/>
  <c r="F2" i="23"/>
  <c r="D2" i="23"/>
  <c r="G2" i="23" s="1"/>
  <c r="H7" i="23"/>
  <c r="F7" i="23"/>
  <c r="D7" i="23"/>
  <c r="G7" i="23" s="1"/>
  <c r="H4" i="23"/>
  <c r="F4" i="23"/>
  <c r="D4" i="23"/>
  <c r="G4" i="23" s="1"/>
  <c r="Q72" i="22"/>
  <c r="P72" i="22"/>
  <c r="O72" i="22"/>
  <c r="N72" i="22"/>
  <c r="M72" i="22"/>
  <c r="H98" i="22"/>
  <c r="G98" i="22"/>
  <c r="L98" i="22" s="1"/>
  <c r="F98" i="22"/>
  <c r="H95" i="22"/>
  <c r="G95" i="22"/>
  <c r="I95" i="22" s="1"/>
  <c r="F95" i="22"/>
  <c r="H94" i="22"/>
  <c r="G94" i="22"/>
  <c r="F94" i="22"/>
  <c r="H93" i="22"/>
  <c r="F93" i="22"/>
  <c r="D93" i="22"/>
  <c r="G93" i="22" s="1"/>
  <c r="H55" i="22"/>
  <c r="F55" i="22"/>
  <c r="O55" i="22" s="1"/>
  <c r="D55" i="22"/>
  <c r="G55" i="22" s="1"/>
  <c r="H73" i="22"/>
  <c r="F73" i="22"/>
  <c r="D73" i="22"/>
  <c r="G73" i="22" s="1"/>
  <c r="J73" i="22" s="1"/>
  <c r="N73" i="22" s="1"/>
  <c r="H72" i="22"/>
  <c r="F72" i="22"/>
  <c r="D72" i="22"/>
  <c r="G72" i="22" s="1"/>
  <c r="H69" i="22"/>
  <c r="F69" i="22"/>
  <c r="D69" i="22"/>
  <c r="G69" i="22" s="1"/>
  <c r="P69" i="22" s="1"/>
  <c r="H68" i="22"/>
  <c r="F68" i="22"/>
  <c r="D68" i="22"/>
  <c r="G68" i="22" s="1"/>
  <c r="P68" i="22" s="1"/>
  <c r="H85" i="22"/>
  <c r="O85" i="22" s="1"/>
  <c r="F85" i="22"/>
  <c r="D85" i="22"/>
  <c r="G85" i="22" s="1"/>
  <c r="L85" i="22" s="1"/>
  <c r="H84" i="22"/>
  <c r="O84" i="22" s="1"/>
  <c r="F84" i="22"/>
  <c r="D84" i="22"/>
  <c r="G84" i="22" s="1"/>
  <c r="H83" i="22"/>
  <c r="P83" i="22" s="1"/>
  <c r="F83" i="22"/>
  <c r="D83" i="22"/>
  <c r="G83" i="22" s="1"/>
  <c r="H82" i="22"/>
  <c r="F82" i="22"/>
  <c r="D82" i="22"/>
  <c r="G82" i="22" s="1"/>
  <c r="S82" i="22" s="1"/>
  <c r="H81" i="22"/>
  <c r="F81" i="22"/>
  <c r="D81" i="22"/>
  <c r="G81" i="22" s="1"/>
  <c r="S81" i="22" s="1"/>
  <c r="H50" i="22"/>
  <c r="F50" i="22"/>
  <c r="O50" i="22" s="1"/>
  <c r="D50" i="22"/>
  <c r="G50" i="22" s="1"/>
  <c r="H41" i="22"/>
  <c r="F41" i="22"/>
  <c r="D41" i="22"/>
  <c r="G41" i="22" s="1"/>
  <c r="H71" i="22"/>
  <c r="F71" i="22"/>
  <c r="D71" i="22"/>
  <c r="G71" i="22" s="1"/>
  <c r="P71" i="22" s="1"/>
  <c r="H70" i="22"/>
  <c r="F70" i="22"/>
  <c r="D70" i="22"/>
  <c r="G70" i="22" s="1"/>
  <c r="P70" i="22" s="1"/>
  <c r="H52" i="22"/>
  <c r="F52" i="22"/>
  <c r="O52" i="22" s="1"/>
  <c r="D52" i="22"/>
  <c r="G52" i="22" s="1"/>
  <c r="L52" i="22" s="1"/>
  <c r="H53" i="22"/>
  <c r="F53" i="22"/>
  <c r="O53" i="22" s="1"/>
  <c r="D53" i="22"/>
  <c r="G53" i="22" s="1"/>
  <c r="H51" i="22"/>
  <c r="F51" i="22"/>
  <c r="O51" i="22" s="1"/>
  <c r="D51" i="22"/>
  <c r="G51" i="22" s="1"/>
  <c r="H49" i="22"/>
  <c r="F49" i="22"/>
  <c r="O49" i="22" s="1"/>
  <c r="D49" i="22"/>
  <c r="G49" i="22" s="1"/>
  <c r="H40" i="22"/>
  <c r="F40" i="22"/>
  <c r="D40" i="22"/>
  <c r="G40" i="22" s="1"/>
  <c r="H39" i="22"/>
  <c r="F39" i="22"/>
  <c r="D39" i="22"/>
  <c r="G39" i="22" s="1"/>
  <c r="J39" i="22" s="1"/>
  <c r="H37" i="22"/>
  <c r="F37" i="22"/>
  <c r="D37" i="22"/>
  <c r="G37" i="22" s="1"/>
  <c r="H35" i="22"/>
  <c r="F35" i="22"/>
  <c r="D35" i="22"/>
  <c r="G35" i="22" s="1"/>
  <c r="H36" i="22"/>
  <c r="F36" i="22"/>
  <c r="D36" i="22"/>
  <c r="G36" i="22" s="1"/>
  <c r="H67" i="22"/>
  <c r="G67" i="22"/>
  <c r="L67" i="22" s="1"/>
  <c r="F67" i="22"/>
  <c r="H66" i="22"/>
  <c r="G66" i="22"/>
  <c r="K66" i="22" s="1"/>
  <c r="F66" i="22"/>
  <c r="H92" i="22"/>
  <c r="F92" i="22"/>
  <c r="D92" i="22"/>
  <c r="G92" i="22" s="1"/>
  <c r="J92" i="22" s="1"/>
  <c r="R92" i="22" s="1"/>
  <c r="H78" i="22"/>
  <c r="F78" i="22"/>
  <c r="D78" i="22"/>
  <c r="G78" i="22" s="1"/>
  <c r="I78" i="22" s="1"/>
  <c r="H77" i="22"/>
  <c r="F77" i="22"/>
  <c r="D77" i="22"/>
  <c r="G77" i="22" s="1"/>
  <c r="P77" i="22" s="1"/>
  <c r="H76" i="22"/>
  <c r="F76" i="22"/>
  <c r="D76" i="22"/>
  <c r="G76" i="22" s="1"/>
  <c r="J76" i="22" s="1"/>
  <c r="N76" i="22" s="1"/>
  <c r="H75" i="22"/>
  <c r="F75" i="22"/>
  <c r="D75" i="22"/>
  <c r="G75" i="22" s="1"/>
  <c r="I75" i="22" s="1"/>
  <c r="H74" i="22"/>
  <c r="F74" i="22"/>
  <c r="D74" i="22"/>
  <c r="G74" i="22" s="1"/>
  <c r="P74" i="22" s="1"/>
  <c r="H91" i="22"/>
  <c r="P91" i="22" s="1"/>
  <c r="F91" i="22"/>
  <c r="D91" i="22"/>
  <c r="G91" i="22" s="1"/>
  <c r="J91" i="22" s="1"/>
  <c r="H90" i="22"/>
  <c r="O90" i="22" s="1"/>
  <c r="F90" i="22"/>
  <c r="D90" i="22"/>
  <c r="G90" i="22" s="1"/>
  <c r="H88" i="22"/>
  <c r="P88" i="22" s="1"/>
  <c r="F88" i="22"/>
  <c r="D88" i="22"/>
  <c r="G88" i="22" s="1"/>
  <c r="H89" i="22"/>
  <c r="P89" i="22" s="1"/>
  <c r="F89" i="22"/>
  <c r="D89" i="22"/>
  <c r="G89" i="22" s="1"/>
  <c r="K89" i="22" s="1"/>
  <c r="N89" i="22" s="1"/>
  <c r="H87" i="22"/>
  <c r="O87" i="22" s="1"/>
  <c r="F87" i="22"/>
  <c r="D87" i="22"/>
  <c r="G87" i="22" s="1"/>
  <c r="H86" i="22"/>
  <c r="P86" i="22" s="1"/>
  <c r="F86" i="22"/>
  <c r="D86" i="22"/>
  <c r="G86" i="22" s="1"/>
  <c r="H64" i="22"/>
  <c r="G64" i="22"/>
  <c r="K64" i="22" s="1"/>
  <c r="F64" i="22"/>
  <c r="H62" i="22"/>
  <c r="F62" i="22"/>
  <c r="O62" i="22" s="1"/>
  <c r="D62" i="22"/>
  <c r="G62" i="22" s="1"/>
  <c r="H61" i="22"/>
  <c r="F61" i="22"/>
  <c r="O61" i="22" s="1"/>
  <c r="D61" i="22"/>
  <c r="G61" i="22" s="1"/>
  <c r="I61" i="22" s="1"/>
  <c r="H59" i="22"/>
  <c r="F59" i="22"/>
  <c r="O59" i="22" s="1"/>
  <c r="D59" i="22"/>
  <c r="G59" i="22" s="1"/>
  <c r="J59" i="22" s="1"/>
  <c r="H58" i="22"/>
  <c r="F58" i="22"/>
  <c r="O58" i="22" s="1"/>
  <c r="D58" i="22"/>
  <c r="G58" i="22" s="1"/>
  <c r="I58" i="22" s="1"/>
  <c r="H56" i="22"/>
  <c r="F56" i="22"/>
  <c r="O56" i="22" s="1"/>
  <c r="D56" i="22"/>
  <c r="G56" i="22" s="1"/>
  <c r="J56" i="22" s="1"/>
  <c r="H38" i="22"/>
  <c r="F38" i="22"/>
  <c r="D38" i="22"/>
  <c r="G38" i="22" s="1"/>
  <c r="H57" i="22"/>
  <c r="F57" i="22"/>
  <c r="O57" i="22" s="1"/>
  <c r="D57" i="22"/>
  <c r="G57" i="22" s="1"/>
  <c r="J57" i="22" s="1"/>
  <c r="H54" i="22"/>
  <c r="F54" i="22"/>
  <c r="O54" i="22" s="1"/>
  <c r="D54" i="22"/>
  <c r="G54" i="22" s="1"/>
  <c r="I54" i="22" s="1"/>
  <c r="H47" i="22"/>
  <c r="G47" i="22"/>
  <c r="I47" i="22" s="1"/>
  <c r="F47" i="22"/>
  <c r="H46" i="22"/>
  <c r="F46" i="22"/>
  <c r="D46" i="22"/>
  <c r="G46" i="22" s="1"/>
  <c r="H45" i="22"/>
  <c r="F45" i="22"/>
  <c r="D45" i="22"/>
  <c r="G45" i="22" s="1"/>
  <c r="H44" i="22"/>
  <c r="F44" i="22"/>
  <c r="D44" i="22"/>
  <c r="G44" i="22" s="1"/>
  <c r="H60" i="22"/>
  <c r="F60" i="22"/>
  <c r="O60" i="22" s="1"/>
  <c r="D60" i="22"/>
  <c r="G60" i="22" s="1"/>
  <c r="L60" i="22" s="1"/>
  <c r="H43" i="22"/>
  <c r="F43" i="22"/>
  <c r="D43" i="22"/>
  <c r="G43" i="22" s="1"/>
  <c r="L43" i="22" s="1"/>
  <c r="H42" i="22"/>
  <c r="F42" i="22"/>
  <c r="D42" i="22"/>
  <c r="G42" i="22" s="1"/>
  <c r="J42" i="22" s="1"/>
  <c r="H33" i="22"/>
  <c r="G33" i="22"/>
  <c r="F33" i="22"/>
  <c r="H31" i="22"/>
  <c r="F31" i="22"/>
  <c r="D31" i="22"/>
  <c r="G31" i="22" s="1"/>
  <c r="H30" i="22"/>
  <c r="F30" i="22"/>
  <c r="D30" i="22"/>
  <c r="G30" i="22" s="1"/>
  <c r="J30" i="22" s="1"/>
  <c r="H29" i="22"/>
  <c r="P29" i="22" s="1"/>
  <c r="F29" i="22"/>
  <c r="D29" i="22"/>
  <c r="G29" i="22" s="1"/>
  <c r="H26" i="22"/>
  <c r="P26" i="22" s="1"/>
  <c r="F26" i="22"/>
  <c r="D26" i="22"/>
  <c r="G26" i="22" s="1"/>
  <c r="H25" i="22"/>
  <c r="P25" i="22" s="1"/>
  <c r="F25" i="22"/>
  <c r="D25" i="22"/>
  <c r="G25" i="22" s="1"/>
  <c r="J25" i="22" s="1"/>
  <c r="H5" i="22"/>
  <c r="F5" i="22"/>
  <c r="D5" i="22"/>
  <c r="G5" i="22" s="1"/>
  <c r="H17" i="22"/>
  <c r="F17" i="22"/>
  <c r="D17" i="22"/>
  <c r="G17" i="22" s="1"/>
  <c r="P17" i="22" s="1"/>
  <c r="H10" i="22"/>
  <c r="F10" i="22"/>
  <c r="O10" i="22" s="1"/>
  <c r="D10" i="22"/>
  <c r="G10" i="22" s="1"/>
  <c r="I10" i="22" s="1"/>
  <c r="H4" i="22"/>
  <c r="F4" i="22"/>
  <c r="D4" i="22"/>
  <c r="G4" i="22" s="1"/>
  <c r="H2" i="22"/>
  <c r="F2" i="22"/>
  <c r="D2" i="22"/>
  <c r="G2" i="22" s="1"/>
  <c r="H23" i="22"/>
  <c r="G23" i="22"/>
  <c r="J23" i="22" s="1"/>
  <c r="F23" i="22"/>
  <c r="H24" i="22"/>
  <c r="F24" i="22"/>
  <c r="D24" i="22"/>
  <c r="G24" i="22" s="1"/>
  <c r="S24" i="22" s="1"/>
  <c r="H27" i="22"/>
  <c r="P27" i="22" s="1"/>
  <c r="F27" i="22"/>
  <c r="D27" i="22"/>
  <c r="G27" i="22" s="1"/>
  <c r="L27" i="22" s="1"/>
  <c r="H21" i="22"/>
  <c r="F21" i="22"/>
  <c r="D21" i="22"/>
  <c r="G21" i="22" s="1"/>
  <c r="P21" i="22" s="1"/>
  <c r="H28" i="22"/>
  <c r="P28" i="22" s="1"/>
  <c r="F28" i="22"/>
  <c r="D28" i="22"/>
  <c r="G28" i="22" s="1"/>
  <c r="H19" i="22"/>
  <c r="F19" i="22"/>
  <c r="D19" i="22"/>
  <c r="G19" i="22" s="1"/>
  <c r="L19" i="22" s="1"/>
  <c r="H13" i="22"/>
  <c r="F13" i="22"/>
  <c r="O13" i="22" s="1"/>
  <c r="D13" i="22"/>
  <c r="G13" i="22" s="1"/>
  <c r="H18" i="22"/>
  <c r="F18" i="22"/>
  <c r="D18" i="22"/>
  <c r="G18" i="22" s="1"/>
  <c r="P18" i="22" s="1"/>
  <c r="H11" i="22"/>
  <c r="F11" i="22"/>
  <c r="O11" i="22" s="1"/>
  <c r="D11" i="22"/>
  <c r="G11" i="22" s="1"/>
  <c r="L11" i="22" s="1"/>
  <c r="H16" i="22"/>
  <c r="G16" i="22"/>
  <c r="L16" i="22" s="1"/>
  <c r="F16" i="22"/>
  <c r="H14" i="22"/>
  <c r="F14" i="22"/>
  <c r="O14" i="22" s="1"/>
  <c r="D14" i="22"/>
  <c r="G14" i="22" s="1"/>
  <c r="H12" i="22"/>
  <c r="F12" i="22"/>
  <c r="O12" i="22" s="1"/>
  <c r="D12" i="22"/>
  <c r="G12" i="22" s="1"/>
  <c r="H20" i="22"/>
  <c r="F20" i="22"/>
  <c r="D20" i="22"/>
  <c r="G20" i="22" s="1"/>
  <c r="P20" i="22" s="1"/>
  <c r="H9" i="22"/>
  <c r="F9" i="22"/>
  <c r="O9" i="22" s="1"/>
  <c r="D9" i="22"/>
  <c r="G9" i="22" s="1"/>
  <c r="H8" i="22"/>
  <c r="F8" i="22"/>
  <c r="O8" i="22" s="1"/>
  <c r="D8" i="22"/>
  <c r="G8" i="22" s="1"/>
  <c r="H7" i="22"/>
  <c r="G7" i="22"/>
  <c r="K7" i="22" s="1"/>
  <c r="F7" i="22"/>
  <c r="H6" i="22"/>
  <c r="G6" i="22"/>
  <c r="L6" i="22" s="1"/>
  <c r="F6" i="22"/>
  <c r="H3" i="22"/>
  <c r="F3" i="22"/>
  <c r="D3" i="22"/>
  <c r="G3" i="22" s="1"/>
  <c r="L3" i="22" s="1"/>
  <c r="H98" i="21"/>
  <c r="G98" i="21"/>
  <c r="F98" i="21"/>
  <c r="H95" i="21"/>
  <c r="G95" i="21"/>
  <c r="F95" i="21"/>
  <c r="H94" i="21"/>
  <c r="G94" i="21"/>
  <c r="F94" i="21"/>
  <c r="H91" i="21"/>
  <c r="F91" i="21"/>
  <c r="D91" i="21"/>
  <c r="G91" i="21" s="1"/>
  <c r="H90" i="21"/>
  <c r="F90" i="21"/>
  <c r="D90" i="21"/>
  <c r="G90" i="21" s="1"/>
  <c r="H52" i="21"/>
  <c r="G52" i="21"/>
  <c r="F52" i="21"/>
  <c r="H48" i="21"/>
  <c r="F48" i="21"/>
  <c r="D48" i="21"/>
  <c r="G48" i="21" s="1"/>
  <c r="H63" i="21"/>
  <c r="F63" i="21"/>
  <c r="D63" i="21"/>
  <c r="G63" i="21" s="1"/>
  <c r="H62" i="21"/>
  <c r="F62" i="21"/>
  <c r="D62" i="21"/>
  <c r="G62" i="21" s="1"/>
  <c r="H61" i="21"/>
  <c r="F61" i="21"/>
  <c r="D61" i="21"/>
  <c r="G61" i="21" s="1"/>
  <c r="H60" i="21"/>
  <c r="F60" i="21"/>
  <c r="D60" i="21"/>
  <c r="G60" i="21" s="1"/>
  <c r="H59" i="21"/>
  <c r="F59" i="21"/>
  <c r="D59" i="21"/>
  <c r="G59" i="21" s="1"/>
  <c r="H58" i="21"/>
  <c r="F58" i="21"/>
  <c r="D58" i="21"/>
  <c r="G58" i="21" s="1"/>
  <c r="H57" i="21"/>
  <c r="F57" i="21"/>
  <c r="D57" i="21"/>
  <c r="G57" i="21" s="1"/>
  <c r="H56" i="21"/>
  <c r="F56" i="21"/>
  <c r="D56" i="21"/>
  <c r="G56" i="21" s="1"/>
  <c r="H55" i="21"/>
  <c r="F55" i="21"/>
  <c r="D55" i="21"/>
  <c r="G55" i="21" s="1"/>
  <c r="H54" i="21"/>
  <c r="F54" i="21"/>
  <c r="D54" i="21"/>
  <c r="G54" i="21" s="1"/>
  <c r="H53" i="21"/>
  <c r="F53" i="21"/>
  <c r="D53" i="21"/>
  <c r="G53" i="21" s="1"/>
  <c r="H89" i="21"/>
  <c r="F89" i="21"/>
  <c r="D89" i="21"/>
  <c r="G89" i="21" s="1"/>
  <c r="H88" i="21"/>
  <c r="F88" i="21"/>
  <c r="D88" i="21"/>
  <c r="G88" i="21" s="1"/>
  <c r="H87" i="21"/>
  <c r="F87" i="21"/>
  <c r="D87" i="21"/>
  <c r="G87" i="21" s="1"/>
  <c r="H86" i="21"/>
  <c r="F86" i="21"/>
  <c r="D86" i="21"/>
  <c r="G86" i="21" s="1"/>
  <c r="H85" i="21"/>
  <c r="F85" i="21"/>
  <c r="D85" i="21"/>
  <c r="G85" i="21" s="1"/>
  <c r="H84" i="21"/>
  <c r="F84" i="21"/>
  <c r="D84" i="21"/>
  <c r="G84" i="21" s="1"/>
  <c r="H83" i="21"/>
  <c r="F83" i="21"/>
  <c r="D83" i="21"/>
  <c r="G83" i="21" s="1"/>
  <c r="H82" i="21"/>
  <c r="F82" i="21"/>
  <c r="D82" i="21"/>
  <c r="G82" i="21" s="1"/>
  <c r="H81" i="21"/>
  <c r="F81" i="21"/>
  <c r="D81" i="21"/>
  <c r="G81" i="21" s="1"/>
  <c r="H80" i="21"/>
  <c r="F80" i="21"/>
  <c r="D80" i="21"/>
  <c r="G80" i="21" s="1"/>
  <c r="H67" i="21"/>
  <c r="G67" i="21"/>
  <c r="F67" i="21"/>
  <c r="H66" i="21"/>
  <c r="G66" i="21"/>
  <c r="F66" i="21"/>
  <c r="H93" i="21"/>
  <c r="G93" i="21"/>
  <c r="F93" i="21"/>
  <c r="H43" i="21"/>
  <c r="F43" i="21"/>
  <c r="D43" i="21"/>
  <c r="G43" i="21" s="1"/>
  <c r="H44" i="21"/>
  <c r="F44" i="21"/>
  <c r="D44" i="21"/>
  <c r="G44" i="21" s="1"/>
  <c r="H64" i="21"/>
  <c r="F64" i="21"/>
  <c r="D64" i="21"/>
  <c r="G64" i="21" s="1"/>
  <c r="H50" i="21"/>
  <c r="F50" i="21"/>
  <c r="D50" i="21"/>
  <c r="G50" i="21" s="1"/>
  <c r="H49" i="21"/>
  <c r="F49" i="21"/>
  <c r="D49" i="21"/>
  <c r="G49" i="21" s="1"/>
  <c r="H47" i="21"/>
  <c r="F47" i="21"/>
  <c r="D47" i="21"/>
  <c r="G47" i="21" s="1"/>
  <c r="H79" i="21"/>
  <c r="F79" i="21"/>
  <c r="D79" i="21"/>
  <c r="G79" i="21" s="1"/>
  <c r="H78" i="21"/>
  <c r="F78" i="21"/>
  <c r="D78" i="21"/>
  <c r="G78" i="21" s="1"/>
  <c r="H77" i="21"/>
  <c r="F77" i="21"/>
  <c r="D77" i="21"/>
  <c r="G77" i="21" s="1"/>
  <c r="H76" i="21"/>
  <c r="F76" i="21"/>
  <c r="D76" i="21"/>
  <c r="G76" i="21" s="1"/>
  <c r="H75" i="21"/>
  <c r="F75" i="21"/>
  <c r="D75" i="21"/>
  <c r="G75" i="21" s="1"/>
  <c r="H74" i="21"/>
  <c r="F74" i="21"/>
  <c r="D74" i="21"/>
  <c r="G74" i="21" s="1"/>
  <c r="H73" i="21"/>
  <c r="F73" i="21"/>
  <c r="D73" i="21"/>
  <c r="G73" i="21" s="1"/>
  <c r="H41" i="21"/>
  <c r="G41" i="21"/>
  <c r="F41" i="21"/>
  <c r="H39" i="21"/>
  <c r="F39" i="21"/>
  <c r="O39" i="21" s="1"/>
  <c r="D39" i="21"/>
  <c r="G39" i="21" s="1"/>
  <c r="H40" i="21"/>
  <c r="F40" i="21"/>
  <c r="O40" i="21" s="1"/>
  <c r="D40" i="21"/>
  <c r="G40" i="21" s="1"/>
  <c r="H38" i="21"/>
  <c r="F38" i="21"/>
  <c r="O38" i="21" s="1"/>
  <c r="D38" i="21"/>
  <c r="G38" i="21" s="1"/>
  <c r="H46" i="21"/>
  <c r="F46" i="21"/>
  <c r="D46" i="21"/>
  <c r="G46" i="21" s="1"/>
  <c r="H45" i="21"/>
  <c r="F45" i="21"/>
  <c r="D45" i="21"/>
  <c r="G45" i="21" s="1"/>
  <c r="H37" i="21"/>
  <c r="F37" i="21"/>
  <c r="O37" i="21" s="1"/>
  <c r="D37" i="21"/>
  <c r="G37" i="21" s="1"/>
  <c r="H36" i="21"/>
  <c r="F36" i="21"/>
  <c r="O36" i="21" s="1"/>
  <c r="D36" i="21"/>
  <c r="G36" i="21" s="1"/>
  <c r="H35" i="21"/>
  <c r="F35" i="21"/>
  <c r="O35" i="21" s="1"/>
  <c r="D35" i="21"/>
  <c r="G35" i="21" s="1"/>
  <c r="H72" i="21"/>
  <c r="F72" i="21"/>
  <c r="D72" i="21"/>
  <c r="G72" i="21" s="1"/>
  <c r="H71" i="21"/>
  <c r="F71" i="21"/>
  <c r="D71" i="21"/>
  <c r="G71" i="21" s="1"/>
  <c r="H70" i="21"/>
  <c r="F70" i="21"/>
  <c r="D70" i="21"/>
  <c r="G70" i="21" s="1"/>
  <c r="H69" i="21"/>
  <c r="F69" i="21"/>
  <c r="D69" i="21"/>
  <c r="G69" i="21" s="1"/>
  <c r="H68" i="21"/>
  <c r="F68" i="21"/>
  <c r="D68" i="21"/>
  <c r="G68" i="21" s="1"/>
  <c r="H33" i="21"/>
  <c r="G33" i="21"/>
  <c r="F33" i="21"/>
  <c r="H31" i="21"/>
  <c r="F31" i="21"/>
  <c r="D31" i="21"/>
  <c r="G31" i="21" s="1"/>
  <c r="H30" i="21"/>
  <c r="F30" i="21"/>
  <c r="D30" i="21"/>
  <c r="G30" i="21" s="1"/>
  <c r="H21" i="21"/>
  <c r="G21" i="21"/>
  <c r="F21" i="21"/>
  <c r="H17" i="21"/>
  <c r="F17" i="21"/>
  <c r="D17" i="21"/>
  <c r="G17" i="21" s="1"/>
  <c r="H16" i="21"/>
  <c r="F16" i="21"/>
  <c r="D16" i="21"/>
  <c r="G16" i="21" s="1"/>
  <c r="H15" i="21"/>
  <c r="F15" i="21"/>
  <c r="D15" i="21"/>
  <c r="G15" i="21" s="1"/>
  <c r="H14" i="21"/>
  <c r="F14" i="21"/>
  <c r="D14" i="21"/>
  <c r="G14" i="21" s="1"/>
  <c r="H13" i="21"/>
  <c r="F13" i="21"/>
  <c r="D13" i="21"/>
  <c r="G13" i="21" s="1"/>
  <c r="H29" i="21"/>
  <c r="F29" i="21"/>
  <c r="D29" i="21"/>
  <c r="G29" i="21" s="1"/>
  <c r="H18" i="21"/>
  <c r="F18" i="21"/>
  <c r="D18" i="21"/>
  <c r="G18" i="21" s="1"/>
  <c r="H28" i="21"/>
  <c r="F28" i="21"/>
  <c r="D28" i="21"/>
  <c r="G28" i="21" s="1"/>
  <c r="H27" i="21"/>
  <c r="F27" i="21"/>
  <c r="D27" i="21"/>
  <c r="G27" i="21" s="1"/>
  <c r="H19" i="21"/>
  <c r="F19" i="21"/>
  <c r="D19" i="21"/>
  <c r="G19" i="21" s="1"/>
  <c r="H11" i="21"/>
  <c r="G11" i="21"/>
  <c r="F11" i="21"/>
  <c r="H9" i="21"/>
  <c r="F9" i="21"/>
  <c r="D9" i="21"/>
  <c r="G9" i="21" s="1"/>
  <c r="H8" i="21"/>
  <c r="F8" i="21"/>
  <c r="D8" i="21"/>
  <c r="G8" i="21" s="1"/>
  <c r="H12" i="21"/>
  <c r="F12" i="21"/>
  <c r="D12" i="21"/>
  <c r="G12" i="21" s="1"/>
  <c r="H7" i="21"/>
  <c r="F7" i="21"/>
  <c r="D7" i="21"/>
  <c r="G7" i="21" s="1"/>
  <c r="H26" i="21"/>
  <c r="F26" i="21"/>
  <c r="D26" i="21"/>
  <c r="G26" i="21" s="1"/>
  <c r="H25" i="21"/>
  <c r="F25" i="21"/>
  <c r="D25" i="21"/>
  <c r="G25" i="21" s="1"/>
  <c r="H24" i="21"/>
  <c r="F24" i="21"/>
  <c r="D24" i="21"/>
  <c r="G24" i="21" s="1"/>
  <c r="H6" i="21"/>
  <c r="F6" i="21"/>
  <c r="R6" i="21" s="1"/>
  <c r="D6" i="21"/>
  <c r="G6" i="21" s="1"/>
  <c r="H5" i="21"/>
  <c r="F5" i="21"/>
  <c r="R5" i="21" s="1"/>
  <c r="D5" i="21"/>
  <c r="G5" i="21" s="1"/>
  <c r="H4" i="21"/>
  <c r="G4" i="21"/>
  <c r="F4" i="21"/>
  <c r="H3" i="21"/>
  <c r="G3" i="21"/>
  <c r="F3" i="21"/>
  <c r="H23" i="21"/>
  <c r="F23" i="21"/>
  <c r="D23" i="21"/>
  <c r="G23" i="21" s="1"/>
  <c r="H2" i="21"/>
  <c r="F2" i="21"/>
  <c r="O2" i="21" s="1"/>
  <c r="D2" i="21"/>
  <c r="G2" i="21" s="1"/>
  <c r="H22" i="21"/>
  <c r="F22" i="21"/>
  <c r="D22" i="21"/>
  <c r="G22" i="21" s="1"/>
  <c r="H98" i="20"/>
  <c r="G98" i="20"/>
  <c r="F98" i="20"/>
  <c r="H95" i="20"/>
  <c r="G95" i="20"/>
  <c r="F95" i="20"/>
  <c r="H93" i="20"/>
  <c r="F93" i="20"/>
  <c r="D93" i="20"/>
  <c r="G93" i="20" s="1"/>
  <c r="H92" i="20"/>
  <c r="F92" i="20"/>
  <c r="D92" i="20"/>
  <c r="G92" i="20" s="1"/>
  <c r="H66" i="20"/>
  <c r="G66" i="20"/>
  <c r="F66" i="20"/>
  <c r="H94" i="20"/>
  <c r="G94" i="20"/>
  <c r="F94" i="20"/>
  <c r="H73" i="20"/>
  <c r="F73" i="20"/>
  <c r="Q73" i="20" s="1"/>
  <c r="D73" i="20"/>
  <c r="G73" i="20" s="1"/>
  <c r="H72" i="20"/>
  <c r="F72" i="20"/>
  <c r="Q72" i="20" s="1"/>
  <c r="D72" i="20"/>
  <c r="G72" i="20" s="1"/>
  <c r="H71" i="20"/>
  <c r="F71" i="20"/>
  <c r="Q71" i="20" s="1"/>
  <c r="D71" i="20"/>
  <c r="G71" i="20" s="1"/>
  <c r="H70" i="20"/>
  <c r="F70" i="20"/>
  <c r="Q70" i="20" s="1"/>
  <c r="D70" i="20"/>
  <c r="G70" i="20" s="1"/>
  <c r="H69" i="20"/>
  <c r="F69" i="20"/>
  <c r="Q69" i="20" s="1"/>
  <c r="D69" i="20"/>
  <c r="G69" i="20" s="1"/>
  <c r="H52" i="20"/>
  <c r="F52" i="20"/>
  <c r="O52" i="20" s="1"/>
  <c r="P52" i="20" s="1"/>
  <c r="D52" i="20"/>
  <c r="G52" i="20" s="1"/>
  <c r="H62" i="20"/>
  <c r="F62" i="20"/>
  <c r="D62" i="20"/>
  <c r="G62" i="20" s="1"/>
  <c r="H51" i="20"/>
  <c r="F51" i="20"/>
  <c r="O51" i="20" s="1"/>
  <c r="P51" i="20" s="1"/>
  <c r="D51" i="20"/>
  <c r="G51" i="20" s="1"/>
  <c r="H54" i="20"/>
  <c r="F54" i="20"/>
  <c r="O54" i="20" s="1"/>
  <c r="P54" i="20" s="1"/>
  <c r="D54" i="20"/>
  <c r="G54" i="20" s="1"/>
  <c r="H68" i="20"/>
  <c r="F68" i="20"/>
  <c r="Q68" i="20" s="1"/>
  <c r="D68" i="20"/>
  <c r="G68" i="20" s="1"/>
  <c r="H53" i="20"/>
  <c r="F53" i="20"/>
  <c r="O53" i="20" s="1"/>
  <c r="P53" i="20" s="1"/>
  <c r="D53" i="20"/>
  <c r="G53" i="20" s="1"/>
  <c r="H50" i="20"/>
  <c r="F50" i="20"/>
  <c r="O50" i="20" s="1"/>
  <c r="P50" i="20" s="1"/>
  <c r="D50" i="20"/>
  <c r="G50" i="20" s="1"/>
  <c r="H56" i="20"/>
  <c r="F56" i="20"/>
  <c r="O56" i="20" s="1"/>
  <c r="P56" i="20" s="1"/>
  <c r="D56" i="20"/>
  <c r="G56" i="20" s="1"/>
  <c r="H39" i="20"/>
  <c r="F39" i="20"/>
  <c r="O39" i="20" s="1"/>
  <c r="D39" i="20"/>
  <c r="G39" i="20" s="1"/>
  <c r="H38" i="20"/>
  <c r="F38" i="20"/>
  <c r="O38" i="20" s="1"/>
  <c r="D38" i="20"/>
  <c r="G38" i="20" s="1"/>
  <c r="H37" i="20"/>
  <c r="F37" i="20"/>
  <c r="O37" i="20" s="1"/>
  <c r="D37" i="20"/>
  <c r="G37" i="20" s="1"/>
  <c r="H36" i="20"/>
  <c r="F36" i="20"/>
  <c r="O36" i="20" s="1"/>
  <c r="D36" i="20"/>
  <c r="G36" i="20" s="1"/>
  <c r="H91" i="20"/>
  <c r="G91" i="20"/>
  <c r="F91" i="20"/>
  <c r="H76" i="20"/>
  <c r="F76" i="20"/>
  <c r="Q76" i="20" s="1"/>
  <c r="D76" i="20"/>
  <c r="G76" i="20" s="1"/>
  <c r="H75" i="20"/>
  <c r="F75" i="20"/>
  <c r="Q75" i="20" s="1"/>
  <c r="D75" i="20"/>
  <c r="G75" i="20" s="1"/>
  <c r="H74" i="20"/>
  <c r="F74" i="20"/>
  <c r="Q74" i="20" s="1"/>
  <c r="D74" i="20"/>
  <c r="G74" i="20" s="1"/>
  <c r="H67" i="20"/>
  <c r="G67" i="20"/>
  <c r="F67" i="20"/>
  <c r="H64" i="20"/>
  <c r="G64" i="20"/>
  <c r="F64" i="20"/>
  <c r="H89" i="20"/>
  <c r="F89" i="20"/>
  <c r="D89" i="20"/>
  <c r="G89" i="20" s="1"/>
  <c r="H88" i="20"/>
  <c r="F88" i="20"/>
  <c r="D88" i="20"/>
  <c r="G88" i="20" s="1"/>
  <c r="H87" i="20"/>
  <c r="F87" i="20"/>
  <c r="D87" i="20"/>
  <c r="G87" i="20" s="1"/>
  <c r="H86" i="20"/>
  <c r="F86" i="20"/>
  <c r="D86" i="20"/>
  <c r="G86" i="20" s="1"/>
  <c r="H85" i="20"/>
  <c r="F85" i="20"/>
  <c r="D85" i="20"/>
  <c r="G85" i="20" s="1"/>
  <c r="H84" i="20"/>
  <c r="F84" i="20"/>
  <c r="D84" i="20"/>
  <c r="G84" i="20" s="1"/>
  <c r="H83" i="20"/>
  <c r="F83" i="20"/>
  <c r="D83" i="20"/>
  <c r="G83" i="20" s="1"/>
  <c r="H82" i="20"/>
  <c r="F82" i="20"/>
  <c r="D82" i="20"/>
  <c r="G82" i="20" s="1"/>
  <c r="H81" i="20"/>
  <c r="F81" i="20"/>
  <c r="D81" i="20"/>
  <c r="G81" i="20" s="1"/>
  <c r="H80" i="20"/>
  <c r="F80" i="20"/>
  <c r="D80" i="20"/>
  <c r="G80" i="20" s="1"/>
  <c r="H79" i="20"/>
  <c r="F79" i="20"/>
  <c r="D79" i="20"/>
  <c r="G79" i="20" s="1"/>
  <c r="H78" i="20"/>
  <c r="F78" i="20"/>
  <c r="D78" i="20"/>
  <c r="G78" i="20" s="1"/>
  <c r="H61" i="20"/>
  <c r="F61" i="20"/>
  <c r="D61" i="20"/>
  <c r="G61" i="20" s="1"/>
  <c r="H55" i="20"/>
  <c r="F55" i="20"/>
  <c r="O55" i="20" s="1"/>
  <c r="P55" i="20" s="1"/>
  <c r="D55" i="20"/>
  <c r="G55" i="20" s="1"/>
  <c r="H77" i="20"/>
  <c r="F77" i="20"/>
  <c r="Q77" i="20" s="1"/>
  <c r="D77" i="20"/>
  <c r="G77" i="20" s="1"/>
  <c r="H60" i="20"/>
  <c r="F60" i="20"/>
  <c r="D60" i="20"/>
  <c r="G60" i="20" s="1"/>
  <c r="H59" i="20"/>
  <c r="F59" i="20"/>
  <c r="D59" i="20"/>
  <c r="G59" i="20" s="1"/>
  <c r="H58" i="20"/>
  <c r="F58" i="20"/>
  <c r="D58" i="20"/>
  <c r="G58" i="20" s="1"/>
  <c r="H57" i="20"/>
  <c r="F57" i="20"/>
  <c r="D57" i="20"/>
  <c r="G57" i="20" s="1"/>
  <c r="H48" i="20"/>
  <c r="G48" i="20"/>
  <c r="F48" i="20"/>
  <c r="H47" i="20"/>
  <c r="F47" i="20"/>
  <c r="D47" i="20"/>
  <c r="G47" i="20" s="1"/>
  <c r="H46" i="20"/>
  <c r="F46" i="20"/>
  <c r="D46" i="20"/>
  <c r="G46" i="20" s="1"/>
  <c r="H45" i="20"/>
  <c r="F45" i="20"/>
  <c r="D45" i="20"/>
  <c r="G45" i="20" s="1"/>
  <c r="H44" i="20"/>
  <c r="F44" i="20"/>
  <c r="D44" i="20"/>
  <c r="G44" i="20" s="1"/>
  <c r="H43" i="20"/>
  <c r="F43" i="20"/>
  <c r="D43" i="20"/>
  <c r="G43" i="20" s="1"/>
  <c r="H42" i="20"/>
  <c r="F42" i="20"/>
  <c r="D42" i="20"/>
  <c r="G42" i="20" s="1"/>
  <c r="H41" i="20"/>
  <c r="F41" i="20"/>
  <c r="D41" i="20"/>
  <c r="G41" i="20" s="1"/>
  <c r="H40" i="20"/>
  <c r="F40" i="20"/>
  <c r="D40" i="20"/>
  <c r="G40" i="20" s="1"/>
  <c r="H35" i="20"/>
  <c r="F35" i="20"/>
  <c r="O35" i="20" s="1"/>
  <c r="D35" i="20"/>
  <c r="G35" i="20" s="1"/>
  <c r="H33" i="20"/>
  <c r="G33" i="20"/>
  <c r="F33" i="20"/>
  <c r="H31" i="20"/>
  <c r="F31" i="20"/>
  <c r="D31" i="20"/>
  <c r="G31" i="20" s="1"/>
  <c r="H30" i="20"/>
  <c r="F30" i="20"/>
  <c r="D30" i="20"/>
  <c r="G30" i="20" s="1"/>
  <c r="H29" i="20"/>
  <c r="G29" i="20"/>
  <c r="F29" i="20"/>
  <c r="H20" i="20"/>
  <c r="F20" i="20"/>
  <c r="Q20" i="20" s="1"/>
  <c r="D20" i="20"/>
  <c r="G20" i="20" s="1"/>
  <c r="H18" i="20"/>
  <c r="F18" i="20"/>
  <c r="Q18" i="20" s="1"/>
  <c r="D18" i="20"/>
  <c r="G18" i="20" s="1"/>
  <c r="H11" i="20"/>
  <c r="F11" i="20"/>
  <c r="O11" i="20" s="1"/>
  <c r="P11" i="20" s="1"/>
  <c r="D11" i="20"/>
  <c r="G11" i="20" s="1"/>
  <c r="H10" i="20"/>
  <c r="F10" i="20"/>
  <c r="O10" i="20" s="1"/>
  <c r="P10" i="20" s="1"/>
  <c r="D10" i="20"/>
  <c r="G10" i="20" s="1"/>
  <c r="H9" i="20"/>
  <c r="F9" i="20"/>
  <c r="O9" i="20" s="1"/>
  <c r="P9" i="20" s="1"/>
  <c r="D9" i="20"/>
  <c r="G9" i="20" s="1"/>
  <c r="H8" i="20"/>
  <c r="F8" i="20"/>
  <c r="O8" i="20" s="1"/>
  <c r="P8" i="20" s="1"/>
  <c r="D8" i="20"/>
  <c r="G8" i="20" s="1"/>
  <c r="H3" i="20"/>
  <c r="F3" i="20"/>
  <c r="O3" i="20" s="1"/>
  <c r="D3" i="20"/>
  <c r="G3" i="20" s="1"/>
  <c r="H4" i="20"/>
  <c r="F4" i="20"/>
  <c r="O4" i="20" s="1"/>
  <c r="D4" i="20"/>
  <c r="G4" i="20" s="1"/>
  <c r="H2" i="20"/>
  <c r="F2" i="20"/>
  <c r="O2" i="20" s="1"/>
  <c r="D2" i="20"/>
  <c r="G2" i="20" s="1"/>
  <c r="H17" i="20"/>
  <c r="G17" i="20"/>
  <c r="F17" i="20"/>
  <c r="H22" i="20"/>
  <c r="F22" i="20"/>
  <c r="Q22" i="20" s="1"/>
  <c r="D22" i="20"/>
  <c r="G22" i="20" s="1"/>
  <c r="H21" i="20"/>
  <c r="F21" i="20"/>
  <c r="Q21" i="20" s="1"/>
  <c r="D21" i="20"/>
  <c r="G21" i="20" s="1"/>
  <c r="H19" i="20"/>
  <c r="F19" i="20"/>
  <c r="Q19" i="20" s="1"/>
  <c r="D19" i="20"/>
  <c r="G19" i="20" s="1"/>
  <c r="H6" i="20"/>
  <c r="G6" i="20"/>
  <c r="F6" i="20"/>
  <c r="H5" i="20"/>
  <c r="G5" i="20"/>
  <c r="F5" i="20"/>
  <c r="H27" i="20"/>
  <c r="F27" i="20"/>
  <c r="D27" i="20"/>
  <c r="G27" i="20" s="1"/>
  <c r="H26" i="20"/>
  <c r="F26" i="20"/>
  <c r="D26" i="20"/>
  <c r="G26" i="20" s="1"/>
  <c r="H25" i="20"/>
  <c r="F25" i="20"/>
  <c r="D25" i="20"/>
  <c r="G25" i="20" s="1"/>
  <c r="H24" i="20"/>
  <c r="F24" i="20"/>
  <c r="D24" i="20"/>
  <c r="G24" i="20" s="1"/>
  <c r="H23" i="20"/>
  <c r="F23" i="20"/>
  <c r="D23" i="20"/>
  <c r="G23" i="20" s="1"/>
  <c r="H15" i="20"/>
  <c r="F15" i="20"/>
  <c r="D15" i="20"/>
  <c r="G15" i="20" s="1"/>
  <c r="H14" i="20"/>
  <c r="F14" i="20"/>
  <c r="D14" i="20"/>
  <c r="G14" i="20" s="1"/>
  <c r="H13" i="20"/>
  <c r="F13" i="20"/>
  <c r="D13" i="20"/>
  <c r="G13" i="20" s="1"/>
  <c r="H12" i="20"/>
  <c r="F12" i="20"/>
  <c r="D12" i="20"/>
  <c r="G12" i="20" s="1"/>
  <c r="H7" i="20"/>
  <c r="F7" i="20"/>
  <c r="O7" i="20" s="1"/>
  <c r="P7" i="20" s="1"/>
  <c r="D7" i="20"/>
  <c r="G7" i="20" s="1"/>
  <c r="H98" i="19"/>
  <c r="G98" i="19"/>
  <c r="F98" i="19"/>
  <c r="H96" i="19"/>
  <c r="F96" i="19"/>
  <c r="D96" i="19"/>
  <c r="G96" i="19" s="1"/>
  <c r="H95" i="19"/>
  <c r="F95" i="19"/>
  <c r="D95" i="19"/>
  <c r="G95" i="19" s="1"/>
  <c r="H94" i="19"/>
  <c r="F94" i="19"/>
  <c r="D94" i="19"/>
  <c r="G94" i="19" s="1"/>
  <c r="H93" i="19"/>
  <c r="F93" i="19"/>
  <c r="D93" i="19"/>
  <c r="G93" i="19" s="1"/>
  <c r="H92" i="19"/>
  <c r="F92" i="19"/>
  <c r="D92" i="19"/>
  <c r="G92" i="19" s="1"/>
  <c r="H91" i="19"/>
  <c r="F91" i="19"/>
  <c r="D91" i="19"/>
  <c r="G91" i="19" s="1"/>
  <c r="H90" i="19"/>
  <c r="F90" i="19"/>
  <c r="D90" i="19"/>
  <c r="G90" i="19" s="1"/>
  <c r="H89" i="19"/>
  <c r="F89" i="19"/>
  <c r="D89" i="19"/>
  <c r="G89" i="19" s="1"/>
  <c r="H88" i="19"/>
  <c r="F88" i="19"/>
  <c r="D88" i="19"/>
  <c r="G88" i="19" s="1"/>
  <c r="H87" i="19"/>
  <c r="F87" i="19"/>
  <c r="D87" i="19"/>
  <c r="G87" i="19" s="1"/>
  <c r="H86" i="19"/>
  <c r="F86" i="19"/>
  <c r="D86" i="19"/>
  <c r="G86" i="19" s="1"/>
  <c r="H85" i="19"/>
  <c r="F85" i="19"/>
  <c r="D85" i="19"/>
  <c r="G85" i="19" s="1"/>
  <c r="H84" i="19"/>
  <c r="F84" i="19"/>
  <c r="D84" i="19"/>
  <c r="G84" i="19" s="1"/>
  <c r="H83" i="19"/>
  <c r="F83" i="19"/>
  <c r="D83" i="19"/>
  <c r="G83" i="19" s="1"/>
  <c r="H82" i="19"/>
  <c r="F82" i="19"/>
  <c r="D82" i="19"/>
  <c r="G82" i="19" s="1"/>
  <c r="H81" i="19"/>
  <c r="F81" i="19"/>
  <c r="D81" i="19"/>
  <c r="G81" i="19" s="1"/>
  <c r="H80" i="19"/>
  <c r="F80" i="19"/>
  <c r="D80" i="19"/>
  <c r="G80" i="19" s="1"/>
  <c r="H79" i="19"/>
  <c r="F79" i="19"/>
  <c r="D79" i="19"/>
  <c r="G79" i="19" s="1"/>
  <c r="H78" i="19"/>
  <c r="F78" i="19"/>
  <c r="D78" i="19"/>
  <c r="G78" i="19" s="1"/>
  <c r="H77" i="19"/>
  <c r="F77" i="19"/>
  <c r="D77" i="19"/>
  <c r="G77" i="19" s="1"/>
  <c r="H76" i="19"/>
  <c r="F76" i="19"/>
  <c r="D76" i="19"/>
  <c r="G76" i="19" s="1"/>
  <c r="H75" i="19"/>
  <c r="F75" i="19"/>
  <c r="D75" i="19"/>
  <c r="G75" i="19" s="1"/>
  <c r="H74" i="19"/>
  <c r="F74" i="19"/>
  <c r="D74" i="19"/>
  <c r="G74" i="19" s="1"/>
  <c r="H73" i="19"/>
  <c r="F73" i="19"/>
  <c r="D73" i="19"/>
  <c r="G73" i="19" s="1"/>
  <c r="H72" i="19"/>
  <c r="F72" i="19"/>
  <c r="D72" i="19"/>
  <c r="G72" i="19" s="1"/>
  <c r="H71" i="19"/>
  <c r="F71" i="19"/>
  <c r="D71" i="19"/>
  <c r="G71" i="19" s="1"/>
  <c r="H70" i="19"/>
  <c r="F70" i="19"/>
  <c r="D70" i="19"/>
  <c r="G70" i="19" s="1"/>
  <c r="H69" i="19"/>
  <c r="F69" i="19"/>
  <c r="D69" i="19"/>
  <c r="G69" i="19" s="1"/>
  <c r="H68" i="19"/>
  <c r="F68" i="19"/>
  <c r="D68" i="19"/>
  <c r="G68" i="19" s="1"/>
  <c r="H67" i="19"/>
  <c r="G67" i="19"/>
  <c r="F67" i="19"/>
  <c r="H64" i="19"/>
  <c r="G64" i="19"/>
  <c r="F64" i="19"/>
  <c r="H62" i="19"/>
  <c r="G62" i="19"/>
  <c r="F62" i="19"/>
  <c r="H61" i="19"/>
  <c r="G61" i="19"/>
  <c r="F61" i="19"/>
  <c r="H60" i="19"/>
  <c r="G60" i="19"/>
  <c r="F60" i="19"/>
  <c r="H59" i="19"/>
  <c r="F59" i="19"/>
  <c r="U59" i="19" s="1"/>
  <c r="D59" i="19"/>
  <c r="G59" i="19" s="1"/>
  <c r="H58" i="19"/>
  <c r="F58" i="19"/>
  <c r="U58" i="19" s="1"/>
  <c r="D58" i="19"/>
  <c r="G58" i="19" s="1"/>
  <c r="H57" i="19"/>
  <c r="F57" i="19"/>
  <c r="U57" i="19" s="1"/>
  <c r="D57" i="19"/>
  <c r="G57" i="19" s="1"/>
  <c r="H56" i="19"/>
  <c r="F56" i="19"/>
  <c r="U56" i="19" s="1"/>
  <c r="D56" i="19"/>
  <c r="G56" i="19" s="1"/>
  <c r="H55" i="19"/>
  <c r="F55" i="19"/>
  <c r="U55" i="19" s="1"/>
  <c r="D55" i="19"/>
  <c r="G55" i="19" s="1"/>
  <c r="H54" i="19"/>
  <c r="F54" i="19"/>
  <c r="U54" i="19" s="1"/>
  <c r="D54" i="19"/>
  <c r="G54" i="19" s="1"/>
  <c r="H53" i="19"/>
  <c r="F53" i="19"/>
  <c r="U53" i="19" s="1"/>
  <c r="D53" i="19"/>
  <c r="G53" i="19" s="1"/>
  <c r="H52" i="19"/>
  <c r="F52" i="19"/>
  <c r="U52" i="19" s="1"/>
  <c r="D52" i="19"/>
  <c r="G52" i="19" s="1"/>
  <c r="H51" i="19"/>
  <c r="F51" i="19"/>
  <c r="U51" i="19" s="1"/>
  <c r="D51" i="19"/>
  <c r="G51" i="19" s="1"/>
  <c r="H50" i="19"/>
  <c r="F50" i="19"/>
  <c r="U50" i="19" s="1"/>
  <c r="D50" i="19"/>
  <c r="G50" i="19" s="1"/>
  <c r="H49" i="19"/>
  <c r="G49" i="19"/>
  <c r="F49" i="19"/>
  <c r="H47" i="19"/>
  <c r="F47" i="19"/>
  <c r="O47" i="19" s="1"/>
  <c r="D47" i="19"/>
  <c r="G47" i="19" s="1"/>
  <c r="H46" i="19"/>
  <c r="F46" i="19"/>
  <c r="O46" i="19" s="1"/>
  <c r="D46" i="19"/>
  <c r="G46" i="19" s="1"/>
  <c r="H45" i="19"/>
  <c r="F45" i="19"/>
  <c r="O45" i="19" s="1"/>
  <c r="D45" i="19"/>
  <c r="G45" i="19" s="1"/>
  <c r="H44" i="19"/>
  <c r="F44" i="19"/>
  <c r="O44" i="19" s="1"/>
  <c r="D44" i="19"/>
  <c r="G44" i="19" s="1"/>
  <c r="H43" i="19"/>
  <c r="F43" i="19"/>
  <c r="O43" i="19" s="1"/>
  <c r="D43" i="19"/>
  <c r="G43" i="19" s="1"/>
  <c r="H42" i="19"/>
  <c r="F42" i="19"/>
  <c r="O42" i="19" s="1"/>
  <c r="D42" i="19"/>
  <c r="G42" i="19" s="1"/>
  <c r="H40" i="19"/>
  <c r="G40" i="19"/>
  <c r="F40" i="19"/>
  <c r="H39" i="19"/>
  <c r="F39" i="19"/>
  <c r="O39" i="19" s="1"/>
  <c r="D39" i="19"/>
  <c r="G39" i="19" s="1"/>
  <c r="H38" i="19"/>
  <c r="F38" i="19"/>
  <c r="O38" i="19" s="1"/>
  <c r="D38" i="19"/>
  <c r="G38" i="19" s="1"/>
  <c r="H37" i="19"/>
  <c r="F37" i="19"/>
  <c r="O37" i="19" s="1"/>
  <c r="D37" i="19"/>
  <c r="G37" i="19" s="1"/>
  <c r="H36" i="19"/>
  <c r="F36" i="19"/>
  <c r="O36" i="19" s="1"/>
  <c r="D36" i="19"/>
  <c r="G36" i="19" s="1"/>
  <c r="H35" i="19"/>
  <c r="F35" i="19"/>
  <c r="O35" i="19" s="1"/>
  <c r="D35" i="19"/>
  <c r="G35" i="19" s="1"/>
  <c r="H33" i="19"/>
  <c r="G33" i="19"/>
  <c r="F33" i="19"/>
  <c r="H31" i="19"/>
  <c r="F31" i="19"/>
  <c r="D31" i="19"/>
  <c r="G31" i="19" s="1"/>
  <c r="H30" i="19"/>
  <c r="F30" i="19"/>
  <c r="D30" i="19"/>
  <c r="G30" i="19" s="1"/>
  <c r="H29" i="19"/>
  <c r="F29" i="19"/>
  <c r="D29" i="19"/>
  <c r="G29" i="19" s="1"/>
  <c r="H28" i="19"/>
  <c r="F28" i="19"/>
  <c r="D28" i="19"/>
  <c r="G28" i="19" s="1"/>
  <c r="H27" i="19"/>
  <c r="F27" i="19"/>
  <c r="D27" i="19"/>
  <c r="G27" i="19" s="1"/>
  <c r="H26" i="19"/>
  <c r="F26" i="19"/>
  <c r="D26" i="19"/>
  <c r="G26" i="19" s="1"/>
  <c r="H25" i="19"/>
  <c r="F25" i="19"/>
  <c r="D25" i="19"/>
  <c r="G25" i="19" s="1"/>
  <c r="H24" i="19"/>
  <c r="F24" i="19"/>
  <c r="D24" i="19"/>
  <c r="G24" i="19" s="1"/>
  <c r="H23" i="19"/>
  <c r="F23" i="19"/>
  <c r="D23" i="19"/>
  <c r="G23" i="19" s="1"/>
  <c r="H22" i="19"/>
  <c r="F22" i="19"/>
  <c r="D22" i="19"/>
  <c r="G22" i="19" s="1"/>
  <c r="H21" i="19"/>
  <c r="F21" i="19"/>
  <c r="D21" i="19"/>
  <c r="G21" i="19" s="1"/>
  <c r="H20" i="19"/>
  <c r="G20" i="19"/>
  <c r="F20" i="19"/>
  <c r="H19" i="19"/>
  <c r="G19" i="19"/>
  <c r="F19" i="19"/>
  <c r="H18" i="19"/>
  <c r="F18" i="19"/>
  <c r="T18" i="19" s="1"/>
  <c r="D18" i="19"/>
  <c r="G18" i="19" s="1"/>
  <c r="H17" i="19"/>
  <c r="F17" i="19"/>
  <c r="T17" i="19" s="1"/>
  <c r="D17" i="19"/>
  <c r="G17" i="19" s="1"/>
  <c r="H16" i="19"/>
  <c r="F16" i="19"/>
  <c r="T16" i="19" s="1"/>
  <c r="D16" i="19"/>
  <c r="G16" i="19" s="1"/>
  <c r="H15" i="19"/>
  <c r="F15" i="19"/>
  <c r="T15" i="19" s="1"/>
  <c r="D15" i="19"/>
  <c r="G15" i="19" s="1"/>
  <c r="H14" i="19"/>
  <c r="F14" i="19"/>
  <c r="T14" i="19" s="1"/>
  <c r="D14" i="19"/>
  <c r="G14" i="19" s="1"/>
  <c r="H13" i="19"/>
  <c r="G13" i="19"/>
  <c r="F13" i="19"/>
  <c r="H11" i="19"/>
  <c r="F11" i="19"/>
  <c r="O11" i="19" s="1"/>
  <c r="D11" i="19"/>
  <c r="G11" i="19" s="1"/>
  <c r="H10" i="19"/>
  <c r="F10" i="19"/>
  <c r="O10" i="19" s="1"/>
  <c r="D10" i="19"/>
  <c r="G10" i="19" s="1"/>
  <c r="H9" i="19"/>
  <c r="F9" i="19"/>
  <c r="O9" i="19" s="1"/>
  <c r="D9" i="19"/>
  <c r="G9" i="19" s="1"/>
  <c r="H8" i="19"/>
  <c r="F8" i="19"/>
  <c r="O8" i="19" s="1"/>
  <c r="D8" i="19"/>
  <c r="G8" i="19" s="1"/>
  <c r="H7" i="19"/>
  <c r="F7" i="19"/>
  <c r="O7" i="19" s="1"/>
  <c r="D7" i="19"/>
  <c r="G7" i="19" s="1"/>
  <c r="H6" i="19"/>
  <c r="G6" i="19"/>
  <c r="F6" i="19"/>
  <c r="H4" i="19"/>
  <c r="F4" i="19"/>
  <c r="O4" i="19" s="1"/>
  <c r="D4" i="19"/>
  <c r="G4" i="19" s="1"/>
  <c r="H3" i="19"/>
  <c r="F3" i="19"/>
  <c r="O3" i="19" s="1"/>
  <c r="D3" i="19"/>
  <c r="G3" i="19" s="1"/>
  <c r="H2" i="19"/>
  <c r="F2" i="19"/>
  <c r="O2" i="19" s="1"/>
  <c r="D2" i="19"/>
  <c r="G2" i="19" s="1"/>
  <c r="H13" i="18"/>
  <c r="G13" i="18"/>
  <c r="F13" i="18"/>
  <c r="H91" i="18"/>
  <c r="G91" i="18"/>
  <c r="F91" i="18"/>
  <c r="H98" i="18"/>
  <c r="G98" i="18"/>
  <c r="F98" i="18"/>
  <c r="H93" i="18"/>
  <c r="F93" i="18"/>
  <c r="D93" i="18"/>
  <c r="G93" i="18" s="1"/>
  <c r="H64" i="18"/>
  <c r="F64" i="18"/>
  <c r="D64" i="18"/>
  <c r="G64" i="18" s="1"/>
  <c r="H63" i="18"/>
  <c r="F63" i="18"/>
  <c r="D63" i="18"/>
  <c r="G63" i="18" s="1"/>
  <c r="H62" i="18"/>
  <c r="F62" i="18"/>
  <c r="D62" i="18"/>
  <c r="G62" i="18" s="1"/>
  <c r="H61" i="18"/>
  <c r="F61" i="18"/>
  <c r="D61" i="18"/>
  <c r="G61" i="18" s="1"/>
  <c r="H60" i="18"/>
  <c r="F60" i="18"/>
  <c r="D60" i="18"/>
  <c r="G60" i="18" s="1"/>
  <c r="H59" i="18"/>
  <c r="F59" i="18"/>
  <c r="D59" i="18"/>
  <c r="G59" i="18" s="1"/>
  <c r="H58" i="18"/>
  <c r="F58" i="18"/>
  <c r="D58" i="18"/>
  <c r="G58" i="18" s="1"/>
  <c r="H57" i="18"/>
  <c r="F57" i="18"/>
  <c r="D57" i="18"/>
  <c r="G57" i="18" s="1"/>
  <c r="H56" i="18"/>
  <c r="F56" i="18"/>
  <c r="D56" i="18"/>
  <c r="G56" i="18" s="1"/>
  <c r="H55" i="18"/>
  <c r="F55" i="18"/>
  <c r="D55" i="18"/>
  <c r="G55" i="18" s="1"/>
  <c r="H54" i="18"/>
  <c r="F54" i="18"/>
  <c r="D54" i="18"/>
  <c r="G54" i="18" s="1"/>
  <c r="H53" i="18"/>
  <c r="F53" i="18"/>
  <c r="D53" i="18"/>
  <c r="G53" i="18" s="1"/>
  <c r="H52" i="18"/>
  <c r="F52" i="18"/>
  <c r="D52" i="18"/>
  <c r="G52" i="18" s="1"/>
  <c r="H51" i="18"/>
  <c r="F51" i="18"/>
  <c r="D51" i="18"/>
  <c r="G51" i="18" s="1"/>
  <c r="H42" i="18"/>
  <c r="F42" i="18"/>
  <c r="D42" i="18"/>
  <c r="G42" i="18" s="1"/>
  <c r="H50" i="18"/>
  <c r="F50" i="18"/>
  <c r="D50" i="18"/>
  <c r="G50" i="18" s="1"/>
  <c r="H49" i="18"/>
  <c r="F49" i="18"/>
  <c r="D49" i="18"/>
  <c r="G49" i="18" s="1"/>
  <c r="H48" i="18"/>
  <c r="F48" i="18"/>
  <c r="D48" i="18"/>
  <c r="G48" i="18" s="1"/>
  <c r="H41" i="18"/>
  <c r="F41" i="18"/>
  <c r="D41" i="18"/>
  <c r="G41" i="18" s="1"/>
  <c r="H47" i="18"/>
  <c r="F47" i="18"/>
  <c r="D47" i="18"/>
  <c r="G47" i="18" s="1"/>
  <c r="H40" i="18"/>
  <c r="F40" i="18"/>
  <c r="D40" i="18"/>
  <c r="G40" i="18" s="1"/>
  <c r="H46" i="18"/>
  <c r="F46" i="18"/>
  <c r="D46" i="18"/>
  <c r="G46" i="18" s="1"/>
  <c r="H39" i="18"/>
  <c r="F39" i="18"/>
  <c r="D39" i="18"/>
  <c r="G39" i="18" s="1"/>
  <c r="H43" i="18"/>
  <c r="F43" i="18"/>
  <c r="D43" i="18"/>
  <c r="G43" i="18" s="1"/>
  <c r="H38" i="18"/>
  <c r="F38" i="18"/>
  <c r="D38" i="18"/>
  <c r="G38" i="18" s="1"/>
  <c r="H37" i="18"/>
  <c r="F37" i="18"/>
  <c r="D37" i="18"/>
  <c r="G37" i="18" s="1"/>
  <c r="H36" i="18"/>
  <c r="F36" i="18"/>
  <c r="D36" i="18"/>
  <c r="G36" i="18" s="1"/>
  <c r="H35" i="18"/>
  <c r="F35" i="18"/>
  <c r="D35" i="18"/>
  <c r="G35" i="18" s="1"/>
  <c r="H67" i="18"/>
  <c r="G67" i="18"/>
  <c r="F67" i="18"/>
  <c r="H95" i="18"/>
  <c r="G95" i="18"/>
  <c r="F95" i="18"/>
  <c r="H90" i="18"/>
  <c r="G90" i="18"/>
  <c r="F90" i="18"/>
  <c r="H66" i="18"/>
  <c r="G66" i="18"/>
  <c r="F66" i="18"/>
  <c r="H70" i="18"/>
  <c r="F70" i="18"/>
  <c r="D70" i="18"/>
  <c r="G70" i="18" s="1"/>
  <c r="H92" i="18"/>
  <c r="F92" i="18"/>
  <c r="D92" i="18"/>
  <c r="G92" i="18" s="1"/>
  <c r="H81" i="18"/>
  <c r="F81" i="18"/>
  <c r="D81" i="18"/>
  <c r="G81" i="18" s="1"/>
  <c r="H69" i="18"/>
  <c r="F69" i="18"/>
  <c r="O69" i="18" s="1"/>
  <c r="D69" i="18"/>
  <c r="G69" i="18" s="1"/>
  <c r="H89" i="18"/>
  <c r="F89" i="18"/>
  <c r="D89" i="18"/>
  <c r="G89" i="18" s="1"/>
  <c r="H68" i="18"/>
  <c r="F68" i="18"/>
  <c r="D68" i="18"/>
  <c r="G68" i="18" s="1"/>
  <c r="H88" i="18"/>
  <c r="F88" i="18"/>
  <c r="D88" i="18"/>
  <c r="G88" i="18" s="1"/>
  <c r="H87" i="18"/>
  <c r="F87" i="18"/>
  <c r="D87" i="18"/>
  <c r="G87" i="18" s="1"/>
  <c r="H86" i="18"/>
  <c r="F86" i="18"/>
  <c r="D86" i="18"/>
  <c r="G86" i="18" s="1"/>
  <c r="H85" i="18"/>
  <c r="F85" i="18"/>
  <c r="D85" i="18"/>
  <c r="G85" i="18" s="1"/>
  <c r="H72" i="18"/>
  <c r="G72" i="18"/>
  <c r="F72" i="18"/>
  <c r="H84" i="18"/>
  <c r="F84" i="18"/>
  <c r="D84" i="18"/>
  <c r="G84" i="18" s="1"/>
  <c r="H83" i="18"/>
  <c r="F83" i="18"/>
  <c r="D83" i="18"/>
  <c r="G83" i="18" s="1"/>
  <c r="H82" i="18"/>
  <c r="F82" i="18"/>
  <c r="D82" i="18"/>
  <c r="G82" i="18" s="1"/>
  <c r="H80" i="18"/>
  <c r="F80" i="18"/>
  <c r="D80" i="18"/>
  <c r="G80" i="18" s="1"/>
  <c r="H79" i="18"/>
  <c r="F79" i="18"/>
  <c r="D79" i="18"/>
  <c r="G79" i="18" s="1"/>
  <c r="H78" i="18"/>
  <c r="F78" i="18"/>
  <c r="D78" i="18"/>
  <c r="G78" i="18" s="1"/>
  <c r="H44" i="18"/>
  <c r="G44" i="18"/>
  <c r="F44" i="18"/>
  <c r="H77" i="18"/>
  <c r="F77" i="18"/>
  <c r="D77" i="18"/>
  <c r="G77" i="18" s="1"/>
  <c r="H76" i="18"/>
  <c r="F76" i="18"/>
  <c r="D76" i="18"/>
  <c r="G76" i="18" s="1"/>
  <c r="H75" i="18"/>
  <c r="F75" i="18"/>
  <c r="D75" i="18"/>
  <c r="G75" i="18" s="1"/>
  <c r="H74" i="18"/>
  <c r="F74" i="18"/>
  <c r="D74" i="18"/>
  <c r="G74" i="18" s="1"/>
  <c r="H73" i="18"/>
  <c r="F73" i="18"/>
  <c r="D73" i="18"/>
  <c r="G73" i="18" s="1"/>
  <c r="H33" i="18"/>
  <c r="G33" i="18"/>
  <c r="F33" i="18"/>
  <c r="H31" i="18"/>
  <c r="F31" i="18"/>
  <c r="D31" i="18"/>
  <c r="G31" i="18" s="1"/>
  <c r="H11" i="18"/>
  <c r="F11" i="18"/>
  <c r="D11" i="18"/>
  <c r="G11" i="18" s="1"/>
  <c r="H10" i="18"/>
  <c r="F10" i="18"/>
  <c r="D10" i="18"/>
  <c r="G10" i="18" s="1"/>
  <c r="H9" i="18"/>
  <c r="F9" i="18"/>
  <c r="D9" i="18"/>
  <c r="G9" i="18" s="1"/>
  <c r="H6" i="18"/>
  <c r="F6" i="18"/>
  <c r="D6" i="18"/>
  <c r="G6" i="18" s="1"/>
  <c r="H8" i="18"/>
  <c r="F8" i="18"/>
  <c r="D8" i="18"/>
  <c r="G8" i="18" s="1"/>
  <c r="H5" i="18"/>
  <c r="F5" i="18"/>
  <c r="D5" i="18"/>
  <c r="G5" i="18" s="1"/>
  <c r="H4" i="18"/>
  <c r="F4" i="18"/>
  <c r="D4" i="18"/>
  <c r="G4" i="18" s="1"/>
  <c r="H3" i="18"/>
  <c r="F3" i="18"/>
  <c r="D3" i="18"/>
  <c r="G3" i="18" s="1"/>
  <c r="H7" i="18"/>
  <c r="F7" i="18"/>
  <c r="D7" i="18"/>
  <c r="G7" i="18" s="1"/>
  <c r="H30" i="18"/>
  <c r="F30" i="18"/>
  <c r="D30" i="18"/>
  <c r="G30" i="18" s="1"/>
  <c r="H12" i="18"/>
  <c r="G12" i="18"/>
  <c r="F12" i="18"/>
  <c r="H16" i="18"/>
  <c r="F16" i="18"/>
  <c r="D16" i="18"/>
  <c r="G16" i="18" s="1"/>
  <c r="H15" i="18"/>
  <c r="F15" i="18"/>
  <c r="D15" i="18"/>
  <c r="G15" i="18" s="1"/>
  <c r="H27" i="18"/>
  <c r="F27" i="18"/>
  <c r="D27" i="18"/>
  <c r="G27" i="18" s="1"/>
  <c r="H14" i="18"/>
  <c r="F14" i="18"/>
  <c r="D14" i="18"/>
  <c r="G14" i="18" s="1"/>
  <c r="H26" i="18"/>
  <c r="F26" i="18"/>
  <c r="D26" i="18"/>
  <c r="G26" i="18" s="1"/>
  <c r="H29" i="18"/>
  <c r="G29" i="18"/>
  <c r="F29" i="18"/>
  <c r="H25" i="18"/>
  <c r="F25" i="18"/>
  <c r="D25" i="18"/>
  <c r="G25" i="18" s="1"/>
  <c r="H24" i="18"/>
  <c r="F24" i="18"/>
  <c r="D24" i="18"/>
  <c r="G24" i="18" s="1"/>
  <c r="H23" i="18"/>
  <c r="F23" i="18"/>
  <c r="D23" i="18"/>
  <c r="G23" i="18" s="1"/>
  <c r="H22" i="18"/>
  <c r="F22" i="18"/>
  <c r="D22" i="18"/>
  <c r="G22" i="18" s="1"/>
  <c r="H2" i="18"/>
  <c r="F2" i="18"/>
  <c r="D2" i="18"/>
  <c r="G2" i="18" s="1"/>
  <c r="H18" i="18"/>
  <c r="G18" i="18"/>
  <c r="F18" i="18"/>
  <c r="H21" i="18"/>
  <c r="F21" i="18"/>
  <c r="D21" i="18"/>
  <c r="G21" i="18" s="1"/>
  <c r="H20" i="18"/>
  <c r="F20" i="18"/>
  <c r="D20" i="18"/>
  <c r="G20" i="18" s="1"/>
  <c r="H19" i="18"/>
  <c r="F19" i="18"/>
  <c r="D19" i="18"/>
  <c r="G19" i="18" s="1"/>
  <c r="H96" i="17"/>
  <c r="F96" i="17"/>
  <c r="D96" i="17"/>
  <c r="G96" i="17" s="1"/>
  <c r="H95" i="17"/>
  <c r="F95" i="17"/>
  <c r="D95" i="17"/>
  <c r="G95" i="17" s="1"/>
  <c r="H94" i="17"/>
  <c r="F94" i="17"/>
  <c r="D94" i="17"/>
  <c r="G94" i="17" s="1"/>
  <c r="H93" i="17"/>
  <c r="F93" i="17"/>
  <c r="D93" i="17"/>
  <c r="G93" i="17" s="1"/>
  <c r="H92" i="17"/>
  <c r="F92" i="17"/>
  <c r="D92" i="17"/>
  <c r="G92" i="17" s="1"/>
  <c r="H91" i="17"/>
  <c r="F91" i="17"/>
  <c r="D91" i="17"/>
  <c r="G91" i="17" s="1"/>
  <c r="H90" i="17"/>
  <c r="F90" i="17"/>
  <c r="D90" i="17"/>
  <c r="G90" i="17" s="1"/>
  <c r="H89" i="17"/>
  <c r="F89" i="17"/>
  <c r="D89" i="17"/>
  <c r="G89" i="17" s="1"/>
  <c r="H88" i="17"/>
  <c r="F88" i="17"/>
  <c r="D88" i="17"/>
  <c r="G88" i="17" s="1"/>
  <c r="H87" i="17"/>
  <c r="F87" i="17"/>
  <c r="D87" i="17"/>
  <c r="G87" i="17" s="1"/>
  <c r="H86" i="17"/>
  <c r="F86" i="17"/>
  <c r="D86" i="17"/>
  <c r="G86" i="17" s="1"/>
  <c r="H85" i="17"/>
  <c r="F85" i="17"/>
  <c r="D85" i="17"/>
  <c r="G85" i="17" s="1"/>
  <c r="H84" i="17"/>
  <c r="F84" i="17"/>
  <c r="D84" i="17"/>
  <c r="G84" i="17" s="1"/>
  <c r="H83" i="17"/>
  <c r="F83" i="17"/>
  <c r="D83" i="17"/>
  <c r="G83" i="17" s="1"/>
  <c r="H59" i="17"/>
  <c r="F59" i="17"/>
  <c r="U59" i="17" s="1"/>
  <c r="D59" i="17"/>
  <c r="G59" i="17" s="1"/>
  <c r="H82" i="17"/>
  <c r="F82" i="17"/>
  <c r="D82" i="17"/>
  <c r="G82" i="17" s="1"/>
  <c r="H58" i="17"/>
  <c r="F58" i="17"/>
  <c r="U58" i="17" s="1"/>
  <c r="D58" i="17"/>
  <c r="G58" i="17" s="1"/>
  <c r="H98" i="17"/>
  <c r="G98" i="17"/>
  <c r="F98" i="17"/>
  <c r="H81" i="17"/>
  <c r="F81" i="17"/>
  <c r="D81" i="17"/>
  <c r="G81" i="17" s="1"/>
  <c r="H49" i="17"/>
  <c r="G49" i="17"/>
  <c r="F49" i="17"/>
  <c r="H80" i="17"/>
  <c r="F80" i="17"/>
  <c r="D80" i="17"/>
  <c r="G80" i="17" s="1"/>
  <c r="H55" i="17"/>
  <c r="F55" i="17"/>
  <c r="U55" i="17" s="1"/>
  <c r="D55" i="17"/>
  <c r="G55" i="17" s="1"/>
  <c r="H57" i="17"/>
  <c r="F57" i="17"/>
  <c r="U57" i="17" s="1"/>
  <c r="D57" i="17"/>
  <c r="G57" i="17" s="1"/>
  <c r="H53" i="17"/>
  <c r="F53" i="17"/>
  <c r="U53" i="17" s="1"/>
  <c r="D53" i="17"/>
  <c r="G53" i="17" s="1"/>
  <c r="H52" i="17"/>
  <c r="F52" i="17"/>
  <c r="U52" i="17" s="1"/>
  <c r="D52" i="17"/>
  <c r="G52" i="17" s="1"/>
  <c r="H51" i="17"/>
  <c r="F51" i="17"/>
  <c r="U51" i="17" s="1"/>
  <c r="D51" i="17"/>
  <c r="G51" i="17" s="1"/>
  <c r="H50" i="17"/>
  <c r="F50" i="17"/>
  <c r="U50" i="17" s="1"/>
  <c r="D50" i="17"/>
  <c r="G50" i="17" s="1"/>
  <c r="H45" i="17"/>
  <c r="F45" i="17"/>
  <c r="O45" i="17" s="1"/>
  <c r="D45" i="17"/>
  <c r="G45" i="17" s="1"/>
  <c r="H44" i="17"/>
  <c r="F44" i="17"/>
  <c r="O44" i="17" s="1"/>
  <c r="D44" i="17"/>
  <c r="G44" i="17" s="1"/>
  <c r="H67" i="17"/>
  <c r="G67" i="17"/>
  <c r="F67" i="17"/>
  <c r="H60" i="17"/>
  <c r="G60" i="17"/>
  <c r="F60" i="17"/>
  <c r="H64" i="17"/>
  <c r="G64" i="17"/>
  <c r="F64" i="17"/>
  <c r="H56" i="17"/>
  <c r="F56" i="17"/>
  <c r="U56" i="17" s="1"/>
  <c r="D56" i="17"/>
  <c r="G56" i="17" s="1"/>
  <c r="H47" i="17"/>
  <c r="F47" i="17"/>
  <c r="O47" i="17" s="1"/>
  <c r="D47" i="17"/>
  <c r="G47" i="17" s="1"/>
  <c r="H62" i="17"/>
  <c r="G62" i="17"/>
  <c r="F62" i="17"/>
  <c r="H61" i="17"/>
  <c r="G61" i="17"/>
  <c r="F61" i="17"/>
  <c r="H79" i="17"/>
  <c r="F79" i="17"/>
  <c r="D79" i="17"/>
  <c r="G79" i="17" s="1"/>
  <c r="H78" i="17"/>
  <c r="F78" i="17"/>
  <c r="D78" i="17"/>
  <c r="G78" i="17" s="1"/>
  <c r="H77" i="17"/>
  <c r="F77" i="17"/>
  <c r="D77" i="17"/>
  <c r="G77" i="17" s="1"/>
  <c r="H76" i="17"/>
  <c r="F76" i="17"/>
  <c r="D76" i="17"/>
  <c r="G76" i="17" s="1"/>
  <c r="H75" i="17"/>
  <c r="F75" i="17"/>
  <c r="D75" i="17"/>
  <c r="G75" i="17" s="1"/>
  <c r="H54" i="17"/>
  <c r="F54" i="17"/>
  <c r="U54" i="17" s="1"/>
  <c r="D54" i="17"/>
  <c r="G54" i="17" s="1"/>
  <c r="H74" i="17"/>
  <c r="F74" i="17"/>
  <c r="D74" i="17"/>
  <c r="G74" i="17" s="1"/>
  <c r="H73" i="17"/>
  <c r="F73" i="17"/>
  <c r="D73" i="17"/>
  <c r="G73" i="17" s="1"/>
  <c r="H39" i="17"/>
  <c r="F39" i="17"/>
  <c r="O39" i="17" s="1"/>
  <c r="D39" i="17"/>
  <c r="G39" i="17" s="1"/>
  <c r="H46" i="17"/>
  <c r="F46" i="17"/>
  <c r="O46" i="17" s="1"/>
  <c r="D46" i="17"/>
  <c r="G46" i="17" s="1"/>
  <c r="H43" i="17"/>
  <c r="F43" i="17"/>
  <c r="O43" i="17" s="1"/>
  <c r="D43" i="17"/>
  <c r="G43" i="17" s="1"/>
  <c r="H42" i="17"/>
  <c r="F42" i="17"/>
  <c r="O42" i="17" s="1"/>
  <c r="D42" i="17"/>
  <c r="G42" i="17" s="1"/>
  <c r="H40" i="17"/>
  <c r="G40" i="17"/>
  <c r="F40" i="17"/>
  <c r="H72" i="17"/>
  <c r="F72" i="17"/>
  <c r="D72" i="17"/>
  <c r="G72" i="17" s="1"/>
  <c r="H71" i="17"/>
  <c r="F71" i="17"/>
  <c r="D71" i="17"/>
  <c r="G71" i="17" s="1"/>
  <c r="H70" i="17"/>
  <c r="F70" i="17"/>
  <c r="D70" i="17"/>
  <c r="G70" i="17" s="1"/>
  <c r="H69" i="17"/>
  <c r="F69" i="17"/>
  <c r="D69" i="17"/>
  <c r="G69" i="17" s="1"/>
  <c r="H38" i="17"/>
  <c r="F38" i="17"/>
  <c r="O38" i="17" s="1"/>
  <c r="D38" i="17"/>
  <c r="G38" i="17" s="1"/>
  <c r="H37" i="17"/>
  <c r="F37" i="17"/>
  <c r="O37" i="17" s="1"/>
  <c r="D37" i="17"/>
  <c r="G37" i="17" s="1"/>
  <c r="H36" i="17"/>
  <c r="F36" i="17"/>
  <c r="O36" i="17" s="1"/>
  <c r="D36" i="17"/>
  <c r="G36" i="17" s="1"/>
  <c r="H68" i="17"/>
  <c r="F68" i="17"/>
  <c r="D68" i="17"/>
  <c r="G68" i="17" s="1"/>
  <c r="H35" i="17"/>
  <c r="F35" i="17"/>
  <c r="O35" i="17" s="1"/>
  <c r="D35" i="17"/>
  <c r="G35" i="17" s="1"/>
  <c r="H33" i="17"/>
  <c r="G33" i="17"/>
  <c r="F33" i="17"/>
  <c r="H30" i="17"/>
  <c r="F30" i="17"/>
  <c r="D30" i="17"/>
  <c r="G30" i="17" s="1"/>
  <c r="H29" i="17"/>
  <c r="F29" i="17"/>
  <c r="D29" i="17"/>
  <c r="G29" i="17" s="1"/>
  <c r="H18" i="17"/>
  <c r="F18" i="17"/>
  <c r="T18" i="17" s="1"/>
  <c r="D18" i="17"/>
  <c r="G18" i="17" s="1"/>
  <c r="Q18" i="17" s="1"/>
  <c r="H28" i="17"/>
  <c r="F28" i="17"/>
  <c r="D28" i="17"/>
  <c r="G28" i="17" s="1"/>
  <c r="H15" i="17"/>
  <c r="F15" i="17"/>
  <c r="T15" i="17" s="1"/>
  <c r="D15" i="17"/>
  <c r="G15" i="17" s="1"/>
  <c r="Q15" i="17" s="1"/>
  <c r="H27" i="17"/>
  <c r="F27" i="17"/>
  <c r="D27" i="17"/>
  <c r="G27" i="17" s="1"/>
  <c r="H26" i="17"/>
  <c r="F26" i="17"/>
  <c r="D26" i="17"/>
  <c r="G26" i="17" s="1"/>
  <c r="H25" i="17"/>
  <c r="F25" i="17"/>
  <c r="D25" i="17"/>
  <c r="G25" i="17" s="1"/>
  <c r="H24" i="17"/>
  <c r="F24" i="17"/>
  <c r="D24" i="17"/>
  <c r="G24" i="17" s="1"/>
  <c r="H23" i="17"/>
  <c r="F23" i="17"/>
  <c r="D23" i="17"/>
  <c r="G23" i="17" s="1"/>
  <c r="H8" i="17"/>
  <c r="F8" i="17"/>
  <c r="O8" i="17" s="1"/>
  <c r="D8" i="17"/>
  <c r="G8" i="17" s="1"/>
  <c r="H20" i="17"/>
  <c r="G20" i="17"/>
  <c r="F20" i="17"/>
  <c r="H19" i="17"/>
  <c r="G19" i="17"/>
  <c r="F19" i="17"/>
  <c r="H21" i="17"/>
  <c r="F21" i="17"/>
  <c r="D21" i="17"/>
  <c r="G21" i="17" s="1"/>
  <c r="H11" i="17"/>
  <c r="F11" i="17"/>
  <c r="O11" i="17" s="1"/>
  <c r="D11" i="17"/>
  <c r="G11" i="17" s="1"/>
  <c r="H4" i="17"/>
  <c r="F4" i="17"/>
  <c r="O4" i="17" s="1"/>
  <c r="D4" i="17"/>
  <c r="G4" i="17" s="1"/>
  <c r="H3" i="17"/>
  <c r="F3" i="17"/>
  <c r="O3" i="17" s="1"/>
  <c r="D3" i="17"/>
  <c r="G3" i="17" s="1"/>
  <c r="H2" i="17"/>
  <c r="F2" i="17"/>
  <c r="O2" i="17" s="1"/>
  <c r="D2" i="17"/>
  <c r="G2" i="17" s="1"/>
  <c r="H9" i="17"/>
  <c r="F9" i="17"/>
  <c r="O9" i="17" s="1"/>
  <c r="D9" i="17"/>
  <c r="G9" i="17" s="1"/>
  <c r="H13" i="17"/>
  <c r="G13" i="17"/>
  <c r="F13" i="17"/>
  <c r="H7" i="17"/>
  <c r="F7" i="17"/>
  <c r="O7" i="17" s="1"/>
  <c r="D7" i="17"/>
  <c r="G7" i="17" s="1"/>
  <c r="H6" i="17"/>
  <c r="G6" i="17"/>
  <c r="F6" i="17"/>
  <c r="H31" i="17"/>
  <c r="F31" i="17"/>
  <c r="D31" i="17"/>
  <c r="G31" i="17" s="1"/>
  <c r="H22" i="17"/>
  <c r="F22" i="17"/>
  <c r="D22" i="17"/>
  <c r="G22" i="17" s="1"/>
  <c r="H16" i="17"/>
  <c r="F16" i="17"/>
  <c r="T16" i="17" s="1"/>
  <c r="D16" i="17"/>
  <c r="G16" i="17" s="1"/>
  <c r="Q16" i="17" s="1"/>
  <c r="H10" i="17"/>
  <c r="F10" i="17"/>
  <c r="O10" i="17" s="1"/>
  <c r="D10" i="17"/>
  <c r="G10" i="17" s="1"/>
  <c r="H17" i="17"/>
  <c r="F17" i="17"/>
  <c r="T17" i="17" s="1"/>
  <c r="D17" i="17"/>
  <c r="G17" i="17" s="1"/>
  <c r="Q17" i="17" s="1"/>
  <c r="H14" i="17"/>
  <c r="F14" i="17"/>
  <c r="T14" i="17" s="1"/>
  <c r="D14" i="17"/>
  <c r="G14" i="17" s="1"/>
  <c r="Q14" i="17" s="1"/>
  <c r="H63" i="16"/>
  <c r="G63" i="16"/>
  <c r="F63" i="16"/>
  <c r="H98" i="16"/>
  <c r="F98" i="16"/>
  <c r="D98" i="16"/>
  <c r="G98" i="16" s="1"/>
  <c r="H97" i="16"/>
  <c r="F97" i="16"/>
  <c r="D97" i="16"/>
  <c r="G97" i="16" s="1"/>
  <c r="H76" i="16"/>
  <c r="F76" i="16"/>
  <c r="S76" i="16" s="1"/>
  <c r="D76" i="16"/>
  <c r="G76" i="16" s="1"/>
  <c r="T76" i="16" s="1"/>
  <c r="H75" i="16"/>
  <c r="F75" i="16"/>
  <c r="S75" i="16" s="1"/>
  <c r="D75" i="16"/>
  <c r="G75" i="16" s="1"/>
  <c r="T75" i="16" s="1"/>
  <c r="H74" i="16"/>
  <c r="F74" i="16"/>
  <c r="S74" i="16" s="1"/>
  <c r="D74" i="16"/>
  <c r="G74" i="16" s="1"/>
  <c r="T74" i="16" s="1"/>
  <c r="H73" i="16"/>
  <c r="F73" i="16"/>
  <c r="S73" i="16" s="1"/>
  <c r="D73" i="16"/>
  <c r="G73" i="16" s="1"/>
  <c r="T73" i="16" s="1"/>
  <c r="H72" i="16"/>
  <c r="F72" i="16"/>
  <c r="S72" i="16" s="1"/>
  <c r="D72" i="16"/>
  <c r="G72" i="16" s="1"/>
  <c r="T72" i="16" s="1"/>
  <c r="H61" i="16"/>
  <c r="F61" i="16"/>
  <c r="D61" i="16"/>
  <c r="G61" i="16" s="1"/>
  <c r="H71" i="16"/>
  <c r="F71" i="16"/>
  <c r="S71" i="16" s="1"/>
  <c r="D71" i="16"/>
  <c r="G71" i="16" s="1"/>
  <c r="T71" i="16" s="1"/>
  <c r="H70" i="16"/>
  <c r="F70" i="16"/>
  <c r="S70" i="16" s="1"/>
  <c r="D70" i="16"/>
  <c r="G70" i="16" s="1"/>
  <c r="T70" i="16" s="1"/>
  <c r="H78" i="16"/>
  <c r="G78" i="16"/>
  <c r="F78" i="16"/>
  <c r="H81" i="16"/>
  <c r="G81" i="16"/>
  <c r="F81" i="16"/>
  <c r="H96" i="16"/>
  <c r="F96" i="16"/>
  <c r="D96" i="16"/>
  <c r="G96" i="16" s="1"/>
  <c r="H95" i="16"/>
  <c r="F95" i="16"/>
  <c r="D95" i="16"/>
  <c r="G95" i="16" s="1"/>
  <c r="H94" i="16"/>
  <c r="F94" i="16"/>
  <c r="D94" i="16"/>
  <c r="G94" i="16" s="1"/>
  <c r="H93" i="16"/>
  <c r="F93" i="16"/>
  <c r="D93" i="16"/>
  <c r="G93" i="16" s="1"/>
  <c r="H92" i="16"/>
  <c r="F92" i="16"/>
  <c r="D92" i="16"/>
  <c r="G92" i="16" s="1"/>
  <c r="H91" i="16"/>
  <c r="F91" i="16"/>
  <c r="D91" i="16"/>
  <c r="G91" i="16" s="1"/>
  <c r="H90" i="16"/>
  <c r="F90" i="16"/>
  <c r="D90" i="16"/>
  <c r="G90" i="16" s="1"/>
  <c r="H89" i="16"/>
  <c r="F89" i="16"/>
  <c r="D89" i="16"/>
  <c r="G89" i="16" s="1"/>
  <c r="H88" i="16"/>
  <c r="F88" i="16"/>
  <c r="D88" i="16"/>
  <c r="G88" i="16" s="1"/>
  <c r="H87" i="16"/>
  <c r="F87" i="16"/>
  <c r="D87" i="16"/>
  <c r="G87" i="16" s="1"/>
  <c r="H86" i="16"/>
  <c r="F86" i="16"/>
  <c r="D86" i="16"/>
  <c r="G86" i="16" s="1"/>
  <c r="H85" i="16"/>
  <c r="F85" i="16"/>
  <c r="D85" i="16"/>
  <c r="G85" i="16" s="1"/>
  <c r="H84" i="16"/>
  <c r="F84" i="16"/>
  <c r="D84" i="16"/>
  <c r="G84" i="16" s="1"/>
  <c r="H83" i="16"/>
  <c r="F83" i="16"/>
  <c r="D83" i="16"/>
  <c r="G83" i="16" s="1"/>
  <c r="H82" i="16"/>
  <c r="F82" i="16"/>
  <c r="D82" i="16"/>
  <c r="G82" i="16" s="1"/>
  <c r="H67" i="16"/>
  <c r="G67" i="16"/>
  <c r="F67" i="16"/>
  <c r="H66" i="16"/>
  <c r="G66" i="16"/>
  <c r="F66" i="16"/>
  <c r="H59" i="16"/>
  <c r="G59" i="16"/>
  <c r="F59" i="16"/>
  <c r="H58" i="16"/>
  <c r="G58" i="16"/>
  <c r="F58" i="16"/>
  <c r="H57" i="16"/>
  <c r="F57" i="16"/>
  <c r="D57" i="16"/>
  <c r="G57" i="16" s="1"/>
  <c r="H79" i="16"/>
  <c r="F79" i="16"/>
  <c r="D79" i="16"/>
  <c r="G79" i="16" s="1"/>
  <c r="H56" i="16"/>
  <c r="F56" i="16"/>
  <c r="D56" i="16"/>
  <c r="G56" i="16" s="1"/>
  <c r="H55" i="16"/>
  <c r="F55" i="16"/>
  <c r="D55" i="16"/>
  <c r="G55" i="16" s="1"/>
  <c r="H54" i="16"/>
  <c r="F54" i="16"/>
  <c r="D54" i="16"/>
  <c r="G54" i="16" s="1"/>
  <c r="H53" i="16"/>
  <c r="F53" i="16"/>
  <c r="D53" i="16"/>
  <c r="G53" i="16" s="1"/>
  <c r="H52" i="16"/>
  <c r="F52" i="16"/>
  <c r="D52" i="16"/>
  <c r="G52" i="16" s="1"/>
  <c r="H51" i="16"/>
  <c r="F51" i="16"/>
  <c r="D51" i="16"/>
  <c r="G51" i="16" s="1"/>
  <c r="H50" i="16"/>
  <c r="F50" i="16"/>
  <c r="D50" i="16"/>
  <c r="G50" i="16" s="1"/>
  <c r="H49" i="16"/>
  <c r="F49" i="16"/>
  <c r="D49" i="16"/>
  <c r="G49" i="16" s="1"/>
  <c r="H60" i="16"/>
  <c r="F60" i="16"/>
  <c r="D60" i="16"/>
  <c r="G60" i="16" s="1"/>
  <c r="H48" i="16"/>
  <c r="F48" i="16"/>
  <c r="D48" i="16"/>
  <c r="G48" i="16" s="1"/>
  <c r="H69" i="16"/>
  <c r="F69" i="16"/>
  <c r="S69" i="16" s="1"/>
  <c r="D69" i="16"/>
  <c r="G69" i="16" s="1"/>
  <c r="T69" i="16" s="1"/>
  <c r="H68" i="16"/>
  <c r="R68" i="16" s="1"/>
  <c r="F68" i="16"/>
  <c r="S68" i="16" s="1"/>
  <c r="D68" i="16"/>
  <c r="G68" i="16" s="1"/>
  <c r="T68" i="16" s="1"/>
  <c r="H47" i="16"/>
  <c r="F47" i="16"/>
  <c r="D47" i="16"/>
  <c r="G47" i="16" s="1"/>
  <c r="H46" i="16"/>
  <c r="F46" i="16"/>
  <c r="D46" i="16"/>
  <c r="G46" i="16" s="1"/>
  <c r="H44" i="16"/>
  <c r="G44" i="16"/>
  <c r="F44" i="16"/>
  <c r="H43" i="16"/>
  <c r="F43" i="16"/>
  <c r="D43" i="16"/>
  <c r="G43" i="16" s="1"/>
  <c r="H42" i="16"/>
  <c r="F42" i="16"/>
  <c r="D42" i="16"/>
  <c r="G42" i="16" s="1"/>
  <c r="H41" i="16"/>
  <c r="F41" i="16"/>
  <c r="D41" i="16"/>
  <c r="G41" i="16" s="1"/>
  <c r="H40" i="16"/>
  <c r="F40" i="16"/>
  <c r="D40" i="16"/>
  <c r="G40" i="16" s="1"/>
  <c r="H39" i="16"/>
  <c r="F39" i="16"/>
  <c r="D39" i="16"/>
  <c r="G39" i="16" s="1"/>
  <c r="H38" i="16"/>
  <c r="F38" i="16"/>
  <c r="D38" i="16"/>
  <c r="G38" i="16" s="1"/>
  <c r="H37" i="16"/>
  <c r="F37" i="16"/>
  <c r="D37" i="16"/>
  <c r="G37" i="16" s="1"/>
  <c r="H36" i="16"/>
  <c r="F36" i="16"/>
  <c r="D36" i="16"/>
  <c r="G36" i="16" s="1"/>
  <c r="H35" i="16"/>
  <c r="F35" i="16"/>
  <c r="D35" i="16"/>
  <c r="G35" i="16" s="1"/>
  <c r="H33" i="16"/>
  <c r="G33" i="16"/>
  <c r="F33" i="16"/>
  <c r="H7" i="16"/>
  <c r="F7" i="16"/>
  <c r="D7" i="16"/>
  <c r="G7" i="16" s="1"/>
  <c r="H18" i="16"/>
  <c r="F18" i="16"/>
  <c r="D18" i="16"/>
  <c r="G18" i="16" s="1"/>
  <c r="H6" i="16"/>
  <c r="F6" i="16"/>
  <c r="R6" i="16" s="1"/>
  <c r="D6" i="16"/>
  <c r="G6" i="16" s="1"/>
  <c r="S6" i="16" s="1"/>
  <c r="H5" i="16"/>
  <c r="F5" i="16"/>
  <c r="R5" i="16" s="1"/>
  <c r="D5" i="16"/>
  <c r="G5" i="16" s="1"/>
  <c r="S5" i="16" s="1"/>
  <c r="H3" i="16"/>
  <c r="F3" i="16"/>
  <c r="R3" i="16" s="1"/>
  <c r="D3" i="16"/>
  <c r="G3" i="16" s="1"/>
  <c r="S3" i="16" s="1"/>
  <c r="H2" i="16"/>
  <c r="F2" i="16"/>
  <c r="R2" i="16" s="1"/>
  <c r="D2" i="16"/>
  <c r="G2" i="16" s="1"/>
  <c r="S2" i="16" s="1"/>
  <c r="H12" i="16"/>
  <c r="G12" i="16"/>
  <c r="F12" i="16"/>
  <c r="H31" i="16"/>
  <c r="F31" i="16"/>
  <c r="D31" i="16"/>
  <c r="G31" i="16" s="1"/>
  <c r="H30" i="16"/>
  <c r="F30" i="16"/>
  <c r="D30" i="16"/>
  <c r="G30" i="16" s="1"/>
  <c r="H29" i="16"/>
  <c r="F29" i="16"/>
  <c r="D29" i="16"/>
  <c r="G29" i="16" s="1"/>
  <c r="H28" i="16"/>
  <c r="F28" i="16"/>
  <c r="D28" i="16"/>
  <c r="G28" i="16" s="1"/>
  <c r="H4" i="16"/>
  <c r="F4" i="16"/>
  <c r="R4" i="16" s="1"/>
  <c r="D4" i="16"/>
  <c r="G4" i="16" s="1"/>
  <c r="S4" i="16" s="1"/>
  <c r="H27" i="16"/>
  <c r="F27" i="16"/>
  <c r="D27" i="16"/>
  <c r="G27" i="16" s="1"/>
  <c r="H9" i="16"/>
  <c r="G9" i="16"/>
  <c r="F9" i="16"/>
  <c r="H26" i="16"/>
  <c r="F26" i="16"/>
  <c r="D26" i="16"/>
  <c r="G26" i="16" s="1"/>
  <c r="H25" i="16"/>
  <c r="F25" i="16"/>
  <c r="D25" i="16"/>
  <c r="G25" i="16" s="1"/>
  <c r="H24" i="16"/>
  <c r="F24" i="16"/>
  <c r="D24" i="16"/>
  <c r="G24" i="16" s="1"/>
  <c r="H23" i="16"/>
  <c r="F23" i="16"/>
  <c r="D23" i="16"/>
  <c r="G23" i="16" s="1"/>
  <c r="H22" i="16"/>
  <c r="F22" i="16"/>
  <c r="D22" i="16"/>
  <c r="G22" i="16" s="1"/>
  <c r="H21" i="16"/>
  <c r="F21" i="16"/>
  <c r="D21" i="16"/>
  <c r="G21" i="16" s="1"/>
  <c r="H10" i="16"/>
  <c r="F10" i="16"/>
  <c r="O10" i="16" s="1"/>
  <c r="D10" i="16"/>
  <c r="G10" i="16" s="1"/>
  <c r="H20" i="16"/>
  <c r="G20" i="16"/>
  <c r="F20" i="16"/>
  <c r="H19" i="16"/>
  <c r="G19" i="16"/>
  <c r="F19" i="16"/>
  <c r="H17" i="16"/>
  <c r="F17" i="16"/>
  <c r="D17" i="16"/>
  <c r="G17" i="16" s="1"/>
  <c r="H16" i="16"/>
  <c r="F16" i="16"/>
  <c r="D16" i="16"/>
  <c r="G16" i="16" s="1"/>
  <c r="H15" i="16"/>
  <c r="F15" i="16"/>
  <c r="D15" i="16"/>
  <c r="G15" i="16" s="1"/>
  <c r="H14" i="16"/>
  <c r="F14" i="16"/>
  <c r="D14" i="16"/>
  <c r="G14" i="16" s="1"/>
  <c r="H13" i="16"/>
  <c r="F13" i="16"/>
  <c r="D13" i="16"/>
  <c r="G13" i="16" s="1"/>
  <c r="T19" i="15"/>
  <c r="Q19" i="15"/>
  <c r="R19" i="15" s="1"/>
  <c r="O19" i="15"/>
  <c r="M19" i="15"/>
  <c r="N19" i="15" s="1"/>
  <c r="H95" i="15"/>
  <c r="F95" i="15"/>
  <c r="D95" i="15"/>
  <c r="G95" i="15" s="1"/>
  <c r="H94" i="15"/>
  <c r="F94" i="15"/>
  <c r="D94" i="15"/>
  <c r="G94" i="15" s="1"/>
  <c r="H77" i="15"/>
  <c r="O77" i="15" s="1"/>
  <c r="F77" i="15"/>
  <c r="T77" i="15" s="1"/>
  <c r="D77" i="15"/>
  <c r="G77" i="15" s="1"/>
  <c r="H91" i="15"/>
  <c r="F91" i="15"/>
  <c r="D91" i="15"/>
  <c r="G91" i="15" s="1"/>
  <c r="H69" i="15"/>
  <c r="O69" i="15" s="1"/>
  <c r="F69" i="15"/>
  <c r="T69" i="15" s="1"/>
  <c r="D69" i="15"/>
  <c r="G69" i="15" s="1"/>
  <c r="H90" i="15"/>
  <c r="F90" i="15"/>
  <c r="D90" i="15"/>
  <c r="G90" i="15" s="1"/>
  <c r="H89" i="15"/>
  <c r="F89" i="15"/>
  <c r="D89" i="15"/>
  <c r="G89" i="15" s="1"/>
  <c r="H88" i="15"/>
  <c r="F88" i="15"/>
  <c r="D88" i="15"/>
  <c r="G88" i="15" s="1"/>
  <c r="H87" i="15"/>
  <c r="F87" i="15"/>
  <c r="D87" i="15"/>
  <c r="G87" i="15" s="1"/>
  <c r="H55" i="15"/>
  <c r="F55" i="15"/>
  <c r="O55" i="15" s="1"/>
  <c r="P55" i="15" s="1"/>
  <c r="D55" i="15"/>
  <c r="G55" i="15" s="1"/>
  <c r="H86" i="15"/>
  <c r="F86" i="15"/>
  <c r="D86" i="15"/>
  <c r="G86" i="15" s="1"/>
  <c r="H85" i="15"/>
  <c r="F85" i="15"/>
  <c r="D85" i="15"/>
  <c r="G85" i="15" s="1"/>
  <c r="H49" i="15"/>
  <c r="F49" i="15"/>
  <c r="O49" i="15" s="1"/>
  <c r="P49" i="15" s="1"/>
  <c r="D49" i="15"/>
  <c r="G49" i="15" s="1"/>
  <c r="H48" i="15"/>
  <c r="F48" i="15"/>
  <c r="O48" i="15" s="1"/>
  <c r="P48" i="15" s="1"/>
  <c r="D48" i="15"/>
  <c r="G48" i="15" s="1"/>
  <c r="H51" i="15"/>
  <c r="F51" i="15"/>
  <c r="O51" i="15" s="1"/>
  <c r="P51" i="15" s="1"/>
  <c r="D51" i="15"/>
  <c r="G51" i="15" s="1"/>
  <c r="H50" i="15"/>
  <c r="F50" i="15"/>
  <c r="O50" i="15" s="1"/>
  <c r="P50" i="15" s="1"/>
  <c r="D50" i="15"/>
  <c r="G50" i="15" s="1"/>
  <c r="H47" i="15"/>
  <c r="F47" i="15"/>
  <c r="O47" i="15" s="1"/>
  <c r="P47" i="15" s="1"/>
  <c r="D47" i="15"/>
  <c r="G47" i="15" s="1"/>
  <c r="H46" i="15"/>
  <c r="F46" i="15"/>
  <c r="O46" i="15" s="1"/>
  <c r="P46" i="15" s="1"/>
  <c r="D46" i="15"/>
  <c r="G46" i="15" s="1"/>
  <c r="H79" i="15"/>
  <c r="O79" i="15" s="1"/>
  <c r="F79" i="15"/>
  <c r="T79" i="15" s="1"/>
  <c r="D79" i="15"/>
  <c r="G79" i="15" s="1"/>
  <c r="H82" i="15"/>
  <c r="O82" i="15" s="1"/>
  <c r="F82" i="15"/>
  <c r="T82" i="15" s="1"/>
  <c r="D82" i="15"/>
  <c r="G82" i="15" s="1"/>
  <c r="H61" i="15"/>
  <c r="F61" i="15"/>
  <c r="O61" i="15" s="1"/>
  <c r="P61" i="15" s="1"/>
  <c r="D61" i="15"/>
  <c r="G61" i="15" s="1"/>
  <c r="H81" i="15"/>
  <c r="O81" i="15" s="1"/>
  <c r="F81" i="15"/>
  <c r="T81" i="15" s="1"/>
  <c r="D81" i="15"/>
  <c r="G81" i="15" s="1"/>
  <c r="H80" i="15"/>
  <c r="O80" i="15" s="1"/>
  <c r="F80" i="15"/>
  <c r="T80" i="15" s="1"/>
  <c r="D80" i="15"/>
  <c r="G80" i="15" s="1"/>
  <c r="H78" i="15"/>
  <c r="O78" i="15" s="1"/>
  <c r="F78" i="15"/>
  <c r="T78" i="15" s="1"/>
  <c r="D78" i="15"/>
  <c r="G78" i="15" s="1"/>
  <c r="H76" i="15"/>
  <c r="O76" i="15" s="1"/>
  <c r="F76" i="15"/>
  <c r="T76" i="15" s="1"/>
  <c r="D76" i="15"/>
  <c r="G76" i="15" s="1"/>
  <c r="H75" i="15"/>
  <c r="O75" i="15" s="1"/>
  <c r="F75" i="15"/>
  <c r="T75" i="15" s="1"/>
  <c r="D75" i="15"/>
  <c r="G75" i="15" s="1"/>
  <c r="H74" i="15"/>
  <c r="O74" i="15" s="1"/>
  <c r="F74" i="15"/>
  <c r="T74" i="15" s="1"/>
  <c r="D74" i="15"/>
  <c r="G74" i="15" s="1"/>
  <c r="H73" i="15"/>
  <c r="O73" i="15" s="1"/>
  <c r="F73" i="15"/>
  <c r="T73" i="15" s="1"/>
  <c r="D73" i="15"/>
  <c r="G73" i="15" s="1"/>
  <c r="H72" i="15"/>
  <c r="O72" i="15" s="1"/>
  <c r="F72" i="15"/>
  <c r="T72" i="15" s="1"/>
  <c r="D72" i="15"/>
  <c r="G72" i="15" s="1"/>
  <c r="H70" i="15"/>
  <c r="O70" i="15" s="1"/>
  <c r="F70" i="15"/>
  <c r="T70" i="15" s="1"/>
  <c r="D70" i="15"/>
  <c r="G70" i="15" s="1"/>
  <c r="H92" i="15"/>
  <c r="F92" i="15"/>
  <c r="D92" i="15"/>
  <c r="G92" i="15" s="1"/>
  <c r="H68" i="15"/>
  <c r="O68" i="15" s="1"/>
  <c r="F68" i="15"/>
  <c r="T68" i="15" s="1"/>
  <c r="D68" i="15"/>
  <c r="G68" i="15" s="1"/>
  <c r="H67" i="15"/>
  <c r="G67" i="15"/>
  <c r="F67" i="15"/>
  <c r="H84" i="15"/>
  <c r="G84" i="15"/>
  <c r="F84" i="15"/>
  <c r="H83" i="15"/>
  <c r="G83" i="15"/>
  <c r="F83" i="15"/>
  <c r="H97" i="15"/>
  <c r="G97" i="15"/>
  <c r="F97" i="15"/>
  <c r="H65" i="15"/>
  <c r="G65" i="15"/>
  <c r="F65" i="15"/>
  <c r="H63" i="15"/>
  <c r="G63" i="15"/>
  <c r="F63" i="15"/>
  <c r="H62" i="15"/>
  <c r="G62" i="15"/>
  <c r="F62" i="15"/>
  <c r="H59" i="15"/>
  <c r="F59" i="15"/>
  <c r="O59" i="15" s="1"/>
  <c r="P59" i="15" s="1"/>
  <c r="D59" i="15"/>
  <c r="G59" i="15" s="1"/>
  <c r="H58" i="15"/>
  <c r="F58" i="15"/>
  <c r="O58" i="15" s="1"/>
  <c r="P58" i="15" s="1"/>
  <c r="D58" i="15"/>
  <c r="G58" i="15" s="1"/>
  <c r="H57" i="15"/>
  <c r="F57" i="15"/>
  <c r="O57" i="15" s="1"/>
  <c r="P57" i="15" s="1"/>
  <c r="D57" i="15"/>
  <c r="G57" i="15" s="1"/>
  <c r="H71" i="15"/>
  <c r="O71" i="15" s="1"/>
  <c r="F71" i="15"/>
  <c r="T71" i="15" s="1"/>
  <c r="D71" i="15"/>
  <c r="G71" i="15" s="1"/>
  <c r="H60" i="15"/>
  <c r="F60" i="15"/>
  <c r="O60" i="15" s="1"/>
  <c r="P60" i="15" s="1"/>
  <c r="D60" i="15"/>
  <c r="G60" i="15" s="1"/>
  <c r="H42" i="15"/>
  <c r="F42" i="15"/>
  <c r="O42" i="15" s="1"/>
  <c r="D42" i="15"/>
  <c r="G42" i="15" s="1"/>
  <c r="P42" i="15" s="1"/>
  <c r="Q42" i="15" s="1"/>
  <c r="H56" i="15"/>
  <c r="F56" i="15"/>
  <c r="O56" i="15" s="1"/>
  <c r="P56" i="15" s="1"/>
  <c r="D56" i="15"/>
  <c r="G56" i="15" s="1"/>
  <c r="H52" i="15"/>
  <c r="F52" i="15"/>
  <c r="O52" i="15" s="1"/>
  <c r="P52" i="15" s="1"/>
  <c r="D52" i="15"/>
  <c r="G52" i="15" s="1"/>
  <c r="H54" i="15"/>
  <c r="F54" i="15"/>
  <c r="O54" i="15" s="1"/>
  <c r="P54" i="15" s="1"/>
  <c r="D54" i="15"/>
  <c r="G54" i="15" s="1"/>
  <c r="H53" i="15"/>
  <c r="F53" i="15"/>
  <c r="O53" i="15" s="1"/>
  <c r="P53" i="15" s="1"/>
  <c r="D53" i="15"/>
  <c r="G53" i="15" s="1"/>
  <c r="H44" i="15"/>
  <c r="G44" i="15"/>
  <c r="F44" i="15"/>
  <c r="H43" i="15"/>
  <c r="F43" i="15"/>
  <c r="O43" i="15" s="1"/>
  <c r="D43" i="15"/>
  <c r="G43" i="15" s="1"/>
  <c r="P43" i="15" s="1"/>
  <c r="Q43" i="15" s="1"/>
  <c r="H41" i="15"/>
  <c r="F41" i="15"/>
  <c r="O41" i="15" s="1"/>
  <c r="D41" i="15"/>
  <c r="G41" i="15" s="1"/>
  <c r="P41" i="15" s="1"/>
  <c r="Q41" i="15" s="1"/>
  <c r="H40" i="15"/>
  <c r="F40" i="15"/>
  <c r="O40" i="15" s="1"/>
  <c r="D40" i="15"/>
  <c r="G40" i="15" s="1"/>
  <c r="P40" i="15" s="1"/>
  <c r="Q40" i="15" s="1"/>
  <c r="H39" i="15"/>
  <c r="F39" i="15"/>
  <c r="O39" i="15" s="1"/>
  <c r="D39" i="15"/>
  <c r="G39" i="15" s="1"/>
  <c r="P39" i="15" s="1"/>
  <c r="Q39" i="15" s="1"/>
  <c r="H38" i="15"/>
  <c r="F38" i="15"/>
  <c r="O38" i="15" s="1"/>
  <c r="D38" i="15"/>
  <c r="G38" i="15" s="1"/>
  <c r="P38" i="15" s="1"/>
  <c r="Q38" i="15" s="1"/>
  <c r="H37" i="15"/>
  <c r="F37" i="15"/>
  <c r="O37" i="15" s="1"/>
  <c r="D37" i="15"/>
  <c r="G37" i="15" s="1"/>
  <c r="P37" i="15" s="1"/>
  <c r="Q37" i="15" s="1"/>
  <c r="H36" i="15"/>
  <c r="F36" i="15"/>
  <c r="O36" i="15" s="1"/>
  <c r="D36" i="15"/>
  <c r="G36" i="15" s="1"/>
  <c r="P36" i="15" s="1"/>
  <c r="Q36" i="15" s="1"/>
  <c r="H35" i="15"/>
  <c r="F35" i="15"/>
  <c r="O35" i="15" s="1"/>
  <c r="D35" i="15"/>
  <c r="G35" i="15" s="1"/>
  <c r="P35" i="15" s="1"/>
  <c r="Q35" i="15" s="1"/>
  <c r="H33" i="15"/>
  <c r="G33" i="15"/>
  <c r="F33" i="15"/>
  <c r="H31" i="15"/>
  <c r="F31" i="15"/>
  <c r="D31" i="15"/>
  <c r="G31" i="15" s="1"/>
  <c r="H30" i="15"/>
  <c r="F30" i="15"/>
  <c r="D30" i="15"/>
  <c r="G30" i="15" s="1"/>
  <c r="H29" i="15"/>
  <c r="F29" i="15"/>
  <c r="D29" i="15"/>
  <c r="G29" i="15" s="1"/>
  <c r="H19" i="15"/>
  <c r="F19" i="15"/>
  <c r="D19" i="15"/>
  <c r="G19" i="15" s="1"/>
  <c r="H18" i="15"/>
  <c r="O18" i="15" s="1"/>
  <c r="F18" i="15"/>
  <c r="T18" i="15" s="1"/>
  <c r="D18" i="15"/>
  <c r="G18" i="15" s="1"/>
  <c r="H28" i="15"/>
  <c r="F28" i="15"/>
  <c r="D28" i="15"/>
  <c r="G28" i="15" s="1"/>
  <c r="H27" i="15"/>
  <c r="F27" i="15"/>
  <c r="D27" i="15"/>
  <c r="G27" i="15" s="1"/>
  <c r="H26" i="15"/>
  <c r="F26" i="15"/>
  <c r="D26" i="15"/>
  <c r="G26" i="15" s="1"/>
  <c r="H10" i="15"/>
  <c r="F10" i="15"/>
  <c r="O10" i="15" s="1"/>
  <c r="P10" i="15" s="1"/>
  <c r="D10" i="15"/>
  <c r="G10" i="15" s="1"/>
  <c r="H9" i="15"/>
  <c r="F9" i="15"/>
  <c r="O9" i="15" s="1"/>
  <c r="P9" i="15" s="1"/>
  <c r="D9" i="15"/>
  <c r="G9" i="15" s="1"/>
  <c r="H25" i="15"/>
  <c r="G25" i="15"/>
  <c r="F25" i="15"/>
  <c r="H22" i="15"/>
  <c r="O22" i="15" s="1"/>
  <c r="F22" i="15"/>
  <c r="T22" i="15" s="1"/>
  <c r="D22" i="15"/>
  <c r="G22" i="15" s="1"/>
  <c r="H20" i="15"/>
  <c r="O20" i="15" s="1"/>
  <c r="F20" i="15"/>
  <c r="T20" i="15" s="1"/>
  <c r="D20" i="15"/>
  <c r="G20" i="15" s="1"/>
  <c r="H23" i="15"/>
  <c r="O23" i="15" s="1"/>
  <c r="F23" i="15"/>
  <c r="T23" i="15" s="1"/>
  <c r="D23" i="15"/>
  <c r="G23" i="15" s="1"/>
  <c r="H11" i="15"/>
  <c r="F11" i="15"/>
  <c r="O11" i="15" s="1"/>
  <c r="P11" i="15" s="1"/>
  <c r="D11" i="15"/>
  <c r="G11" i="15" s="1"/>
  <c r="H21" i="15"/>
  <c r="O21" i="15" s="1"/>
  <c r="F21" i="15"/>
  <c r="T21" i="15" s="1"/>
  <c r="D21" i="15"/>
  <c r="G21" i="15" s="1"/>
  <c r="H17" i="15"/>
  <c r="G17" i="15"/>
  <c r="F17" i="15"/>
  <c r="H15" i="15"/>
  <c r="F15" i="15"/>
  <c r="O15" i="15" s="1"/>
  <c r="P15" i="15" s="1"/>
  <c r="D15" i="15"/>
  <c r="G15" i="15" s="1"/>
  <c r="H14" i="15"/>
  <c r="F14" i="15"/>
  <c r="O14" i="15" s="1"/>
  <c r="P14" i="15" s="1"/>
  <c r="D14" i="15"/>
  <c r="G14" i="15" s="1"/>
  <c r="H13" i="15"/>
  <c r="F13" i="15"/>
  <c r="O13" i="15" s="1"/>
  <c r="P13" i="15" s="1"/>
  <c r="D13" i="15"/>
  <c r="G13" i="15" s="1"/>
  <c r="H12" i="15"/>
  <c r="F12" i="15"/>
  <c r="O12" i="15" s="1"/>
  <c r="P12" i="15" s="1"/>
  <c r="D12" i="15"/>
  <c r="G12" i="15" s="1"/>
  <c r="H5" i="15"/>
  <c r="F5" i="15"/>
  <c r="O5" i="15" s="1"/>
  <c r="D5" i="15"/>
  <c r="G5" i="15" s="1"/>
  <c r="P5" i="15" s="1"/>
  <c r="Q5" i="15" s="1"/>
  <c r="H3" i="15"/>
  <c r="F3" i="15"/>
  <c r="O3" i="15" s="1"/>
  <c r="D3" i="15"/>
  <c r="G3" i="15" s="1"/>
  <c r="P3" i="15" s="1"/>
  <c r="Q3" i="15" s="1"/>
  <c r="H2" i="15"/>
  <c r="F2" i="15"/>
  <c r="O2" i="15" s="1"/>
  <c r="D2" i="15"/>
  <c r="G2" i="15" s="1"/>
  <c r="P2" i="15" s="1"/>
  <c r="Q2" i="15" s="1"/>
  <c r="H8" i="15"/>
  <c r="G8" i="15"/>
  <c r="F8" i="15"/>
  <c r="H7" i="15"/>
  <c r="G7" i="15"/>
  <c r="F7" i="15"/>
  <c r="H6" i="15"/>
  <c r="F6" i="15"/>
  <c r="O6" i="15" s="1"/>
  <c r="D6" i="15"/>
  <c r="G6" i="15" s="1"/>
  <c r="P6" i="15" s="1"/>
  <c r="Q6" i="15" s="1"/>
  <c r="H4" i="15"/>
  <c r="F4" i="15"/>
  <c r="O4" i="15" s="1"/>
  <c r="D4" i="15"/>
  <c r="G4" i="15" s="1"/>
  <c r="P4" i="15" s="1"/>
  <c r="Q4" i="15" s="1"/>
  <c r="H66" i="14"/>
  <c r="G66" i="14"/>
  <c r="F66" i="14"/>
  <c r="H65" i="14"/>
  <c r="G65" i="14"/>
  <c r="F65" i="14"/>
  <c r="H58" i="14"/>
  <c r="G58" i="14"/>
  <c r="F58" i="14"/>
  <c r="H56" i="14"/>
  <c r="G56" i="14"/>
  <c r="F56" i="14"/>
  <c r="H99" i="14"/>
  <c r="F99" i="14"/>
  <c r="D99" i="14"/>
  <c r="G99" i="14" s="1"/>
  <c r="H81" i="14"/>
  <c r="F81" i="14"/>
  <c r="D81" i="14"/>
  <c r="G81" i="14" s="1"/>
  <c r="H80" i="14"/>
  <c r="F80" i="14"/>
  <c r="D80" i="14"/>
  <c r="G80" i="14" s="1"/>
  <c r="H55" i="14"/>
  <c r="G55" i="14"/>
  <c r="F55" i="14"/>
  <c r="H79" i="14"/>
  <c r="F79" i="14"/>
  <c r="D79" i="14"/>
  <c r="G79" i="14" s="1"/>
  <c r="H97" i="14"/>
  <c r="F97" i="14"/>
  <c r="D97" i="14"/>
  <c r="G97" i="14" s="1"/>
  <c r="H96" i="14"/>
  <c r="F96" i="14"/>
  <c r="D96" i="14"/>
  <c r="G96" i="14" s="1"/>
  <c r="H95" i="14"/>
  <c r="F95" i="14"/>
  <c r="D95" i="14"/>
  <c r="G95" i="14" s="1"/>
  <c r="H94" i="14"/>
  <c r="F94" i="14"/>
  <c r="D94" i="14"/>
  <c r="G94" i="14" s="1"/>
  <c r="H93" i="14"/>
  <c r="F93" i="14"/>
  <c r="D93" i="14"/>
  <c r="G93" i="14" s="1"/>
  <c r="H92" i="14"/>
  <c r="F92" i="14"/>
  <c r="D92" i="14"/>
  <c r="G92" i="14" s="1"/>
  <c r="H91" i="14"/>
  <c r="F91" i="14"/>
  <c r="D91" i="14"/>
  <c r="G91" i="14" s="1"/>
  <c r="H90" i="14"/>
  <c r="F90" i="14"/>
  <c r="D90" i="14"/>
  <c r="G90" i="14" s="1"/>
  <c r="H89" i="14"/>
  <c r="F89" i="14"/>
  <c r="D89" i="14"/>
  <c r="G89" i="14" s="1"/>
  <c r="H88" i="14"/>
  <c r="F88" i="14"/>
  <c r="D88" i="14"/>
  <c r="G88" i="14" s="1"/>
  <c r="H87" i="14"/>
  <c r="F87" i="14"/>
  <c r="D87" i="14"/>
  <c r="G87" i="14" s="1"/>
  <c r="H86" i="14"/>
  <c r="F86" i="14"/>
  <c r="D86" i="14"/>
  <c r="G86" i="14" s="1"/>
  <c r="H85" i="14"/>
  <c r="F85" i="14"/>
  <c r="D85" i="14"/>
  <c r="G85" i="14" s="1"/>
  <c r="H62" i="14"/>
  <c r="G62" i="14"/>
  <c r="F62" i="14"/>
  <c r="H84" i="14"/>
  <c r="F84" i="14"/>
  <c r="D84" i="14"/>
  <c r="G84" i="14" s="1"/>
  <c r="H83" i="14"/>
  <c r="F83" i="14"/>
  <c r="D83" i="14"/>
  <c r="G83" i="14" s="1"/>
  <c r="H82" i="14"/>
  <c r="F82" i="14"/>
  <c r="D82" i="14"/>
  <c r="G82" i="14" s="1"/>
  <c r="H67" i="14"/>
  <c r="G67" i="14"/>
  <c r="F67" i="14"/>
  <c r="H54" i="14"/>
  <c r="F54" i="14"/>
  <c r="O54" i="14" s="1"/>
  <c r="P54" i="14" s="1"/>
  <c r="D54" i="14"/>
  <c r="G54" i="14" s="1"/>
  <c r="Q54" i="14" s="1"/>
  <c r="R54" i="14" s="1"/>
  <c r="H53" i="14"/>
  <c r="F53" i="14"/>
  <c r="O53" i="14" s="1"/>
  <c r="P53" i="14" s="1"/>
  <c r="D53" i="14"/>
  <c r="G53" i="14" s="1"/>
  <c r="Q53" i="14" s="1"/>
  <c r="R53" i="14" s="1"/>
  <c r="H52" i="14"/>
  <c r="F52" i="14"/>
  <c r="O52" i="14" s="1"/>
  <c r="P52" i="14" s="1"/>
  <c r="D52" i="14"/>
  <c r="G52" i="14" s="1"/>
  <c r="Q52" i="14" s="1"/>
  <c r="R52" i="14" s="1"/>
  <c r="H98" i="14"/>
  <c r="F98" i="14"/>
  <c r="D98" i="14"/>
  <c r="G98" i="14" s="1"/>
  <c r="H78" i="14"/>
  <c r="F78" i="14"/>
  <c r="D78" i="14"/>
  <c r="G78" i="14" s="1"/>
  <c r="H77" i="14"/>
  <c r="F77" i="14"/>
  <c r="D77" i="14"/>
  <c r="G77" i="14" s="1"/>
  <c r="H76" i="14"/>
  <c r="F76" i="14"/>
  <c r="D76" i="14"/>
  <c r="G76" i="14" s="1"/>
  <c r="H75" i="14"/>
  <c r="F75" i="14"/>
  <c r="D75" i="14"/>
  <c r="G75" i="14" s="1"/>
  <c r="H74" i="14"/>
  <c r="F74" i="14"/>
  <c r="D74" i="14"/>
  <c r="G74" i="14" s="1"/>
  <c r="H73" i="14"/>
  <c r="F73" i="14"/>
  <c r="D73" i="14"/>
  <c r="G73" i="14" s="1"/>
  <c r="H72" i="14"/>
  <c r="F72" i="14"/>
  <c r="D72" i="14"/>
  <c r="G72" i="14" s="1"/>
  <c r="H71" i="14"/>
  <c r="F71" i="14"/>
  <c r="D71" i="14"/>
  <c r="G71" i="14" s="1"/>
  <c r="H70" i="14"/>
  <c r="F70" i="14"/>
  <c r="D70" i="14"/>
  <c r="G70" i="14" s="1"/>
  <c r="H69" i="14"/>
  <c r="F69" i="14"/>
  <c r="D69" i="14"/>
  <c r="G69" i="14" s="1"/>
  <c r="H51" i="14"/>
  <c r="F51" i="14"/>
  <c r="O51" i="14" s="1"/>
  <c r="P51" i="14" s="1"/>
  <c r="D51" i="14"/>
  <c r="G51" i="14" s="1"/>
  <c r="Q51" i="14" s="1"/>
  <c r="R51" i="14" s="1"/>
  <c r="H68" i="14"/>
  <c r="F68" i="14"/>
  <c r="D68" i="14"/>
  <c r="G68" i="14" s="1"/>
  <c r="H43" i="14"/>
  <c r="G43" i="14"/>
  <c r="F43" i="14"/>
  <c r="H50" i="14"/>
  <c r="F50" i="14"/>
  <c r="O50" i="14" s="1"/>
  <c r="P50" i="14" s="1"/>
  <c r="D50" i="14"/>
  <c r="G50" i="14" s="1"/>
  <c r="Q50" i="14" s="1"/>
  <c r="R50" i="14" s="1"/>
  <c r="H42" i="14"/>
  <c r="F42" i="14"/>
  <c r="O42" i="14" s="1"/>
  <c r="P42" i="14" s="1"/>
  <c r="D42" i="14"/>
  <c r="G42" i="14" s="1"/>
  <c r="Q42" i="14" s="1"/>
  <c r="R42" i="14" s="1"/>
  <c r="H41" i="14"/>
  <c r="F41" i="14"/>
  <c r="O41" i="14" s="1"/>
  <c r="P41" i="14" s="1"/>
  <c r="D41" i="14"/>
  <c r="G41" i="14" s="1"/>
  <c r="Q41" i="14" s="1"/>
  <c r="R41" i="14" s="1"/>
  <c r="H40" i="14"/>
  <c r="F40" i="14"/>
  <c r="O40" i="14" s="1"/>
  <c r="P40" i="14" s="1"/>
  <c r="D40" i="14"/>
  <c r="G40" i="14" s="1"/>
  <c r="Q40" i="14" s="1"/>
  <c r="R40" i="14" s="1"/>
  <c r="H49" i="14"/>
  <c r="F49" i="14"/>
  <c r="O49" i="14" s="1"/>
  <c r="P49" i="14" s="1"/>
  <c r="D49" i="14"/>
  <c r="G49" i="14" s="1"/>
  <c r="Q49" i="14" s="1"/>
  <c r="R49" i="14" s="1"/>
  <c r="H48" i="14"/>
  <c r="F48" i="14"/>
  <c r="O48" i="14" s="1"/>
  <c r="P48" i="14" s="1"/>
  <c r="D48" i="14"/>
  <c r="G48" i="14" s="1"/>
  <c r="Q48" i="14" s="1"/>
  <c r="R48" i="14" s="1"/>
  <c r="H39" i="14"/>
  <c r="F39" i="14"/>
  <c r="O39" i="14" s="1"/>
  <c r="P39" i="14" s="1"/>
  <c r="D39" i="14"/>
  <c r="G39" i="14" s="1"/>
  <c r="Q39" i="14" s="1"/>
  <c r="R39" i="14" s="1"/>
  <c r="H38" i="14"/>
  <c r="F38" i="14"/>
  <c r="O38" i="14" s="1"/>
  <c r="P38" i="14" s="1"/>
  <c r="D38" i="14"/>
  <c r="G38" i="14" s="1"/>
  <c r="Q38" i="14" s="1"/>
  <c r="R38" i="14" s="1"/>
  <c r="H47" i="14"/>
  <c r="F47" i="14"/>
  <c r="O47" i="14" s="1"/>
  <c r="P47" i="14" s="1"/>
  <c r="D47" i="14"/>
  <c r="G47" i="14" s="1"/>
  <c r="Q47" i="14" s="1"/>
  <c r="R47" i="14" s="1"/>
  <c r="H46" i="14"/>
  <c r="F46" i="14"/>
  <c r="O46" i="14" s="1"/>
  <c r="P46" i="14" s="1"/>
  <c r="D46" i="14"/>
  <c r="G46" i="14" s="1"/>
  <c r="Q46" i="14" s="1"/>
  <c r="R46" i="14" s="1"/>
  <c r="H45" i="14"/>
  <c r="F45" i="14"/>
  <c r="O45" i="14" s="1"/>
  <c r="P45" i="14" s="1"/>
  <c r="D45" i="14"/>
  <c r="G45" i="14" s="1"/>
  <c r="Q45" i="14" s="1"/>
  <c r="R45" i="14" s="1"/>
  <c r="H37" i="14"/>
  <c r="F37" i="14"/>
  <c r="O37" i="14" s="1"/>
  <c r="P37" i="14" s="1"/>
  <c r="D37" i="14"/>
  <c r="G37" i="14" s="1"/>
  <c r="Q37" i="14" s="1"/>
  <c r="R37" i="14" s="1"/>
  <c r="H36" i="14"/>
  <c r="F36" i="14"/>
  <c r="O36" i="14" s="1"/>
  <c r="P36" i="14" s="1"/>
  <c r="D36" i="14"/>
  <c r="G36" i="14" s="1"/>
  <c r="Q36" i="14" s="1"/>
  <c r="R36" i="14" s="1"/>
  <c r="H35" i="14"/>
  <c r="F35" i="14"/>
  <c r="O35" i="14" s="1"/>
  <c r="P35" i="14" s="1"/>
  <c r="D35" i="14"/>
  <c r="G35" i="14" s="1"/>
  <c r="Q35" i="14" s="1"/>
  <c r="R35" i="14" s="1"/>
  <c r="H33" i="14"/>
  <c r="G33" i="14"/>
  <c r="F33" i="14"/>
  <c r="H31" i="14"/>
  <c r="F31" i="14"/>
  <c r="D31" i="14"/>
  <c r="G31" i="14" s="1"/>
  <c r="H29" i="14"/>
  <c r="F29" i="14"/>
  <c r="D29" i="14"/>
  <c r="G29" i="14" s="1"/>
  <c r="H28" i="14"/>
  <c r="F28" i="14"/>
  <c r="D28" i="14"/>
  <c r="G28" i="14" s="1"/>
  <c r="H27" i="14"/>
  <c r="F27" i="14"/>
  <c r="D27" i="14"/>
  <c r="G27" i="14" s="1"/>
  <c r="H26" i="14"/>
  <c r="F26" i="14"/>
  <c r="D26" i="14"/>
  <c r="G26" i="14" s="1"/>
  <c r="H25" i="14"/>
  <c r="F25" i="14"/>
  <c r="D25" i="14"/>
  <c r="G25" i="14" s="1"/>
  <c r="H24" i="14"/>
  <c r="F24" i="14"/>
  <c r="D24" i="14"/>
  <c r="G24" i="14" s="1"/>
  <c r="H21" i="14"/>
  <c r="G21" i="14"/>
  <c r="F21" i="14"/>
  <c r="H23" i="14"/>
  <c r="F23" i="14"/>
  <c r="D23" i="14"/>
  <c r="G23" i="14" s="1"/>
  <c r="H22" i="14"/>
  <c r="F22" i="14"/>
  <c r="D22" i="14"/>
  <c r="G22" i="14" s="1"/>
  <c r="H14" i="14"/>
  <c r="G14" i="14"/>
  <c r="F14" i="14"/>
  <c r="H12" i="14"/>
  <c r="F12" i="14"/>
  <c r="O12" i="14" s="1"/>
  <c r="P12" i="14" s="1"/>
  <c r="D12" i="14"/>
  <c r="G12" i="14" s="1"/>
  <c r="Q12" i="14" s="1"/>
  <c r="R12" i="14" s="1"/>
  <c r="H11" i="14"/>
  <c r="F11" i="14"/>
  <c r="O11" i="14" s="1"/>
  <c r="P11" i="14" s="1"/>
  <c r="D11" i="14"/>
  <c r="G11" i="14" s="1"/>
  <c r="Q11" i="14" s="1"/>
  <c r="R11" i="14" s="1"/>
  <c r="H10" i="14"/>
  <c r="F10" i="14"/>
  <c r="O10" i="14" s="1"/>
  <c r="P10" i="14" s="1"/>
  <c r="D10" i="14"/>
  <c r="G10" i="14" s="1"/>
  <c r="Q10" i="14" s="1"/>
  <c r="R10" i="14" s="1"/>
  <c r="H9" i="14"/>
  <c r="F9" i="14"/>
  <c r="O9" i="14" s="1"/>
  <c r="P9" i="14" s="1"/>
  <c r="D9" i="14"/>
  <c r="G9" i="14" s="1"/>
  <c r="Q9" i="14" s="1"/>
  <c r="R9" i="14" s="1"/>
  <c r="H19" i="14"/>
  <c r="F19" i="14"/>
  <c r="D19" i="14"/>
  <c r="G19" i="14" s="1"/>
  <c r="H18" i="14"/>
  <c r="F18" i="14"/>
  <c r="D18" i="14"/>
  <c r="G18" i="14" s="1"/>
  <c r="H17" i="14"/>
  <c r="F17" i="14"/>
  <c r="D17" i="14"/>
  <c r="G17" i="14" s="1"/>
  <c r="H16" i="14"/>
  <c r="F16" i="14"/>
  <c r="D16" i="14"/>
  <c r="G16" i="14" s="1"/>
  <c r="H15" i="14"/>
  <c r="F15" i="14"/>
  <c r="D15" i="14"/>
  <c r="G15" i="14" s="1"/>
  <c r="H5" i="14"/>
  <c r="G5" i="14"/>
  <c r="F5" i="14"/>
  <c r="H4" i="14"/>
  <c r="G4" i="14"/>
  <c r="F4" i="14"/>
  <c r="H30" i="14"/>
  <c r="F30" i="14"/>
  <c r="D30" i="14"/>
  <c r="G30" i="14" s="1"/>
  <c r="H7" i="14"/>
  <c r="F7" i="14"/>
  <c r="O7" i="14" s="1"/>
  <c r="P7" i="14" s="1"/>
  <c r="D7" i="14"/>
  <c r="G7" i="14" s="1"/>
  <c r="Q7" i="14" s="1"/>
  <c r="R7" i="14" s="1"/>
  <c r="H3" i="14"/>
  <c r="F3" i="14"/>
  <c r="O3" i="14" s="1"/>
  <c r="P3" i="14" s="1"/>
  <c r="D3" i="14"/>
  <c r="G3" i="14" s="1"/>
  <c r="Q3" i="14" s="1"/>
  <c r="R3" i="14" s="1"/>
  <c r="H2" i="14"/>
  <c r="F2" i="14"/>
  <c r="O2" i="14" s="1"/>
  <c r="P2" i="14" s="1"/>
  <c r="D2" i="14"/>
  <c r="G2" i="14" s="1"/>
  <c r="Q2" i="14" s="1"/>
  <c r="R2" i="14" s="1"/>
  <c r="H8" i="14"/>
  <c r="F8" i="14"/>
  <c r="O8" i="14" s="1"/>
  <c r="P8" i="14" s="1"/>
  <c r="D8" i="14"/>
  <c r="G8" i="14" s="1"/>
  <c r="Q8" i="14" s="1"/>
  <c r="R8" i="14" s="1"/>
  <c r="H6" i="14"/>
  <c r="F6" i="14"/>
  <c r="O6" i="14" s="1"/>
  <c r="P6" i="14" s="1"/>
  <c r="D6" i="14"/>
  <c r="G6" i="14" s="1"/>
  <c r="Q6" i="14" s="1"/>
  <c r="R6" i="14" s="1"/>
  <c r="O22" i="13"/>
  <c r="O21" i="13"/>
  <c r="O30" i="13"/>
  <c r="P30" i="13" s="1"/>
  <c r="M30" i="13"/>
  <c r="N30" i="13" s="1"/>
  <c r="O29" i="13"/>
  <c r="P29" i="13" s="1"/>
  <c r="M29" i="13"/>
  <c r="N29" i="13" s="1"/>
  <c r="O28" i="13"/>
  <c r="P28" i="13" s="1"/>
  <c r="M28" i="13"/>
  <c r="N28" i="13" s="1"/>
  <c r="O27" i="13"/>
  <c r="P27" i="13" s="1"/>
  <c r="M27" i="13"/>
  <c r="N27" i="13" s="1"/>
  <c r="O26" i="13"/>
  <c r="P26" i="13" s="1"/>
  <c r="M26" i="13"/>
  <c r="N26" i="13" s="1"/>
  <c r="O25" i="13"/>
  <c r="P25" i="13" s="1"/>
  <c r="H20" i="13"/>
  <c r="G20" i="13"/>
  <c r="F20" i="13"/>
  <c r="H9" i="13"/>
  <c r="G9" i="13"/>
  <c r="F9" i="13"/>
  <c r="H99" i="13"/>
  <c r="G99" i="13"/>
  <c r="F99" i="13"/>
  <c r="H98" i="13"/>
  <c r="G98" i="13"/>
  <c r="F98" i="13"/>
  <c r="H93" i="13"/>
  <c r="G93" i="13"/>
  <c r="F93" i="13"/>
  <c r="H91" i="13"/>
  <c r="G91" i="13"/>
  <c r="F91" i="13"/>
  <c r="H71" i="13"/>
  <c r="G71" i="13"/>
  <c r="F71" i="13"/>
  <c r="H86" i="13"/>
  <c r="Q86" i="13" s="1"/>
  <c r="R86" i="13" s="1"/>
  <c r="F86" i="13"/>
  <c r="D86" i="13"/>
  <c r="G86" i="13" s="1"/>
  <c r="H61" i="13"/>
  <c r="F61" i="13"/>
  <c r="M61" i="13" s="1"/>
  <c r="D61" i="13"/>
  <c r="G61" i="13" s="1"/>
  <c r="H62" i="13"/>
  <c r="F62" i="13"/>
  <c r="M62" i="13" s="1"/>
  <c r="D62" i="13"/>
  <c r="G62" i="13" s="1"/>
  <c r="H89" i="13"/>
  <c r="F89" i="13"/>
  <c r="D89" i="13"/>
  <c r="G89" i="13" s="1"/>
  <c r="H85" i="13"/>
  <c r="F85" i="13"/>
  <c r="D85" i="13"/>
  <c r="G85" i="13" s="1"/>
  <c r="H60" i="13"/>
  <c r="F60" i="13"/>
  <c r="M60" i="13" s="1"/>
  <c r="D60" i="13"/>
  <c r="G60" i="13" s="1"/>
  <c r="H59" i="13"/>
  <c r="F59" i="13"/>
  <c r="M59" i="13" s="1"/>
  <c r="D59" i="13"/>
  <c r="G59" i="13" s="1"/>
  <c r="H58" i="13"/>
  <c r="F58" i="13"/>
  <c r="M58" i="13" s="1"/>
  <c r="D58" i="13"/>
  <c r="G58" i="13" s="1"/>
  <c r="H55" i="13"/>
  <c r="F55" i="13"/>
  <c r="M55" i="13" s="1"/>
  <c r="D55" i="13"/>
  <c r="G55" i="13" s="1"/>
  <c r="H57" i="13"/>
  <c r="F57" i="13"/>
  <c r="M57" i="13" s="1"/>
  <c r="D57" i="13"/>
  <c r="G57" i="13" s="1"/>
  <c r="H56" i="13"/>
  <c r="F56" i="13"/>
  <c r="M56" i="13" s="1"/>
  <c r="D56" i="13"/>
  <c r="G56" i="13" s="1"/>
  <c r="H54" i="13"/>
  <c r="F54" i="13"/>
  <c r="M54" i="13" s="1"/>
  <c r="D54" i="13"/>
  <c r="G54" i="13" s="1"/>
  <c r="H84" i="13"/>
  <c r="F84" i="13"/>
  <c r="D84" i="13"/>
  <c r="G84" i="13" s="1"/>
  <c r="H51" i="13"/>
  <c r="F51" i="13"/>
  <c r="M51" i="13" s="1"/>
  <c r="D51" i="13"/>
  <c r="G51" i="13" s="1"/>
  <c r="H83" i="13"/>
  <c r="F83" i="13"/>
  <c r="D83" i="13"/>
  <c r="G83" i="13" s="1"/>
  <c r="H82" i="13"/>
  <c r="F82" i="13"/>
  <c r="D82" i="13"/>
  <c r="G82" i="13" s="1"/>
  <c r="H81" i="13"/>
  <c r="F81" i="13"/>
  <c r="D81" i="13"/>
  <c r="G81" i="13" s="1"/>
  <c r="H80" i="13"/>
  <c r="F80" i="13"/>
  <c r="D80" i="13"/>
  <c r="G80" i="13" s="1"/>
  <c r="H79" i="13"/>
  <c r="F79" i="13"/>
  <c r="D79" i="13"/>
  <c r="G79" i="13" s="1"/>
  <c r="H78" i="13"/>
  <c r="F78" i="13"/>
  <c r="D78" i="13"/>
  <c r="G78" i="13" s="1"/>
  <c r="H77" i="13"/>
  <c r="F77" i="13"/>
  <c r="D77" i="13"/>
  <c r="G77" i="13" s="1"/>
  <c r="H67" i="13"/>
  <c r="G67" i="13"/>
  <c r="F67" i="13"/>
  <c r="H87" i="13"/>
  <c r="G87" i="13"/>
  <c r="F87" i="13"/>
  <c r="H49" i="13"/>
  <c r="G49" i="13"/>
  <c r="F49" i="13"/>
  <c r="H90" i="13"/>
  <c r="F90" i="13"/>
  <c r="D90" i="13"/>
  <c r="G90" i="13" s="1"/>
  <c r="H66" i="13"/>
  <c r="F66" i="13"/>
  <c r="M66" i="13" s="1"/>
  <c r="D66" i="13"/>
  <c r="G66" i="13" s="1"/>
  <c r="H48" i="13"/>
  <c r="F48" i="13"/>
  <c r="D48" i="13"/>
  <c r="G48" i="13" s="1"/>
  <c r="H65" i="13"/>
  <c r="F65" i="13"/>
  <c r="M65" i="13" s="1"/>
  <c r="D65" i="13"/>
  <c r="G65" i="13" s="1"/>
  <c r="H64" i="13"/>
  <c r="F64" i="13"/>
  <c r="M64" i="13" s="1"/>
  <c r="D64" i="13"/>
  <c r="G64" i="13" s="1"/>
  <c r="H47" i="13"/>
  <c r="F47" i="13"/>
  <c r="D47" i="13"/>
  <c r="G47" i="13" s="1"/>
  <c r="H46" i="13"/>
  <c r="F46" i="13"/>
  <c r="D46" i="13"/>
  <c r="G46" i="13" s="1"/>
  <c r="H45" i="13"/>
  <c r="F45" i="13"/>
  <c r="D45" i="13"/>
  <c r="G45" i="13" s="1"/>
  <c r="H44" i="13"/>
  <c r="F44" i="13"/>
  <c r="D44" i="13"/>
  <c r="G44" i="13" s="1"/>
  <c r="H63" i="13"/>
  <c r="F63" i="13"/>
  <c r="M63" i="13" s="1"/>
  <c r="D63" i="13"/>
  <c r="G63" i="13" s="1"/>
  <c r="H43" i="13"/>
  <c r="F43" i="13"/>
  <c r="D43" i="13"/>
  <c r="G43" i="13" s="1"/>
  <c r="H42" i="13"/>
  <c r="F42" i="13"/>
  <c r="D42" i="13"/>
  <c r="G42" i="13" s="1"/>
  <c r="H41" i="13"/>
  <c r="F41" i="13"/>
  <c r="D41" i="13"/>
  <c r="G41" i="13" s="1"/>
  <c r="H40" i="13"/>
  <c r="F40" i="13"/>
  <c r="D40" i="13"/>
  <c r="G40" i="13" s="1"/>
  <c r="H39" i="13"/>
  <c r="F39" i="13"/>
  <c r="D39" i="13"/>
  <c r="G39" i="13" s="1"/>
  <c r="H88" i="13"/>
  <c r="F88" i="13"/>
  <c r="D88" i="13"/>
  <c r="G88" i="13" s="1"/>
  <c r="H53" i="13"/>
  <c r="F53" i="13"/>
  <c r="M53" i="13" s="1"/>
  <c r="D53" i="13"/>
  <c r="G53" i="13" s="1"/>
  <c r="H38" i="13"/>
  <c r="F38" i="13"/>
  <c r="D38" i="13"/>
  <c r="G38" i="13" s="1"/>
  <c r="H52" i="13"/>
  <c r="F52" i="13"/>
  <c r="M52" i="13" s="1"/>
  <c r="D52" i="13"/>
  <c r="G52" i="13" s="1"/>
  <c r="H37" i="13"/>
  <c r="F37" i="13"/>
  <c r="D37" i="13"/>
  <c r="G37" i="13" s="1"/>
  <c r="H36" i="13"/>
  <c r="F36" i="13"/>
  <c r="D36" i="13"/>
  <c r="G36" i="13" s="1"/>
  <c r="H35" i="13"/>
  <c r="F35" i="13"/>
  <c r="D35" i="13"/>
  <c r="G35" i="13" s="1"/>
  <c r="H70" i="13"/>
  <c r="F70" i="13"/>
  <c r="O70" i="13" s="1"/>
  <c r="D70" i="13"/>
  <c r="G70" i="13" s="1"/>
  <c r="H69" i="13"/>
  <c r="F69" i="13"/>
  <c r="O69" i="13" s="1"/>
  <c r="D69" i="13"/>
  <c r="G69" i="13" s="1"/>
  <c r="H76" i="13"/>
  <c r="F76" i="13"/>
  <c r="D76" i="13"/>
  <c r="G76" i="13" s="1"/>
  <c r="H75" i="13"/>
  <c r="F75" i="13"/>
  <c r="D75" i="13"/>
  <c r="G75" i="13" s="1"/>
  <c r="H74" i="13"/>
  <c r="F74" i="13"/>
  <c r="D74" i="13"/>
  <c r="G74" i="13" s="1"/>
  <c r="H73" i="13"/>
  <c r="F73" i="13"/>
  <c r="D73" i="13"/>
  <c r="G73" i="13" s="1"/>
  <c r="H68" i="13"/>
  <c r="F68" i="13"/>
  <c r="O68" i="13" s="1"/>
  <c r="D68" i="13"/>
  <c r="G68" i="13" s="1"/>
  <c r="H33" i="13"/>
  <c r="G33" i="13"/>
  <c r="F33" i="13"/>
  <c r="H31" i="13"/>
  <c r="F31" i="13"/>
  <c r="D31" i="13"/>
  <c r="G31" i="13" s="1"/>
  <c r="H12" i="13"/>
  <c r="F12" i="13"/>
  <c r="M12" i="13" s="1"/>
  <c r="D12" i="13"/>
  <c r="G12" i="13" s="1"/>
  <c r="H11" i="13"/>
  <c r="F11" i="13"/>
  <c r="M11" i="13" s="1"/>
  <c r="D11" i="13"/>
  <c r="G11" i="13" s="1"/>
  <c r="H10" i="13"/>
  <c r="F10" i="13"/>
  <c r="M10" i="13" s="1"/>
  <c r="D10" i="13"/>
  <c r="G10" i="13" s="1"/>
  <c r="H14" i="13"/>
  <c r="F14" i="13"/>
  <c r="M14" i="13" s="1"/>
  <c r="D14" i="13"/>
  <c r="G14" i="13" s="1"/>
  <c r="H13" i="13"/>
  <c r="F13" i="13"/>
  <c r="M13" i="13" s="1"/>
  <c r="D13" i="13"/>
  <c r="G13" i="13" s="1"/>
  <c r="H30" i="13"/>
  <c r="F30" i="13"/>
  <c r="D30" i="13"/>
  <c r="G30" i="13" s="1"/>
  <c r="H28" i="13"/>
  <c r="F28" i="13"/>
  <c r="D28" i="13"/>
  <c r="G28" i="13" s="1"/>
  <c r="H27" i="13"/>
  <c r="F27" i="13"/>
  <c r="D27" i="13"/>
  <c r="G27" i="13" s="1"/>
  <c r="H26" i="13"/>
  <c r="F26" i="13"/>
  <c r="D26" i="13"/>
  <c r="G26" i="13" s="1"/>
  <c r="H25" i="13"/>
  <c r="F25" i="13"/>
  <c r="D25" i="13"/>
  <c r="G25" i="13" s="1"/>
  <c r="H24" i="13"/>
  <c r="G24" i="13"/>
  <c r="F24" i="13"/>
  <c r="H8" i="13"/>
  <c r="G8" i="13"/>
  <c r="F8" i="13"/>
  <c r="H7" i="13"/>
  <c r="F7" i="13"/>
  <c r="D7" i="13"/>
  <c r="G7" i="13" s="1"/>
  <c r="H18" i="13"/>
  <c r="F18" i="13"/>
  <c r="M18" i="13" s="1"/>
  <c r="D18" i="13"/>
  <c r="G18" i="13" s="1"/>
  <c r="H17" i="13"/>
  <c r="F17" i="13"/>
  <c r="M17" i="13" s="1"/>
  <c r="D17" i="13"/>
  <c r="G17" i="13" s="1"/>
  <c r="H16" i="13"/>
  <c r="F16" i="13"/>
  <c r="M16" i="13" s="1"/>
  <c r="D16" i="13"/>
  <c r="G16" i="13" s="1"/>
  <c r="H15" i="13"/>
  <c r="F15" i="13"/>
  <c r="M15" i="13" s="1"/>
  <c r="D15" i="13"/>
  <c r="G15" i="13" s="1"/>
  <c r="H5" i="13"/>
  <c r="F5" i="13"/>
  <c r="D5" i="13"/>
  <c r="G5" i="13" s="1"/>
  <c r="H4" i="13"/>
  <c r="F4" i="13"/>
  <c r="D4" i="13"/>
  <c r="G4" i="13" s="1"/>
  <c r="H3" i="13"/>
  <c r="F3" i="13"/>
  <c r="D3" i="13"/>
  <c r="G3" i="13" s="1"/>
  <c r="H29" i="13"/>
  <c r="F29" i="13"/>
  <c r="D29" i="13"/>
  <c r="G29" i="13" s="1"/>
  <c r="H6" i="13"/>
  <c r="F6" i="13"/>
  <c r="D6" i="13"/>
  <c r="G6" i="13" s="1"/>
  <c r="H2" i="13"/>
  <c r="F2" i="13"/>
  <c r="D2" i="13"/>
  <c r="G2" i="13" s="1"/>
  <c r="H22" i="13"/>
  <c r="F22" i="13"/>
  <c r="D22" i="13"/>
  <c r="G22" i="13" s="1"/>
  <c r="H21" i="13"/>
  <c r="F21" i="13"/>
  <c r="D21" i="13"/>
  <c r="G21" i="13" s="1"/>
  <c r="O88" i="12"/>
  <c r="M88" i="12"/>
  <c r="N88" i="12" s="1"/>
  <c r="O87" i="12"/>
  <c r="M87" i="12"/>
  <c r="N87" i="12" s="1"/>
  <c r="O86" i="12"/>
  <c r="M86" i="12"/>
  <c r="N86" i="12" s="1"/>
  <c r="O85" i="12"/>
  <c r="M85" i="12"/>
  <c r="N85" i="12" s="1"/>
  <c r="O84" i="12"/>
  <c r="M84" i="12"/>
  <c r="N84" i="12" s="1"/>
  <c r="O83" i="12"/>
  <c r="M83" i="12"/>
  <c r="N83" i="12" s="1"/>
  <c r="O82" i="12"/>
  <c r="M82" i="12"/>
  <c r="N82" i="12" s="1"/>
  <c r="O81" i="12"/>
  <c r="M81" i="12"/>
  <c r="N81" i="12" s="1"/>
  <c r="O80" i="12"/>
  <c r="M80" i="12"/>
  <c r="N80" i="12" s="1"/>
  <c r="O79" i="12"/>
  <c r="M79" i="12"/>
  <c r="N79" i="12" s="1"/>
  <c r="O78" i="12"/>
  <c r="M78" i="12"/>
  <c r="N78" i="12" s="1"/>
  <c r="O77" i="12"/>
  <c r="M77" i="12"/>
  <c r="N77" i="12" s="1"/>
  <c r="O76" i="12"/>
  <c r="M76" i="12"/>
  <c r="N76" i="12" s="1"/>
  <c r="O75" i="12"/>
  <c r="M75" i="12"/>
  <c r="N75" i="12" s="1"/>
  <c r="O74" i="12"/>
  <c r="M74" i="12"/>
  <c r="N74" i="12" s="1"/>
  <c r="O73" i="12"/>
  <c r="M73" i="12"/>
  <c r="N73" i="12" s="1"/>
  <c r="O72" i="12"/>
  <c r="M72" i="12"/>
  <c r="N72" i="12" s="1"/>
  <c r="O71" i="12"/>
  <c r="M71" i="12"/>
  <c r="N71" i="12" s="1"/>
  <c r="O70" i="12"/>
  <c r="M70" i="12"/>
  <c r="N70" i="12" s="1"/>
  <c r="O69" i="12"/>
  <c r="M69" i="12"/>
  <c r="N69" i="12" s="1"/>
  <c r="O68" i="12"/>
  <c r="H99" i="12"/>
  <c r="G99" i="12"/>
  <c r="F99" i="12"/>
  <c r="H98" i="12"/>
  <c r="G98" i="12"/>
  <c r="F98" i="12"/>
  <c r="H88" i="12"/>
  <c r="F88" i="12"/>
  <c r="D88" i="12"/>
  <c r="G88" i="12" s="1"/>
  <c r="H82" i="12"/>
  <c r="F82" i="12"/>
  <c r="D82" i="12"/>
  <c r="G82" i="12" s="1"/>
  <c r="H81" i="12"/>
  <c r="F81" i="12"/>
  <c r="D81" i="12"/>
  <c r="G81" i="12" s="1"/>
  <c r="H80" i="12"/>
  <c r="F80" i="12"/>
  <c r="D80" i="12"/>
  <c r="G80" i="12" s="1"/>
  <c r="H79" i="12"/>
  <c r="F79" i="12"/>
  <c r="D79" i="12"/>
  <c r="G79" i="12" s="1"/>
  <c r="H77" i="12"/>
  <c r="F77" i="12"/>
  <c r="D77" i="12"/>
  <c r="G77" i="12" s="1"/>
  <c r="H76" i="12"/>
  <c r="F76" i="12"/>
  <c r="D76" i="12"/>
  <c r="G76" i="12" s="1"/>
  <c r="H72" i="12"/>
  <c r="F72" i="12"/>
  <c r="D72" i="12"/>
  <c r="G72" i="12" s="1"/>
  <c r="H71" i="12"/>
  <c r="F71" i="12"/>
  <c r="D71" i="12"/>
  <c r="G71" i="12" s="1"/>
  <c r="H70" i="12"/>
  <c r="F70" i="12"/>
  <c r="D70" i="12"/>
  <c r="G70" i="12" s="1"/>
  <c r="H39" i="12"/>
  <c r="F39" i="12"/>
  <c r="O39" i="12" s="1"/>
  <c r="D39" i="12"/>
  <c r="G39" i="12" s="1"/>
  <c r="H49" i="12"/>
  <c r="F49" i="12"/>
  <c r="O49" i="12" s="1"/>
  <c r="D49" i="12"/>
  <c r="G49" i="12" s="1"/>
  <c r="H87" i="12"/>
  <c r="F87" i="12"/>
  <c r="D87" i="12"/>
  <c r="G87" i="12" s="1"/>
  <c r="H86" i="12"/>
  <c r="F86" i="12"/>
  <c r="D86" i="12"/>
  <c r="G86" i="12" s="1"/>
  <c r="H48" i="12"/>
  <c r="F48" i="12"/>
  <c r="O48" i="12" s="1"/>
  <c r="D48" i="12"/>
  <c r="G48" i="12" s="1"/>
  <c r="H47" i="12"/>
  <c r="F47" i="12"/>
  <c r="O47" i="12" s="1"/>
  <c r="D47" i="12"/>
  <c r="G47" i="12" s="1"/>
  <c r="H85" i="12"/>
  <c r="F85" i="12"/>
  <c r="D85" i="12"/>
  <c r="G85" i="12" s="1"/>
  <c r="H84" i="12"/>
  <c r="F84" i="12"/>
  <c r="D84" i="12"/>
  <c r="G84" i="12" s="1"/>
  <c r="H83" i="12"/>
  <c r="F83" i="12"/>
  <c r="D83" i="12"/>
  <c r="G83" i="12" s="1"/>
  <c r="H78" i="12"/>
  <c r="F78" i="12"/>
  <c r="D78" i="12"/>
  <c r="G78" i="12" s="1"/>
  <c r="H75" i="12"/>
  <c r="F75" i="12"/>
  <c r="D75" i="12"/>
  <c r="G75" i="12" s="1"/>
  <c r="H74" i="12"/>
  <c r="F74" i="12"/>
  <c r="D74" i="12"/>
  <c r="G74" i="12" s="1"/>
  <c r="H73" i="12"/>
  <c r="F73" i="12"/>
  <c r="D73" i="12"/>
  <c r="G73" i="12" s="1"/>
  <c r="H69" i="12"/>
  <c r="F69" i="12"/>
  <c r="D69" i="12"/>
  <c r="G69" i="12" s="1"/>
  <c r="H38" i="12"/>
  <c r="F38" i="12"/>
  <c r="O38" i="12" s="1"/>
  <c r="D38" i="12"/>
  <c r="G38" i="12" s="1"/>
  <c r="H68" i="12"/>
  <c r="F68" i="12"/>
  <c r="D68" i="12"/>
  <c r="G68" i="12" s="1"/>
  <c r="H37" i="12"/>
  <c r="F37" i="12"/>
  <c r="O37" i="12" s="1"/>
  <c r="D37" i="12"/>
  <c r="G37" i="12" s="1"/>
  <c r="H36" i="12"/>
  <c r="F36" i="12"/>
  <c r="O36" i="12" s="1"/>
  <c r="D36" i="12"/>
  <c r="G36" i="12" s="1"/>
  <c r="H93" i="12"/>
  <c r="G93" i="12"/>
  <c r="F93" i="12"/>
  <c r="H89" i="12"/>
  <c r="G89" i="12"/>
  <c r="F89" i="12"/>
  <c r="H65" i="12"/>
  <c r="G65" i="12"/>
  <c r="F65" i="12"/>
  <c r="H91" i="12"/>
  <c r="G91" i="12"/>
  <c r="F91" i="12"/>
  <c r="H62" i="12"/>
  <c r="F62" i="12"/>
  <c r="O62" i="12" s="1"/>
  <c r="D62" i="12"/>
  <c r="G62" i="12" s="1"/>
  <c r="H61" i="12"/>
  <c r="F61" i="12"/>
  <c r="O61" i="12" s="1"/>
  <c r="D61" i="12"/>
  <c r="G61" i="12" s="1"/>
  <c r="H60" i="12"/>
  <c r="F60" i="12"/>
  <c r="O60" i="12" s="1"/>
  <c r="D60" i="12"/>
  <c r="G60" i="12" s="1"/>
  <c r="H59" i="12"/>
  <c r="F59" i="12"/>
  <c r="O59" i="12" s="1"/>
  <c r="D59" i="12"/>
  <c r="G59" i="12" s="1"/>
  <c r="H55" i="12"/>
  <c r="F55" i="12"/>
  <c r="O55" i="12" s="1"/>
  <c r="D55" i="12"/>
  <c r="G55" i="12" s="1"/>
  <c r="H54" i="12"/>
  <c r="F54" i="12"/>
  <c r="O54" i="12" s="1"/>
  <c r="D54" i="12"/>
  <c r="G54" i="12" s="1"/>
  <c r="H53" i="12"/>
  <c r="F53" i="12"/>
  <c r="O53" i="12" s="1"/>
  <c r="D53" i="12"/>
  <c r="G53" i="12" s="1"/>
  <c r="H50" i="12"/>
  <c r="F50" i="12"/>
  <c r="O50" i="12" s="1"/>
  <c r="D50" i="12"/>
  <c r="G50" i="12" s="1"/>
  <c r="H46" i="12"/>
  <c r="F46" i="12"/>
  <c r="O46" i="12" s="1"/>
  <c r="D46" i="12"/>
  <c r="G46" i="12" s="1"/>
  <c r="H45" i="12"/>
  <c r="F45" i="12"/>
  <c r="O45" i="12" s="1"/>
  <c r="D45" i="12"/>
  <c r="G45" i="12" s="1"/>
  <c r="H41" i="12"/>
  <c r="F41" i="12"/>
  <c r="O41" i="12" s="1"/>
  <c r="D41" i="12"/>
  <c r="G41" i="12" s="1"/>
  <c r="H40" i="12"/>
  <c r="F40" i="12"/>
  <c r="O40" i="12" s="1"/>
  <c r="D40" i="12"/>
  <c r="G40" i="12" s="1"/>
  <c r="H35" i="12"/>
  <c r="F35" i="12"/>
  <c r="O35" i="12" s="1"/>
  <c r="D35" i="12"/>
  <c r="G35" i="12" s="1"/>
  <c r="H67" i="12"/>
  <c r="G67" i="12"/>
  <c r="F67" i="12"/>
  <c r="H64" i="12"/>
  <c r="G64" i="12"/>
  <c r="F64" i="12"/>
  <c r="H63" i="12"/>
  <c r="F63" i="12"/>
  <c r="D63" i="12"/>
  <c r="G63" i="12" s="1"/>
  <c r="H57" i="12"/>
  <c r="F57" i="12"/>
  <c r="O57" i="12" s="1"/>
  <c r="D57" i="12"/>
  <c r="G57" i="12" s="1"/>
  <c r="H56" i="12"/>
  <c r="F56" i="12"/>
  <c r="O56" i="12" s="1"/>
  <c r="D56" i="12"/>
  <c r="G56" i="12" s="1"/>
  <c r="H58" i="12"/>
  <c r="F58" i="12"/>
  <c r="O58" i="12" s="1"/>
  <c r="D58" i="12"/>
  <c r="G58" i="12" s="1"/>
  <c r="H44" i="12"/>
  <c r="F44" i="12"/>
  <c r="O44" i="12" s="1"/>
  <c r="D44" i="12"/>
  <c r="G44" i="12" s="1"/>
  <c r="H52" i="12"/>
  <c r="F52" i="12"/>
  <c r="O52" i="12" s="1"/>
  <c r="D52" i="12"/>
  <c r="G52" i="12" s="1"/>
  <c r="H51" i="12"/>
  <c r="F51" i="12"/>
  <c r="O51" i="12" s="1"/>
  <c r="D51" i="12"/>
  <c r="G51" i="12" s="1"/>
  <c r="H43" i="12"/>
  <c r="F43" i="12"/>
  <c r="O43" i="12" s="1"/>
  <c r="D43" i="12"/>
  <c r="G43" i="12" s="1"/>
  <c r="H42" i="12"/>
  <c r="F42" i="12"/>
  <c r="O42" i="12" s="1"/>
  <c r="D42" i="12"/>
  <c r="G42" i="12" s="1"/>
  <c r="H33" i="12"/>
  <c r="G33" i="12"/>
  <c r="F33" i="12"/>
  <c r="H32" i="12"/>
  <c r="G32" i="12"/>
  <c r="F32" i="12"/>
  <c r="H31" i="12"/>
  <c r="F31" i="12"/>
  <c r="D31" i="12"/>
  <c r="G31" i="12" s="1"/>
  <c r="H28" i="12"/>
  <c r="O28" i="12" s="1"/>
  <c r="F28" i="12"/>
  <c r="D28" i="12"/>
  <c r="G28" i="12" s="1"/>
  <c r="H27" i="12"/>
  <c r="O27" i="12" s="1"/>
  <c r="F27" i="12"/>
  <c r="D27" i="12"/>
  <c r="G27" i="12" s="1"/>
  <c r="H24" i="12"/>
  <c r="O24" i="12" s="1"/>
  <c r="F24" i="12"/>
  <c r="D24" i="12"/>
  <c r="G24" i="12" s="1"/>
  <c r="H23" i="12"/>
  <c r="O23" i="12" s="1"/>
  <c r="F23" i="12"/>
  <c r="D23" i="12"/>
  <c r="G23" i="12" s="1"/>
  <c r="H22" i="12"/>
  <c r="O22" i="12" s="1"/>
  <c r="F22" i="12"/>
  <c r="D22" i="12"/>
  <c r="G22" i="12" s="1"/>
  <c r="H21" i="12"/>
  <c r="O21" i="12" s="1"/>
  <c r="F21" i="12"/>
  <c r="D21" i="12"/>
  <c r="G21" i="12" s="1"/>
  <c r="H20" i="12"/>
  <c r="G20" i="12"/>
  <c r="F20" i="12"/>
  <c r="H26" i="12"/>
  <c r="O26" i="12" s="1"/>
  <c r="F26" i="12"/>
  <c r="D26" i="12"/>
  <c r="G26" i="12" s="1"/>
  <c r="H25" i="12"/>
  <c r="O25" i="12" s="1"/>
  <c r="F25" i="12"/>
  <c r="D25" i="12"/>
  <c r="G25" i="12" s="1"/>
  <c r="H6" i="12"/>
  <c r="F6" i="12"/>
  <c r="O6" i="12" s="1"/>
  <c r="D6" i="12"/>
  <c r="G6" i="12" s="1"/>
  <c r="H13" i="12"/>
  <c r="F13" i="12"/>
  <c r="O13" i="12" s="1"/>
  <c r="D13" i="12"/>
  <c r="G13" i="12" s="1"/>
  <c r="H12" i="12"/>
  <c r="F12" i="12"/>
  <c r="O12" i="12" s="1"/>
  <c r="D12" i="12"/>
  <c r="G12" i="12" s="1"/>
  <c r="H11" i="12"/>
  <c r="F11" i="12"/>
  <c r="O11" i="12" s="1"/>
  <c r="D11" i="12"/>
  <c r="G11" i="12" s="1"/>
  <c r="H10" i="12"/>
  <c r="F10" i="12"/>
  <c r="O10" i="12" s="1"/>
  <c r="D10" i="12"/>
  <c r="G10" i="12" s="1"/>
  <c r="H30" i="12"/>
  <c r="O30" i="12" s="1"/>
  <c r="F30" i="12"/>
  <c r="D30" i="12"/>
  <c r="G30" i="12" s="1"/>
  <c r="H29" i="12"/>
  <c r="O29" i="12" s="1"/>
  <c r="F29" i="12"/>
  <c r="D29" i="12"/>
  <c r="G29" i="12" s="1"/>
  <c r="H7" i="12"/>
  <c r="F7" i="12"/>
  <c r="O7" i="12" s="1"/>
  <c r="D7" i="12"/>
  <c r="G7" i="12" s="1"/>
  <c r="H4" i="12"/>
  <c r="F4" i="12"/>
  <c r="O4" i="12" s="1"/>
  <c r="D4" i="12"/>
  <c r="G4" i="12" s="1"/>
  <c r="H3" i="12"/>
  <c r="F3" i="12"/>
  <c r="O3" i="12" s="1"/>
  <c r="D3" i="12"/>
  <c r="G3" i="12" s="1"/>
  <c r="H2" i="12"/>
  <c r="F2" i="12"/>
  <c r="O2" i="12" s="1"/>
  <c r="D2" i="12"/>
  <c r="G2" i="12" s="1"/>
  <c r="H15" i="12"/>
  <c r="G15" i="12"/>
  <c r="F15" i="12"/>
  <c r="H14" i="12"/>
  <c r="F14" i="12"/>
  <c r="D14" i="12"/>
  <c r="G14" i="12" s="1"/>
  <c r="H9" i="12"/>
  <c r="F9" i="12"/>
  <c r="O9" i="12" s="1"/>
  <c r="D9" i="12"/>
  <c r="G9" i="12" s="1"/>
  <c r="H8" i="12"/>
  <c r="F8" i="12"/>
  <c r="O8" i="12" s="1"/>
  <c r="D8" i="12"/>
  <c r="G8" i="12" s="1"/>
  <c r="H5" i="12"/>
  <c r="F5" i="12"/>
  <c r="O5" i="12" s="1"/>
  <c r="D5" i="12"/>
  <c r="G5" i="12" s="1"/>
  <c r="D28" i="11"/>
  <c r="H99" i="11"/>
  <c r="G99" i="11"/>
  <c r="F99" i="11"/>
  <c r="H98" i="11"/>
  <c r="G98" i="11"/>
  <c r="F98" i="11"/>
  <c r="H65" i="11"/>
  <c r="G65" i="11"/>
  <c r="F65" i="11"/>
  <c r="H96" i="11"/>
  <c r="O96" i="11" s="1"/>
  <c r="F96" i="11"/>
  <c r="D96" i="11"/>
  <c r="G96" i="11" s="1"/>
  <c r="H92" i="11"/>
  <c r="O92" i="11" s="1"/>
  <c r="F92" i="11"/>
  <c r="D92" i="11"/>
  <c r="G92" i="11" s="1"/>
  <c r="H76" i="11"/>
  <c r="F76" i="11"/>
  <c r="T76" i="11" s="1"/>
  <c r="U76" i="11" s="1"/>
  <c r="D76" i="11"/>
  <c r="G76" i="11" s="1"/>
  <c r="R76" i="11" s="1"/>
  <c r="S76" i="11" s="1"/>
  <c r="H95" i="11"/>
  <c r="O95" i="11" s="1"/>
  <c r="F95" i="11"/>
  <c r="D95" i="11"/>
  <c r="G95" i="11" s="1"/>
  <c r="H94" i="11"/>
  <c r="O94" i="11" s="1"/>
  <c r="F94" i="11"/>
  <c r="D94" i="11"/>
  <c r="G94" i="11" s="1"/>
  <c r="H93" i="11"/>
  <c r="O93" i="11" s="1"/>
  <c r="F93" i="11"/>
  <c r="D93" i="11"/>
  <c r="G93" i="11" s="1"/>
  <c r="H90" i="11"/>
  <c r="O90" i="11" s="1"/>
  <c r="F90" i="11"/>
  <c r="D90" i="11"/>
  <c r="G90" i="11" s="1"/>
  <c r="H89" i="11"/>
  <c r="O89" i="11" s="1"/>
  <c r="F89" i="11"/>
  <c r="D89" i="11"/>
  <c r="G89" i="11" s="1"/>
  <c r="H88" i="11"/>
  <c r="O88" i="11" s="1"/>
  <c r="F88" i="11"/>
  <c r="D88" i="11"/>
  <c r="G88" i="11" s="1"/>
  <c r="H87" i="11"/>
  <c r="O87" i="11" s="1"/>
  <c r="F87" i="11"/>
  <c r="D87" i="11"/>
  <c r="G87" i="11" s="1"/>
  <c r="H58" i="11"/>
  <c r="F58" i="11"/>
  <c r="Q58" i="11" s="1"/>
  <c r="R58" i="11" s="1"/>
  <c r="D58" i="11"/>
  <c r="G58" i="11" s="1"/>
  <c r="O58" i="11" s="1"/>
  <c r="P58" i="11" s="1"/>
  <c r="H97" i="11"/>
  <c r="O97" i="11" s="1"/>
  <c r="F97" i="11"/>
  <c r="D97" i="11"/>
  <c r="G97" i="11" s="1"/>
  <c r="H80" i="11"/>
  <c r="F80" i="11"/>
  <c r="T80" i="11" s="1"/>
  <c r="U80" i="11" s="1"/>
  <c r="D80" i="11"/>
  <c r="G80" i="11" s="1"/>
  <c r="R80" i="11" s="1"/>
  <c r="S80" i="11" s="1"/>
  <c r="H83" i="11"/>
  <c r="F83" i="11"/>
  <c r="T83" i="11" s="1"/>
  <c r="U83" i="11" s="1"/>
  <c r="D83" i="11"/>
  <c r="G83" i="11" s="1"/>
  <c r="R83" i="11" s="1"/>
  <c r="S83" i="11" s="1"/>
  <c r="H82" i="11"/>
  <c r="F82" i="11"/>
  <c r="T82" i="11" s="1"/>
  <c r="U82" i="11" s="1"/>
  <c r="D82" i="11"/>
  <c r="G82" i="11" s="1"/>
  <c r="R82" i="11" s="1"/>
  <c r="S82" i="11" s="1"/>
  <c r="H79" i="11"/>
  <c r="F79" i="11"/>
  <c r="T79" i="11" s="1"/>
  <c r="U79" i="11" s="1"/>
  <c r="D79" i="11"/>
  <c r="G79" i="11" s="1"/>
  <c r="R79" i="11" s="1"/>
  <c r="S79" i="11" s="1"/>
  <c r="H75" i="11"/>
  <c r="F75" i="11"/>
  <c r="T75" i="11" s="1"/>
  <c r="U75" i="11" s="1"/>
  <c r="D75" i="11"/>
  <c r="G75" i="11" s="1"/>
  <c r="R75" i="11" s="1"/>
  <c r="S75" i="11" s="1"/>
  <c r="H78" i="11"/>
  <c r="F78" i="11"/>
  <c r="T78" i="11" s="1"/>
  <c r="U78" i="11" s="1"/>
  <c r="D78" i="11"/>
  <c r="G78" i="11" s="1"/>
  <c r="R78" i="11" s="1"/>
  <c r="S78" i="11" s="1"/>
  <c r="H77" i="11"/>
  <c r="F77" i="11"/>
  <c r="T77" i="11" s="1"/>
  <c r="U77" i="11" s="1"/>
  <c r="D77" i="11"/>
  <c r="G77" i="11" s="1"/>
  <c r="R77" i="11" s="1"/>
  <c r="S77" i="11" s="1"/>
  <c r="H49" i="11"/>
  <c r="F49" i="11"/>
  <c r="Q49" i="11" s="1"/>
  <c r="R49" i="11" s="1"/>
  <c r="D49" i="11"/>
  <c r="G49" i="11" s="1"/>
  <c r="O49" i="11" s="1"/>
  <c r="P49" i="11" s="1"/>
  <c r="H91" i="11"/>
  <c r="O91" i="11" s="1"/>
  <c r="F91" i="11"/>
  <c r="D91" i="11"/>
  <c r="G91" i="11" s="1"/>
  <c r="H73" i="11"/>
  <c r="F73" i="11"/>
  <c r="T73" i="11" s="1"/>
  <c r="U73" i="11" s="1"/>
  <c r="D73" i="11"/>
  <c r="G73" i="11" s="1"/>
  <c r="R73" i="11" s="1"/>
  <c r="S73" i="11" s="1"/>
  <c r="H72" i="11"/>
  <c r="F72" i="11"/>
  <c r="T72" i="11" s="1"/>
  <c r="U72" i="11" s="1"/>
  <c r="D72" i="11"/>
  <c r="G72" i="11" s="1"/>
  <c r="R72" i="11" s="1"/>
  <c r="S72" i="11" s="1"/>
  <c r="H71" i="11"/>
  <c r="F71" i="11"/>
  <c r="T71" i="11" s="1"/>
  <c r="U71" i="11" s="1"/>
  <c r="D71" i="11"/>
  <c r="G71" i="11" s="1"/>
  <c r="R71" i="11" s="1"/>
  <c r="S71" i="11" s="1"/>
  <c r="H70" i="11"/>
  <c r="F70" i="11"/>
  <c r="T70" i="11" s="1"/>
  <c r="U70" i="11" s="1"/>
  <c r="D70" i="11"/>
  <c r="G70" i="11" s="1"/>
  <c r="R70" i="11" s="1"/>
  <c r="S70" i="11" s="1"/>
  <c r="H69" i="11"/>
  <c r="F69" i="11"/>
  <c r="T69" i="11" s="1"/>
  <c r="U69" i="11" s="1"/>
  <c r="D69" i="11"/>
  <c r="G69" i="11" s="1"/>
  <c r="R69" i="11" s="1"/>
  <c r="S69" i="11" s="1"/>
  <c r="H63" i="11"/>
  <c r="G63" i="11"/>
  <c r="F63" i="11"/>
  <c r="H61" i="11"/>
  <c r="G61" i="11"/>
  <c r="F61" i="11"/>
  <c r="H60" i="11"/>
  <c r="G60" i="11"/>
  <c r="F60" i="11"/>
  <c r="H57" i="11"/>
  <c r="F57" i="11"/>
  <c r="Q57" i="11" s="1"/>
  <c r="R57" i="11" s="1"/>
  <c r="D57" i="11"/>
  <c r="G57" i="11" s="1"/>
  <c r="O57" i="11" s="1"/>
  <c r="P57" i="11" s="1"/>
  <c r="H56" i="11"/>
  <c r="F56" i="11"/>
  <c r="Q56" i="11" s="1"/>
  <c r="R56" i="11" s="1"/>
  <c r="D56" i="11"/>
  <c r="G56" i="11" s="1"/>
  <c r="O56" i="11" s="1"/>
  <c r="P56" i="11" s="1"/>
  <c r="H55" i="11"/>
  <c r="F55" i="11"/>
  <c r="Q55" i="11" s="1"/>
  <c r="R55" i="11" s="1"/>
  <c r="D55" i="11"/>
  <c r="G55" i="11" s="1"/>
  <c r="O55" i="11" s="1"/>
  <c r="P55" i="11" s="1"/>
  <c r="H54" i="11"/>
  <c r="F54" i="11"/>
  <c r="Q54" i="11" s="1"/>
  <c r="R54" i="11" s="1"/>
  <c r="D54" i="11"/>
  <c r="G54" i="11" s="1"/>
  <c r="O54" i="11" s="1"/>
  <c r="P54" i="11" s="1"/>
  <c r="H84" i="11"/>
  <c r="F84" i="11"/>
  <c r="T84" i="11" s="1"/>
  <c r="U84" i="11" s="1"/>
  <c r="D84" i="11"/>
  <c r="G84" i="11" s="1"/>
  <c r="R84" i="11" s="1"/>
  <c r="S84" i="11" s="1"/>
  <c r="H53" i="11"/>
  <c r="F53" i="11"/>
  <c r="Q53" i="11" s="1"/>
  <c r="R53" i="11" s="1"/>
  <c r="D53" i="11"/>
  <c r="G53" i="11" s="1"/>
  <c r="O53" i="11" s="1"/>
  <c r="P53" i="11" s="1"/>
  <c r="H81" i="11"/>
  <c r="F81" i="11"/>
  <c r="T81" i="11" s="1"/>
  <c r="U81" i="11" s="1"/>
  <c r="D81" i="11"/>
  <c r="G81" i="11" s="1"/>
  <c r="R81" i="11" s="1"/>
  <c r="S81" i="11" s="1"/>
  <c r="H50" i="11"/>
  <c r="F50" i="11"/>
  <c r="Q50" i="11" s="1"/>
  <c r="R50" i="11" s="1"/>
  <c r="D50" i="11"/>
  <c r="G50" i="11" s="1"/>
  <c r="O50" i="11" s="1"/>
  <c r="P50" i="11" s="1"/>
  <c r="H52" i="11"/>
  <c r="F52" i="11"/>
  <c r="Q52" i="11" s="1"/>
  <c r="R52" i="11" s="1"/>
  <c r="D52" i="11"/>
  <c r="G52" i="11" s="1"/>
  <c r="O52" i="11" s="1"/>
  <c r="P52" i="11" s="1"/>
  <c r="H74" i="11"/>
  <c r="F74" i="11"/>
  <c r="T74" i="11" s="1"/>
  <c r="U74" i="11" s="1"/>
  <c r="D74" i="11"/>
  <c r="G74" i="11" s="1"/>
  <c r="R74" i="11" s="1"/>
  <c r="S74" i="11" s="1"/>
  <c r="H48" i="11"/>
  <c r="F48" i="11"/>
  <c r="Q48" i="11" s="1"/>
  <c r="R48" i="11" s="1"/>
  <c r="D48" i="11"/>
  <c r="G48" i="11" s="1"/>
  <c r="O48" i="11" s="1"/>
  <c r="P48" i="11" s="1"/>
  <c r="H47" i="11"/>
  <c r="F47" i="11"/>
  <c r="Q47" i="11" s="1"/>
  <c r="R47" i="11" s="1"/>
  <c r="D47" i="11"/>
  <c r="G47" i="11" s="1"/>
  <c r="O47" i="11" s="1"/>
  <c r="P47" i="11" s="1"/>
  <c r="H68" i="11"/>
  <c r="F68" i="11"/>
  <c r="T68" i="11" s="1"/>
  <c r="U68" i="11" s="1"/>
  <c r="D68" i="11"/>
  <c r="G68" i="11" s="1"/>
  <c r="R68" i="11" s="1"/>
  <c r="S68" i="11" s="1"/>
  <c r="H46" i="11"/>
  <c r="F46" i="11"/>
  <c r="Q46" i="11" s="1"/>
  <c r="R46" i="11" s="1"/>
  <c r="D46" i="11"/>
  <c r="G46" i="11" s="1"/>
  <c r="O46" i="11" s="1"/>
  <c r="P46" i="11" s="1"/>
  <c r="H45" i="11"/>
  <c r="G45" i="11"/>
  <c r="F45" i="11"/>
  <c r="H44" i="11"/>
  <c r="G44" i="11"/>
  <c r="F44" i="11"/>
  <c r="H42" i="11"/>
  <c r="F42" i="11"/>
  <c r="O42" i="11" s="1"/>
  <c r="P42" i="11" s="1"/>
  <c r="D42" i="11"/>
  <c r="G42" i="11" s="1"/>
  <c r="H43" i="11"/>
  <c r="F43" i="11"/>
  <c r="O43" i="11" s="1"/>
  <c r="P43" i="11" s="1"/>
  <c r="D43" i="11"/>
  <c r="G43" i="11" s="1"/>
  <c r="H41" i="11"/>
  <c r="F41" i="11"/>
  <c r="O41" i="11" s="1"/>
  <c r="P41" i="11" s="1"/>
  <c r="D41" i="11"/>
  <c r="G41" i="11" s="1"/>
  <c r="H40" i="11"/>
  <c r="F40" i="11"/>
  <c r="O40" i="11" s="1"/>
  <c r="P40" i="11" s="1"/>
  <c r="D40" i="11"/>
  <c r="G40" i="11" s="1"/>
  <c r="H39" i="11"/>
  <c r="F39" i="11"/>
  <c r="O39" i="11" s="1"/>
  <c r="P39" i="11" s="1"/>
  <c r="D39" i="11"/>
  <c r="G39" i="11" s="1"/>
  <c r="H51" i="11"/>
  <c r="F51" i="11"/>
  <c r="Q51" i="11" s="1"/>
  <c r="R51" i="11" s="1"/>
  <c r="D51" i="11"/>
  <c r="G51" i="11" s="1"/>
  <c r="O51" i="11" s="1"/>
  <c r="P51" i="11" s="1"/>
  <c r="H38" i="11"/>
  <c r="F38" i="11"/>
  <c r="O38" i="11" s="1"/>
  <c r="P38" i="11" s="1"/>
  <c r="D38" i="11"/>
  <c r="G38" i="11" s="1"/>
  <c r="H37" i="11"/>
  <c r="F37" i="11"/>
  <c r="O37" i="11" s="1"/>
  <c r="P37" i="11" s="1"/>
  <c r="D37" i="11"/>
  <c r="G37" i="11" s="1"/>
  <c r="H36" i="11"/>
  <c r="F36" i="11"/>
  <c r="O36" i="11" s="1"/>
  <c r="P36" i="11" s="1"/>
  <c r="D36" i="11"/>
  <c r="G36" i="11" s="1"/>
  <c r="H35" i="11"/>
  <c r="F35" i="11"/>
  <c r="O35" i="11" s="1"/>
  <c r="P35" i="11" s="1"/>
  <c r="D35" i="11"/>
  <c r="G35" i="11" s="1"/>
  <c r="H33" i="11"/>
  <c r="G33" i="11"/>
  <c r="F33" i="11"/>
  <c r="H32" i="11"/>
  <c r="G32" i="11"/>
  <c r="F32" i="11"/>
  <c r="H28" i="11"/>
  <c r="O28" i="11" s="1"/>
  <c r="G28" i="11"/>
  <c r="F28" i="11"/>
  <c r="H31" i="11"/>
  <c r="F31" i="11"/>
  <c r="D31" i="11"/>
  <c r="G31" i="11" s="1"/>
  <c r="H30" i="11"/>
  <c r="O30" i="11" s="1"/>
  <c r="F30" i="11"/>
  <c r="D30" i="11"/>
  <c r="G30" i="11" s="1"/>
  <c r="H29" i="11"/>
  <c r="O29" i="11" s="1"/>
  <c r="F29" i="11"/>
  <c r="D29" i="11"/>
  <c r="G29" i="11" s="1"/>
  <c r="H21" i="11"/>
  <c r="F21" i="11"/>
  <c r="R21" i="11" s="1"/>
  <c r="S21" i="11" s="1"/>
  <c r="D21" i="11"/>
  <c r="G21" i="11" s="1"/>
  <c r="Q21" i="11" s="1"/>
  <c r="H27" i="11"/>
  <c r="O27" i="11" s="1"/>
  <c r="F27" i="11"/>
  <c r="D27" i="11"/>
  <c r="G27" i="11" s="1"/>
  <c r="H25" i="11"/>
  <c r="O25" i="11" s="1"/>
  <c r="F25" i="11"/>
  <c r="D25" i="11"/>
  <c r="G25" i="11" s="1"/>
  <c r="H24" i="11"/>
  <c r="G24" i="11"/>
  <c r="F24" i="11"/>
  <c r="H22" i="11"/>
  <c r="F22" i="11"/>
  <c r="R22" i="11" s="1"/>
  <c r="S22" i="11" s="1"/>
  <c r="D22" i="11"/>
  <c r="G22" i="11" s="1"/>
  <c r="Q22" i="11" s="1"/>
  <c r="H20" i="11"/>
  <c r="F20" i="11"/>
  <c r="R20" i="11" s="1"/>
  <c r="S20" i="11" s="1"/>
  <c r="D20" i="11"/>
  <c r="G20" i="11" s="1"/>
  <c r="Q20" i="11" s="1"/>
  <c r="H26" i="11"/>
  <c r="O26" i="11" s="1"/>
  <c r="F26" i="11"/>
  <c r="D26" i="11"/>
  <c r="G26" i="11" s="1"/>
  <c r="H8" i="11"/>
  <c r="F8" i="11"/>
  <c r="Q8" i="11" s="1"/>
  <c r="R8" i="11" s="1"/>
  <c r="D8" i="11"/>
  <c r="G8" i="11" s="1"/>
  <c r="O8" i="11" s="1"/>
  <c r="P8" i="11" s="1"/>
  <c r="H19" i="11"/>
  <c r="G19" i="11"/>
  <c r="F19" i="11"/>
  <c r="H18" i="11"/>
  <c r="G18" i="11"/>
  <c r="F18" i="11"/>
  <c r="H17" i="11"/>
  <c r="F17" i="11"/>
  <c r="Q17" i="11" s="1"/>
  <c r="R17" i="11" s="1"/>
  <c r="D17" i="11"/>
  <c r="G17" i="11" s="1"/>
  <c r="O17" i="11" s="1"/>
  <c r="H16" i="11"/>
  <c r="F16" i="11"/>
  <c r="Q16" i="11" s="1"/>
  <c r="R16" i="11" s="1"/>
  <c r="D16" i="11"/>
  <c r="G16" i="11" s="1"/>
  <c r="O16" i="11" s="1"/>
  <c r="H14" i="11"/>
  <c r="F14" i="11"/>
  <c r="Q14" i="11" s="1"/>
  <c r="R14" i="11" s="1"/>
  <c r="D14" i="11"/>
  <c r="G14" i="11" s="1"/>
  <c r="O14" i="11" s="1"/>
  <c r="H12" i="11"/>
  <c r="F12" i="11"/>
  <c r="Q12" i="11" s="1"/>
  <c r="R12" i="11" s="1"/>
  <c r="D12" i="11"/>
  <c r="G12" i="11" s="1"/>
  <c r="O12" i="11" s="1"/>
  <c r="H13" i="11"/>
  <c r="F13" i="11"/>
  <c r="Q13" i="11" s="1"/>
  <c r="R13" i="11" s="1"/>
  <c r="D13" i="11"/>
  <c r="G13" i="11" s="1"/>
  <c r="O13" i="11" s="1"/>
  <c r="P13" i="11" s="1"/>
  <c r="H11" i="11"/>
  <c r="F11" i="11"/>
  <c r="Q11" i="11" s="1"/>
  <c r="R11" i="11" s="1"/>
  <c r="D11" i="11"/>
  <c r="G11" i="11" s="1"/>
  <c r="O11" i="11" s="1"/>
  <c r="H10" i="11"/>
  <c r="F10" i="11"/>
  <c r="Q10" i="11" s="1"/>
  <c r="R10" i="11" s="1"/>
  <c r="D10" i="11"/>
  <c r="G10" i="11" s="1"/>
  <c r="O10" i="11" s="1"/>
  <c r="H9" i="11"/>
  <c r="F9" i="11"/>
  <c r="Q9" i="11" s="1"/>
  <c r="R9" i="11" s="1"/>
  <c r="D9" i="11"/>
  <c r="G9" i="11" s="1"/>
  <c r="O9" i="11" s="1"/>
  <c r="H15" i="11"/>
  <c r="F15" i="11"/>
  <c r="Q15" i="11" s="1"/>
  <c r="R15" i="11" s="1"/>
  <c r="D15" i="11"/>
  <c r="G15" i="11" s="1"/>
  <c r="O15" i="11" s="1"/>
  <c r="H7" i="11"/>
  <c r="G7" i="11"/>
  <c r="F7" i="11"/>
  <c r="H6" i="11"/>
  <c r="G6" i="11"/>
  <c r="F6" i="11"/>
  <c r="H5" i="11"/>
  <c r="F5" i="11"/>
  <c r="D5" i="11"/>
  <c r="G5" i="11" s="1"/>
  <c r="H4" i="11"/>
  <c r="F4" i="11"/>
  <c r="O4" i="11" s="1"/>
  <c r="P4" i="11" s="1"/>
  <c r="D4" i="11"/>
  <c r="G4" i="11" s="1"/>
  <c r="H3" i="11"/>
  <c r="F3" i="11"/>
  <c r="O3" i="11" s="1"/>
  <c r="P3" i="11" s="1"/>
  <c r="D3" i="11"/>
  <c r="G3" i="11" s="1"/>
  <c r="H2" i="11"/>
  <c r="F2" i="11"/>
  <c r="O2" i="11" s="1"/>
  <c r="P2" i="11" s="1"/>
  <c r="D2" i="11"/>
  <c r="G2" i="11" s="1"/>
  <c r="H99" i="10"/>
  <c r="G99" i="10"/>
  <c r="F99" i="10"/>
  <c r="H98" i="10"/>
  <c r="G98" i="10"/>
  <c r="F98" i="10"/>
  <c r="H96" i="10"/>
  <c r="G96" i="10"/>
  <c r="F96" i="10"/>
  <c r="H83" i="10"/>
  <c r="F83" i="10"/>
  <c r="D83" i="10"/>
  <c r="G83" i="10" s="1"/>
  <c r="Q83" i="10" s="1"/>
  <c r="H94" i="10"/>
  <c r="F94" i="10"/>
  <c r="D94" i="10"/>
  <c r="G94" i="10" s="1"/>
  <c r="H93" i="10"/>
  <c r="F93" i="10"/>
  <c r="D93" i="10"/>
  <c r="G93" i="10" s="1"/>
  <c r="H92" i="10"/>
  <c r="F92" i="10"/>
  <c r="D92" i="10"/>
  <c r="G92" i="10" s="1"/>
  <c r="H91" i="10"/>
  <c r="F91" i="10"/>
  <c r="D91" i="10"/>
  <c r="G91" i="10" s="1"/>
  <c r="H90" i="10"/>
  <c r="F90" i="10"/>
  <c r="D90" i="10"/>
  <c r="G90" i="10" s="1"/>
  <c r="H89" i="10"/>
  <c r="F89" i="10"/>
  <c r="D89" i="10"/>
  <c r="G89" i="10" s="1"/>
  <c r="H88" i="10"/>
  <c r="F88" i="10"/>
  <c r="D88" i="10"/>
  <c r="G88" i="10" s="1"/>
  <c r="H87" i="10"/>
  <c r="F87" i="10"/>
  <c r="D87" i="10"/>
  <c r="G87" i="10" s="1"/>
  <c r="H86" i="10"/>
  <c r="F86" i="10"/>
  <c r="D86" i="10"/>
  <c r="G86" i="10" s="1"/>
  <c r="H85" i="10"/>
  <c r="F85" i="10"/>
  <c r="D85" i="10"/>
  <c r="G85" i="10" s="1"/>
  <c r="H80" i="10"/>
  <c r="F80" i="10"/>
  <c r="D80" i="10"/>
  <c r="G80" i="10" s="1"/>
  <c r="H79" i="10"/>
  <c r="F79" i="10"/>
  <c r="D79" i="10"/>
  <c r="G79" i="10" s="1"/>
  <c r="H78" i="10"/>
  <c r="F78" i="10"/>
  <c r="D78" i="10"/>
  <c r="G78" i="10" s="1"/>
  <c r="H77" i="10"/>
  <c r="F77" i="10"/>
  <c r="D77" i="10"/>
  <c r="G77" i="10" s="1"/>
  <c r="H76" i="10"/>
  <c r="F76" i="10"/>
  <c r="D76" i="10"/>
  <c r="G76" i="10" s="1"/>
  <c r="H75" i="10"/>
  <c r="F75" i="10"/>
  <c r="D75" i="10"/>
  <c r="G75" i="10" s="1"/>
  <c r="H74" i="10"/>
  <c r="F74" i="10"/>
  <c r="D74" i="10"/>
  <c r="G74" i="10" s="1"/>
  <c r="H73" i="10"/>
  <c r="F73" i="10"/>
  <c r="D73" i="10"/>
  <c r="G73" i="10" s="1"/>
  <c r="H72" i="10"/>
  <c r="F72" i="10"/>
  <c r="D72" i="10"/>
  <c r="G72" i="10" s="1"/>
  <c r="H71" i="10"/>
  <c r="F71" i="10"/>
  <c r="D71" i="10"/>
  <c r="G71" i="10" s="1"/>
  <c r="H70" i="10"/>
  <c r="F70" i="10"/>
  <c r="D70" i="10"/>
  <c r="G70" i="10" s="1"/>
  <c r="H69" i="10"/>
  <c r="F69" i="10"/>
  <c r="D69" i="10"/>
  <c r="G69" i="10" s="1"/>
  <c r="H68" i="10"/>
  <c r="F68" i="10"/>
  <c r="D68" i="10"/>
  <c r="G68" i="10" s="1"/>
  <c r="H67" i="10"/>
  <c r="F67" i="10"/>
  <c r="D67" i="10"/>
  <c r="G67" i="10" s="1"/>
  <c r="H65" i="10"/>
  <c r="G65" i="10"/>
  <c r="F65" i="10"/>
  <c r="H63" i="10"/>
  <c r="G63" i="10"/>
  <c r="F63" i="10"/>
  <c r="H62" i="10"/>
  <c r="G62" i="10"/>
  <c r="F62" i="10"/>
  <c r="H84" i="10"/>
  <c r="F84" i="10"/>
  <c r="D84" i="10"/>
  <c r="G84" i="10" s="1"/>
  <c r="Q84" i="10" s="1"/>
  <c r="H60" i="10"/>
  <c r="F60" i="10"/>
  <c r="D60" i="10"/>
  <c r="G60" i="10" s="1"/>
  <c r="H59" i="10"/>
  <c r="F59" i="10"/>
  <c r="D59" i="10"/>
  <c r="G59" i="10" s="1"/>
  <c r="H58" i="10"/>
  <c r="F58" i="10"/>
  <c r="D58" i="10"/>
  <c r="G58" i="10" s="1"/>
  <c r="H57" i="10"/>
  <c r="F57" i="10"/>
  <c r="D57" i="10"/>
  <c r="G57" i="10" s="1"/>
  <c r="H56" i="10"/>
  <c r="F56" i="10"/>
  <c r="D56" i="10"/>
  <c r="G56" i="10" s="1"/>
  <c r="H55" i="10"/>
  <c r="F55" i="10"/>
  <c r="D55" i="10"/>
  <c r="G55" i="10" s="1"/>
  <c r="H54" i="10"/>
  <c r="F54" i="10"/>
  <c r="D54" i="10"/>
  <c r="G54" i="10" s="1"/>
  <c r="H53" i="10"/>
  <c r="F53" i="10"/>
  <c r="D53" i="10"/>
  <c r="G53" i="10" s="1"/>
  <c r="H52" i="10"/>
  <c r="F52" i="10"/>
  <c r="D52" i="10"/>
  <c r="G52" i="10" s="1"/>
  <c r="H51" i="10"/>
  <c r="F51" i="10"/>
  <c r="D51" i="10"/>
  <c r="G51" i="10" s="1"/>
  <c r="H50" i="10"/>
  <c r="F50" i="10"/>
  <c r="D50" i="10"/>
  <c r="G50" i="10" s="1"/>
  <c r="H49" i="10"/>
  <c r="F49" i="10"/>
  <c r="D49" i="10"/>
  <c r="G49" i="10" s="1"/>
  <c r="H48" i="10"/>
  <c r="F48" i="10"/>
  <c r="D48" i="10"/>
  <c r="G48" i="10" s="1"/>
  <c r="H47" i="10"/>
  <c r="F47" i="10"/>
  <c r="D47" i="10"/>
  <c r="G47" i="10" s="1"/>
  <c r="H46" i="10"/>
  <c r="G46" i="10"/>
  <c r="F46" i="10"/>
  <c r="H45" i="10"/>
  <c r="G45" i="10"/>
  <c r="F45" i="10"/>
  <c r="H44" i="10"/>
  <c r="F44" i="10"/>
  <c r="D44" i="10"/>
  <c r="G44" i="10" s="1"/>
  <c r="H43" i="10"/>
  <c r="F43" i="10"/>
  <c r="D43" i="10"/>
  <c r="G43" i="10" s="1"/>
  <c r="H42" i="10"/>
  <c r="F42" i="10"/>
  <c r="D42" i="10"/>
  <c r="G42" i="10" s="1"/>
  <c r="H41" i="10"/>
  <c r="F41" i="10"/>
  <c r="D41" i="10"/>
  <c r="G41" i="10" s="1"/>
  <c r="H40" i="10"/>
  <c r="F40" i="10"/>
  <c r="D40" i="10"/>
  <c r="G40" i="10" s="1"/>
  <c r="H39" i="10"/>
  <c r="F39" i="10"/>
  <c r="D39" i="10"/>
  <c r="G39" i="10" s="1"/>
  <c r="H38" i="10"/>
  <c r="F38" i="10"/>
  <c r="D38" i="10"/>
  <c r="G38" i="10" s="1"/>
  <c r="H37" i="10"/>
  <c r="F37" i="10"/>
  <c r="D37" i="10"/>
  <c r="G37" i="10" s="1"/>
  <c r="H36" i="10"/>
  <c r="F36" i="10"/>
  <c r="D36" i="10"/>
  <c r="G36" i="10" s="1"/>
  <c r="H35" i="10"/>
  <c r="F35" i="10"/>
  <c r="D35" i="10"/>
  <c r="G35" i="10" s="1"/>
  <c r="H33" i="10"/>
  <c r="G33" i="10"/>
  <c r="F33" i="10"/>
  <c r="H32" i="10"/>
  <c r="G32" i="10"/>
  <c r="F32" i="10"/>
  <c r="H31" i="10"/>
  <c r="G31" i="10"/>
  <c r="F31" i="10"/>
  <c r="H30" i="10"/>
  <c r="F30" i="10"/>
  <c r="D30" i="10"/>
  <c r="G30" i="10" s="1"/>
  <c r="H29" i="10"/>
  <c r="F29" i="10"/>
  <c r="D29" i="10"/>
  <c r="G29" i="10" s="1"/>
  <c r="H28" i="10"/>
  <c r="F28" i="10"/>
  <c r="D28" i="10"/>
  <c r="G28" i="10" s="1"/>
  <c r="H27" i="10"/>
  <c r="F27" i="10"/>
  <c r="D27" i="10"/>
  <c r="G27" i="10" s="1"/>
  <c r="H26" i="10"/>
  <c r="F26" i="10"/>
  <c r="D26" i="10"/>
  <c r="G26" i="10" s="1"/>
  <c r="H25" i="10"/>
  <c r="F25" i="10"/>
  <c r="D25" i="10"/>
  <c r="G25" i="10" s="1"/>
  <c r="H24" i="10"/>
  <c r="G24" i="10"/>
  <c r="F24" i="10"/>
  <c r="H22" i="10"/>
  <c r="F22" i="10"/>
  <c r="D22" i="10"/>
  <c r="G22" i="10" s="1"/>
  <c r="H21" i="10"/>
  <c r="F21" i="10"/>
  <c r="D21" i="10"/>
  <c r="G21" i="10" s="1"/>
  <c r="H20" i="10"/>
  <c r="F20" i="10"/>
  <c r="D20" i="10"/>
  <c r="G20" i="10" s="1"/>
  <c r="H19" i="10"/>
  <c r="F19" i="10"/>
  <c r="D19" i="10"/>
  <c r="G19" i="10" s="1"/>
  <c r="H18" i="10"/>
  <c r="G18" i="10"/>
  <c r="F18" i="10"/>
  <c r="H17" i="10"/>
  <c r="G17" i="10"/>
  <c r="F17" i="10"/>
  <c r="H8" i="10"/>
  <c r="F8" i="10"/>
  <c r="R8" i="10" s="1"/>
  <c r="D8" i="10"/>
  <c r="G8" i="10" s="1"/>
  <c r="Q8" i="10" s="1"/>
  <c r="H16" i="10"/>
  <c r="F16" i="10"/>
  <c r="D16" i="10"/>
  <c r="G16" i="10" s="1"/>
  <c r="H15" i="10"/>
  <c r="F15" i="10"/>
  <c r="D15" i="10"/>
  <c r="G15" i="10" s="1"/>
  <c r="H14" i="10"/>
  <c r="F14" i="10"/>
  <c r="D14" i="10"/>
  <c r="G14" i="10" s="1"/>
  <c r="H13" i="10"/>
  <c r="F13" i="10"/>
  <c r="D13" i="10"/>
  <c r="G13" i="10" s="1"/>
  <c r="H12" i="10"/>
  <c r="F12" i="10"/>
  <c r="D12" i="10"/>
  <c r="G12" i="10" s="1"/>
  <c r="H11" i="10"/>
  <c r="F11" i="10"/>
  <c r="D11" i="10"/>
  <c r="G11" i="10" s="1"/>
  <c r="H10" i="10"/>
  <c r="F10" i="10"/>
  <c r="D10" i="10"/>
  <c r="G10" i="10" s="1"/>
  <c r="H9" i="10"/>
  <c r="F9" i="10"/>
  <c r="D9" i="10"/>
  <c r="G9" i="10" s="1"/>
  <c r="H7" i="10"/>
  <c r="G7" i="10"/>
  <c r="F7" i="10"/>
  <c r="H6" i="10"/>
  <c r="G6" i="10"/>
  <c r="F6" i="10"/>
  <c r="H5" i="10"/>
  <c r="F5" i="10"/>
  <c r="D5" i="10"/>
  <c r="G5" i="10" s="1"/>
  <c r="H4" i="10"/>
  <c r="F4" i="10"/>
  <c r="D4" i="10"/>
  <c r="G4" i="10" s="1"/>
  <c r="H3" i="10"/>
  <c r="F3" i="10"/>
  <c r="D3" i="10"/>
  <c r="G3" i="10" s="1"/>
  <c r="H2" i="10"/>
  <c r="F2" i="10"/>
  <c r="D2" i="10"/>
  <c r="G2" i="10" s="1"/>
  <c r="H24" i="9"/>
  <c r="G24" i="9"/>
  <c r="F24" i="9"/>
  <c r="H99" i="9"/>
  <c r="G99" i="9"/>
  <c r="F99" i="9"/>
  <c r="H98" i="9"/>
  <c r="G98" i="9"/>
  <c r="F98" i="9"/>
  <c r="H96" i="9"/>
  <c r="G96" i="9"/>
  <c r="F96" i="9"/>
  <c r="H66" i="9"/>
  <c r="G66" i="9"/>
  <c r="F66" i="9"/>
  <c r="H81" i="9"/>
  <c r="F81" i="9"/>
  <c r="D81" i="9"/>
  <c r="G81" i="9" s="1"/>
  <c r="H94" i="9"/>
  <c r="O94" i="9" s="1"/>
  <c r="R94" i="9" s="1"/>
  <c r="F94" i="9"/>
  <c r="S94" i="9" s="1"/>
  <c r="D94" i="9"/>
  <c r="G94" i="9" s="1"/>
  <c r="H80" i="9"/>
  <c r="F80" i="9"/>
  <c r="O80" i="9" s="1"/>
  <c r="D80" i="9"/>
  <c r="G80" i="9" s="1"/>
  <c r="Q80" i="9" s="1"/>
  <c r="R80" i="9" s="1"/>
  <c r="H79" i="9"/>
  <c r="F79" i="9"/>
  <c r="O79" i="9" s="1"/>
  <c r="D79" i="9"/>
  <c r="G79" i="9" s="1"/>
  <c r="Q79" i="9" s="1"/>
  <c r="R79" i="9" s="1"/>
  <c r="H76" i="9"/>
  <c r="F76" i="9"/>
  <c r="O76" i="9" s="1"/>
  <c r="D76" i="9"/>
  <c r="G76" i="9" s="1"/>
  <c r="Q76" i="9" s="1"/>
  <c r="R76" i="9" s="1"/>
  <c r="H75" i="9"/>
  <c r="F75" i="9"/>
  <c r="O75" i="9" s="1"/>
  <c r="D75" i="9"/>
  <c r="G75" i="9" s="1"/>
  <c r="Q75" i="9" s="1"/>
  <c r="R75" i="9" s="1"/>
  <c r="H93" i="9"/>
  <c r="O93" i="9" s="1"/>
  <c r="R93" i="9" s="1"/>
  <c r="F93" i="9"/>
  <c r="S93" i="9" s="1"/>
  <c r="D93" i="9"/>
  <c r="G93" i="9" s="1"/>
  <c r="H74" i="9"/>
  <c r="F74" i="9"/>
  <c r="O74" i="9" s="1"/>
  <c r="D74" i="9"/>
  <c r="G74" i="9" s="1"/>
  <c r="Q74" i="9" s="1"/>
  <c r="R74" i="9" s="1"/>
  <c r="H92" i="9"/>
  <c r="O92" i="9" s="1"/>
  <c r="R92" i="9" s="1"/>
  <c r="F92" i="9"/>
  <c r="S92" i="9" s="1"/>
  <c r="D92" i="9"/>
  <c r="G92" i="9" s="1"/>
  <c r="H91" i="9"/>
  <c r="O91" i="9" s="1"/>
  <c r="R91" i="9" s="1"/>
  <c r="F91" i="9"/>
  <c r="S91" i="9" s="1"/>
  <c r="D91" i="9"/>
  <c r="G91" i="9" s="1"/>
  <c r="H90" i="9"/>
  <c r="O90" i="9" s="1"/>
  <c r="R90" i="9" s="1"/>
  <c r="F90" i="9"/>
  <c r="S90" i="9" s="1"/>
  <c r="D90" i="9"/>
  <c r="G90" i="9" s="1"/>
  <c r="H89" i="9"/>
  <c r="O89" i="9" s="1"/>
  <c r="R89" i="9" s="1"/>
  <c r="F89" i="9"/>
  <c r="S89" i="9" s="1"/>
  <c r="D89" i="9"/>
  <c r="G89" i="9" s="1"/>
  <c r="H88" i="9"/>
  <c r="O88" i="9" s="1"/>
  <c r="R88" i="9" s="1"/>
  <c r="F88" i="9"/>
  <c r="S88" i="9" s="1"/>
  <c r="D88" i="9"/>
  <c r="G88" i="9" s="1"/>
  <c r="H51" i="9"/>
  <c r="F51" i="9"/>
  <c r="O51" i="9" s="1"/>
  <c r="D51" i="9"/>
  <c r="G51" i="9" s="1"/>
  <c r="H73" i="9"/>
  <c r="F73" i="9"/>
  <c r="O73" i="9" s="1"/>
  <c r="D73" i="9"/>
  <c r="G73" i="9" s="1"/>
  <c r="Q73" i="9" s="1"/>
  <c r="R73" i="9" s="1"/>
  <c r="H72" i="9"/>
  <c r="F72" i="9"/>
  <c r="O72" i="9" s="1"/>
  <c r="D72" i="9"/>
  <c r="G72" i="9" s="1"/>
  <c r="Q72" i="9" s="1"/>
  <c r="R72" i="9" s="1"/>
  <c r="H71" i="9"/>
  <c r="F71" i="9"/>
  <c r="O71" i="9" s="1"/>
  <c r="D71" i="9"/>
  <c r="G71" i="9" s="1"/>
  <c r="Q71" i="9" s="1"/>
  <c r="R71" i="9" s="1"/>
  <c r="H87" i="9"/>
  <c r="O87" i="9" s="1"/>
  <c r="R87" i="9" s="1"/>
  <c r="F87" i="9"/>
  <c r="S87" i="9" s="1"/>
  <c r="D87" i="9"/>
  <c r="G87" i="9" s="1"/>
  <c r="H86" i="9"/>
  <c r="O86" i="9" s="1"/>
  <c r="R86" i="9" s="1"/>
  <c r="F86" i="9"/>
  <c r="S86" i="9" s="1"/>
  <c r="D86" i="9"/>
  <c r="G86" i="9" s="1"/>
  <c r="H85" i="9"/>
  <c r="O85" i="9" s="1"/>
  <c r="R85" i="9" s="1"/>
  <c r="F85" i="9"/>
  <c r="S85" i="9" s="1"/>
  <c r="D85" i="9"/>
  <c r="G85" i="9" s="1"/>
  <c r="H48" i="9"/>
  <c r="F48" i="9"/>
  <c r="O48" i="9" s="1"/>
  <c r="D48" i="9"/>
  <c r="G48" i="9" s="1"/>
  <c r="H70" i="9"/>
  <c r="F70" i="9"/>
  <c r="O70" i="9" s="1"/>
  <c r="D70" i="9"/>
  <c r="G70" i="9" s="1"/>
  <c r="Q70" i="9" s="1"/>
  <c r="R70" i="9" s="1"/>
  <c r="H84" i="9"/>
  <c r="O84" i="9" s="1"/>
  <c r="R84" i="9" s="1"/>
  <c r="F84" i="9"/>
  <c r="S84" i="9" s="1"/>
  <c r="D84" i="9"/>
  <c r="G84" i="9" s="1"/>
  <c r="H69" i="9"/>
  <c r="F69" i="9"/>
  <c r="O69" i="9" s="1"/>
  <c r="D69" i="9"/>
  <c r="G69" i="9" s="1"/>
  <c r="Q69" i="9" s="1"/>
  <c r="R69" i="9" s="1"/>
  <c r="H64" i="9"/>
  <c r="G64" i="9"/>
  <c r="F64" i="9"/>
  <c r="H63" i="9"/>
  <c r="G63" i="9"/>
  <c r="F63" i="9"/>
  <c r="H61" i="9"/>
  <c r="F61" i="9"/>
  <c r="O61" i="9" s="1"/>
  <c r="D61" i="9"/>
  <c r="G61" i="9" s="1"/>
  <c r="H59" i="9"/>
  <c r="F59" i="9"/>
  <c r="O59" i="9" s="1"/>
  <c r="D59" i="9"/>
  <c r="G59" i="9" s="1"/>
  <c r="H58" i="9"/>
  <c r="F58" i="9"/>
  <c r="O58" i="9" s="1"/>
  <c r="D58" i="9"/>
  <c r="G58" i="9" s="1"/>
  <c r="H57" i="9"/>
  <c r="F57" i="9"/>
  <c r="O57" i="9" s="1"/>
  <c r="D57" i="9"/>
  <c r="G57" i="9" s="1"/>
  <c r="H56" i="9"/>
  <c r="F56" i="9"/>
  <c r="O56" i="9" s="1"/>
  <c r="D56" i="9"/>
  <c r="G56" i="9" s="1"/>
  <c r="H55" i="9"/>
  <c r="F55" i="9"/>
  <c r="O55" i="9" s="1"/>
  <c r="D55" i="9"/>
  <c r="G55" i="9" s="1"/>
  <c r="H54" i="9"/>
  <c r="F54" i="9"/>
  <c r="O54" i="9" s="1"/>
  <c r="D54" i="9"/>
  <c r="G54" i="9" s="1"/>
  <c r="H78" i="9"/>
  <c r="F78" i="9"/>
  <c r="O78" i="9" s="1"/>
  <c r="D78" i="9"/>
  <c r="G78" i="9" s="1"/>
  <c r="Q78" i="9" s="1"/>
  <c r="R78" i="9" s="1"/>
  <c r="H53" i="9"/>
  <c r="F53" i="9"/>
  <c r="O53" i="9" s="1"/>
  <c r="D53" i="9"/>
  <c r="G53" i="9" s="1"/>
  <c r="H52" i="9"/>
  <c r="F52" i="9"/>
  <c r="O52" i="9" s="1"/>
  <c r="D52" i="9"/>
  <c r="G52" i="9" s="1"/>
  <c r="H77" i="9"/>
  <c r="F77" i="9"/>
  <c r="O77" i="9" s="1"/>
  <c r="D77" i="9"/>
  <c r="G77" i="9" s="1"/>
  <c r="Q77" i="9" s="1"/>
  <c r="R77" i="9" s="1"/>
  <c r="H50" i="9"/>
  <c r="F50" i="9"/>
  <c r="O50" i="9" s="1"/>
  <c r="D50" i="9"/>
  <c r="G50" i="9" s="1"/>
  <c r="H39" i="9"/>
  <c r="F39" i="9"/>
  <c r="D39" i="9"/>
  <c r="G39" i="9" s="1"/>
  <c r="H49" i="9"/>
  <c r="F49" i="9"/>
  <c r="O49" i="9" s="1"/>
  <c r="D49" i="9"/>
  <c r="G49" i="9" s="1"/>
  <c r="H68" i="9"/>
  <c r="F68" i="9"/>
  <c r="O68" i="9" s="1"/>
  <c r="D68" i="9"/>
  <c r="G68" i="9" s="1"/>
  <c r="Q68" i="9" s="1"/>
  <c r="R68" i="9" s="1"/>
  <c r="H47" i="9"/>
  <c r="F47" i="9"/>
  <c r="O47" i="9" s="1"/>
  <c r="D47" i="9"/>
  <c r="G47" i="9" s="1"/>
  <c r="H46" i="9"/>
  <c r="G46" i="9"/>
  <c r="F46" i="9"/>
  <c r="H45" i="9"/>
  <c r="G45" i="9"/>
  <c r="F45" i="9"/>
  <c r="H60" i="9"/>
  <c r="F60" i="9"/>
  <c r="O60" i="9" s="1"/>
  <c r="D60" i="9"/>
  <c r="G60" i="9" s="1"/>
  <c r="H42" i="9"/>
  <c r="F42" i="9"/>
  <c r="D42" i="9"/>
  <c r="G42" i="9" s="1"/>
  <c r="H44" i="9"/>
  <c r="F44" i="9"/>
  <c r="D44" i="9"/>
  <c r="G44" i="9" s="1"/>
  <c r="H41" i="9"/>
  <c r="F41" i="9"/>
  <c r="D41" i="9"/>
  <c r="G41" i="9" s="1"/>
  <c r="H43" i="9"/>
  <c r="F43" i="9"/>
  <c r="D43" i="9"/>
  <c r="G43" i="9" s="1"/>
  <c r="H38" i="9"/>
  <c r="F38" i="9"/>
  <c r="D38" i="9"/>
  <c r="G38" i="9" s="1"/>
  <c r="H37" i="9"/>
  <c r="F37" i="9"/>
  <c r="D37" i="9"/>
  <c r="G37" i="9" s="1"/>
  <c r="H40" i="9"/>
  <c r="F40" i="9"/>
  <c r="D40" i="9"/>
  <c r="G40" i="9" s="1"/>
  <c r="H36" i="9"/>
  <c r="F36" i="9"/>
  <c r="D36" i="9"/>
  <c r="G36" i="9" s="1"/>
  <c r="H35" i="9"/>
  <c r="F35" i="9"/>
  <c r="D35" i="9"/>
  <c r="G35" i="9" s="1"/>
  <c r="H33" i="9"/>
  <c r="G33" i="9"/>
  <c r="F33" i="9"/>
  <c r="H32" i="9"/>
  <c r="G32" i="9"/>
  <c r="F32" i="9"/>
  <c r="H31" i="9"/>
  <c r="G31" i="9"/>
  <c r="F31" i="9"/>
  <c r="H30" i="9"/>
  <c r="F30" i="9"/>
  <c r="D30" i="9"/>
  <c r="G30" i="9" s="1"/>
  <c r="H29" i="9"/>
  <c r="O29" i="9" s="1"/>
  <c r="R29" i="9" s="1"/>
  <c r="F29" i="9"/>
  <c r="S29" i="9" s="1"/>
  <c r="D29" i="9"/>
  <c r="G29" i="9" s="1"/>
  <c r="H28" i="9"/>
  <c r="O28" i="9" s="1"/>
  <c r="R28" i="9" s="1"/>
  <c r="F28" i="9"/>
  <c r="S28" i="9" s="1"/>
  <c r="D28" i="9"/>
  <c r="G28" i="9" s="1"/>
  <c r="H22" i="9"/>
  <c r="F22" i="9"/>
  <c r="O22" i="9" s="1"/>
  <c r="D22" i="9"/>
  <c r="G22" i="9" s="1"/>
  <c r="Q22" i="9" s="1"/>
  <c r="R22" i="9" s="1"/>
  <c r="H27" i="9"/>
  <c r="O27" i="9" s="1"/>
  <c r="R27" i="9" s="1"/>
  <c r="F27" i="9"/>
  <c r="S27" i="9" s="1"/>
  <c r="D27" i="9"/>
  <c r="G27" i="9" s="1"/>
  <c r="H26" i="9"/>
  <c r="O26" i="9" s="1"/>
  <c r="R26" i="9" s="1"/>
  <c r="F26" i="9"/>
  <c r="S26" i="9" s="1"/>
  <c r="D26" i="9"/>
  <c r="G26" i="9" s="1"/>
  <c r="H20" i="9"/>
  <c r="F20" i="9"/>
  <c r="O20" i="9" s="1"/>
  <c r="D20" i="9"/>
  <c r="G20" i="9" s="1"/>
  <c r="Q20" i="9" s="1"/>
  <c r="R20" i="9" s="1"/>
  <c r="H25" i="9"/>
  <c r="O25" i="9" s="1"/>
  <c r="R25" i="9" s="1"/>
  <c r="F25" i="9"/>
  <c r="S25" i="9" s="1"/>
  <c r="D25" i="9"/>
  <c r="G25" i="9" s="1"/>
  <c r="H18" i="9"/>
  <c r="G18" i="9"/>
  <c r="F18" i="9"/>
  <c r="H17" i="9"/>
  <c r="G17" i="9"/>
  <c r="F17" i="9"/>
  <c r="H16" i="9"/>
  <c r="F16" i="9"/>
  <c r="O16" i="9" s="1"/>
  <c r="D16" i="9"/>
  <c r="G16" i="9" s="1"/>
  <c r="H15" i="9"/>
  <c r="F15" i="9"/>
  <c r="O15" i="9" s="1"/>
  <c r="D15" i="9"/>
  <c r="G15" i="9" s="1"/>
  <c r="H14" i="9"/>
  <c r="F14" i="9"/>
  <c r="O14" i="9" s="1"/>
  <c r="D14" i="9"/>
  <c r="G14" i="9" s="1"/>
  <c r="H13" i="9"/>
  <c r="F13" i="9"/>
  <c r="O13" i="9" s="1"/>
  <c r="D13" i="9"/>
  <c r="G13" i="9" s="1"/>
  <c r="H12" i="9"/>
  <c r="F12" i="9"/>
  <c r="O12" i="9" s="1"/>
  <c r="D12" i="9"/>
  <c r="G12" i="9" s="1"/>
  <c r="H11" i="9"/>
  <c r="F11" i="9"/>
  <c r="O11" i="9" s="1"/>
  <c r="D11" i="9"/>
  <c r="G11" i="9" s="1"/>
  <c r="H10" i="9"/>
  <c r="F10" i="9"/>
  <c r="O10" i="9" s="1"/>
  <c r="D10" i="9"/>
  <c r="G10" i="9" s="1"/>
  <c r="H21" i="9"/>
  <c r="F21" i="9"/>
  <c r="O21" i="9" s="1"/>
  <c r="D21" i="9"/>
  <c r="G21" i="9" s="1"/>
  <c r="Q21" i="9" s="1"/>
  <c r="R21" i="9" s="1"/>
  <c r="H9" i="9"/>
  <c r="F9" i="9"/>
  <c r="O9" i="9" s="1"/>
  <c r="D9" i="9"/>
  <c r="G9" i="9" s="1"/>
  <c r="H8" i="9"/>
  <c r="F8" i="9"/>
  <c r="O8" i="9" s="1"/>
  <c r="D8" i="9"/>
  <c r="G8" i="9" s="1"/>
  <c r="H19" i="9"/>
  <c r="F19" i="9"/>
  <c r="O19" i="9" s="1"/>
  <c r="D19" i="9"/>
  <c r="G19" i="9" s="1"/>
  <c r="Q19" i="9" s="1"/>
  <c r="R19" i="9" s="1"/>
  <c r="H7" i="9"/>
  <c r="G7" i="9"/>
  <c r="F7" i="9"/>
  <c r="H6" i="9"/>
  <c r="G6" i="9"/>
  <c r="F6" i="9"/>
  <c r="H5" i="9"/>
  <c r="F5" i="9"/>
  <c r="D5" i="9"/>
  <c r="G5" i="9" s="1"/>
  <c r="H4" i="9"/>
  <c r="F4" i="9"/>
  <c r="D4" i="9"/>
  <c r="G4" i="9" s="1"/>
  <c r="H3" i="9"/>
  <c r="F3" i="9"/>
  <c r="D3" i="9"/>
  <c r="G3" i="9" s="1"/>
  <c r="H2" i="9"/>
  <c r="F2" i="9"/>
  <c r="D2" i="9"/>
  <c r="G2" i="9" s="1"/>
  <c r="H99" i="8"/>
  <c r="G99" i="8"/>
  <c r="F99" i="8"/>
  <c r="H98" i="8"/>
  <c r="G98" i="8"/>
  <c r="F98" i="8"/>
  <c r="H96" i="8"/>
  <c r="G96" i="8"/>
  <c r="F96" i="8"/>
  <c r="H65" i="8"/>
  <c r="G65" i="8"/>
  <c r="F65" i="8"/>
  <c r="H64" i="8"/>
  <c r="G64" i="8"/>
  <c r="F64" i="8"/>
  <c r="H74" i="8"/>
  <c r="F74" i="8"/>
  <c r="D74" i="8"/>
  <c r="G74" i="8" s="1"/>
  <c r="Q74" i="8" s="1"/>
  <c r="H69" i="8"/>
  <c r="F69" i="8"/>
  <c r="D69" i="8"/>
  <c r="G69" i="8" s="1"/>
  <c r="Q69" i="8" s="1"/>
  <c r="H68" i="8"/>
  <c r="F68" i="8"/>
  <c r="D68" i="8"/>
  <c r="G68" i="8" s="1"/>
  <c r="Q68" i="8" s="1"/>
  <c r="H87" i="8"/>
  <c r="F87" i="8"/>
  <c r="D87" i="8"/>
  <c r="G87" i="8" s="1"/>
  <c r="Q87" i="8" s="1"/>
  <c r="H91" i="8"/>
  <c r="F91" i="8"/>
  <c r="D91" i="8"/>
  <c r="G91" i="8" s="1"/>
  <c r="H85" i="8"/>
  <c r="F85" i="8"/>
  <c r="D85" i="8"/>
  <c r="G85" i="8" s="1"/>
  <c r="Q85" i="8" s="1"/>
  <c r="H83" i="8"/>
  <c r="F83" i="8"/>
  <c r="D83" i="8"/>
  <c r="G83" i="8" s="1"/>
  <c r="Q83" i="8" s="1"/>
  <c r="H82" i="8"/>
  <c r="F82" i="8"/>
  <c r="D82" i="8"/>
  <c r="G82" i="8" s="1"/>
  <c r="Q82" i="8" s="1"/>
  <c r="H81" i="8"/>
  <c r="F81" i="8"/>
  <c r="D81" i="8"/>
  <c r="G81" i="8" s="1"/>
  <c r="Q81" i="8" s="1"/>
  <c r="H71" i="8"/>
  <c r="F71" i="8"/>
  <c r="D71" i="8"/>
  <c r="G71" i="8" s="1"/>
  <c r="Q71" i="8" s="1"/>
  <c r="H70" i="8"/>
  <c r="F70" i="8"/>
  <c r="D70" i="8"/>
  <c r="G70" i="8" s="1"/>
  <c r="Q70" i="8" s="1"/>
  <c r="H47" i="8"/>
  <c r="F47" i="8"/>
  <c r="O47" i="8" s="1"/>
  <c r="D47" i="8"/>
  <c r="G47" i="8" s="1"/>
  <c r="H60" i="8"/>
  <c r="F60" i="8"/>
  <c r="O60" i="8" s="1"/>
  <c r="D60" i="8"/>
  <c r="G60" i="8" s="1"/>
  <c r="H58" i="8"/>
  <c r="F58" i="8"/>
  <c r="O58" i="8" s="1"/>
  <c r="D58" i="8"/>
  <c r="G58" i="8" s="1"/>
  <c r="H55" i="8"/>
  <c r="F55" i="8"/>
  <c r="O55" i="8" s="1"/>
  <c r="D55" i="8"/>
  <c r="G55" i="8" s="1"/>
  <c r="H51" i="8"/>
  <c r="F51" i="8"/>
  <c r="O51" i="8" s="1"/>
  <c r="D51" i="8"/>
  <c r="G51" i="8" s="1"/>
  <c r="H37" i="8"/>
  <c r="F37" i="8"/>
  <c r="O37" i="8" s="1"/>
  <c r="D37" i="8"/>
  <c r="G37" i="8" s="1"/>
  <c r="H35" i="8"/>
  <c r="F35" i="8"/>
  <c r="O35" i="8" s="1"/>
  <c r="D35" i="8"/>
  <c r="G35" i="8" s="1"/>
  <c r="H36" i="8"/>
  <c r="F36" i="8"/>
  <c r="O36" i="8" s="1"/>
  <c r="D36" i="8"/>
  <c r="G36" i="8" s="1"/>
  <c r="H94" i="8"/>
  <c r="G94" i="8"/>
  <c r="F94" i="8"/>
  <c r="H78" i="8"/>
  <c r="F78" i="8"/>
  <c r="D78" i="8"/>
  <c r="G78" i="8" s="1"/>
  <c r="Q78" i="8" s="1"/>
  <c r="H86" i="8"/>
  <c r="F86" i="8"/>
  <c r="D86" i="8"/>
  <c r="G86" i="8" s="1"/>
  <c r="Q86" i="8" s="1"/>
  <c r="H76" i="8"/>
  <c r="F76" i="8"/>
  <c r="D76" i="8"/>
  <c r="G76" i="8" s="1"/>
  <c r="Q76" i="8" s="1"/>
  <c r="H48" i="8"/>
  <c r="F48" i="8"/>
  <c r="O48" i="8" s="1"/>
  <c r="D48" i="8"/>
  <c r="G48" i="8" s="1"/>
  <c r="H62" i="8"/>
  <c r="F62" i="8"/>
  <c r="O62" i="8" s="1"/>
  <c r="D62" i="8"/>
  <c r="G62" i="8" s="1"/>
  <c r="H59" i="8"/>
  <c r="F59" i="8"/>
  <c r="O59" i="8" s="1"/>
  <c r="D59" i="8"/>
  <c r="G59" i="8" s="1"/>
  <c r="H89" i="8"/>
  <c r="F89" i="8"/>
  <c r="D89" i="8"/>
  <c r="G89" i="8" s="1"/>
  <c r="Q89" i="8" s="1"/>
  <c r="H49" i="8"/>
  <c r="F49" i="8"/>
  <c r="O49" i="8" s="1"/>
  <c r="D49" i="8"/>
  <c r="G49" i="8" s="1"/>
  <c r="H61" i="8"/>
  <c r="F61" i="8"/>
  <c r="O61" i="8" s="1"/>
  <c r="D61" i="8"/>
  <c r="G61" i="8" s="1"/>
  <c r="H44" i="8"/>
  <c r="F44" i="8"/>
  <c r="D44" i="8"/>
  <c r="G44" i="8" s="1"/>
  <c r="H75" i="8"/>
  <c r="F75" i="8"/>
  <c r="D75" i="8"/>
  <c r="G75" i="8" s="1"/>
  <c r="Q75" i="8" s="1"/>
  <c r="H90" i="8"/>
  <c r="F90" i="8"/>
  <c r="D90" i="8"/>
  <c r="G90" i="8" s="1"/>
  <c r="Q90" i="8" s="1"/>
  <c r="H93" i="8"/>
  <c r="G93" i="8"/>
  <c r="F93" i="8"/>
  <c r="H41" i="8"/>
  <c r="F41" i="8"/>
  <c r="O41" i="8" s="1"/>
  <c r="D41" i="8"/>
  <c r="G41" i="8" s="1"/>
  <c r="H40" i="8"/>
  <c r="F40" i="8"/>
  <c r="O40" i="8" s="1"/>
  <c r="D40" i="8"/>
  <c r="G40" i="8" s="1"/>
  <c r="H53" i="8"/>
  <c r="F53" i="8"/>
  <c r="O53" i="8" s="1"/>
  <c r="D53" i="8"/>
  <c r="G53" i="8" s="1"/>
  <c r="H50" i="8"/>
  <c r="F50" i="8"/>
  <c r="O50" i="8" s="1"/>
  <c r="D50" i="8"/>
  <c r="G50" i="8" s="1"/>
  <c r="H39" i="8"/>
  <c r="F39" i="8"/>
  <c r="O39" i="8" s="1"/>
  <c r="D39" i="8"/>
  <c r="G39" i="8" s="1"/>
  <c r="H38" i="8"/>
  <c r="F38" i="8"/>
  <c r="O38" i="8" s="1"/>
  <c r="D38" i="8"/>
  <c r="G38" i="8" s="1"/>
  <c r="H84" i="8"/>
  <c r="F84" i="8"/>
  <c r="D84" i="8"/>
  <c r="G84" i="8" s="1"/>
  <c r="Q84" i="8" s="1"/>
  <c r="H54" i="8"/>
  <c r="F54" i="8"/>
  <c r="O54" i="8" s="1"/>
  <c r="D54" i="8"/>
  <c r="G54" i="8" s="1"/>
  <c r="H73" i="8"/>
  <c r="F73" i="8"/>
  <c r="D73" i="8"/>
  <c r="G73" i="8" s="1"/>
  <c r="Q73" i="8" s="1"/>
  <c r="H46" i="8"/>
  <c r="G46" i="8"/>
  <c r="F46" i="8"/>
  <c r="H45" i="8"/>
  <c r="G45" i="8"/>
  <c r="F45" i="8"/>
  <c r="H43" i="8"/>
  <c r="F43" i="8"/>
  <c r="O43" i="8" s="1"/>
  <c r="D43" i="8"/>
  <c r="G43" i="8" s="1"/>
  <c r="H42" i="8"/>
  <c r="F42" i="8"/>
  <c r="O42" i="8" s="1"/>
  <c r="D42" i="8"/>
  <c r="G42" i="8" s="1"/>
  <c r="H57" i="8"/>
  <c r="F57" i="8"/>
  <c r="O57" i="8" s="1"/>
  <c r="D57" i="8"/>
  <c r="G57" i="8" s="1"/>
  <c r="H88" i="8"/>
  <c r="F88" i="8"/>
  <c r="D88" i="8"/>
  <c r="G88" i="8" s="1"/>
  <c r="Q88" i="8" s="1"/>
  <c r="H52" i="8"/>
  <c r="F52" i="8"/>
  <c r="O52" i="8" s="1"/>
  <c r="D52" i="8"/>
  <c r="G52" i="8" s="1"/>
  <c r="H56" i="8"/>
  <c r="F56" i="8"/>
  <c r="O56" i="8" s="1"/>
  <c r="D56" i="8"/>
  <c r="G56" i="8" s="1"/>
  <c r="H80" i="8"/>
  <c r="F80" i="8"/>
  <c r="D80" i="8"/>
  <c r="G80" i="8" s="1"/>
  <c r="Q80" i="8" s="1"/>
  <c r="H79" i="8"/>
  <c r="F79" i="8"/>
  <c r="D79" i="8"/>
  <c r="G79" i="8" s="1"/>
  <c r="Q79" i="8" s="1"/>
  <c r="H77" i="8"/>
  <c r="F77" i="8"/>
  <c r="D77" i="8"/>
  <c r="G77" i="8" s="1"/>
  <c r="Q77" i="8" s="1"/>
  <c r="H72" i="8"/>
  <c r="F72" i="8"/>
  <c r="D72" i="8"/>
  <c r="G72" i="8" s="1"/>
  <c r="Q72" i="8" s="1"/>
  <c r="H33" i="8"/>
  <c r="G33" i="8"/>
  <c r="F33" i="8"/>
  <c r="H32" i="8"/>
  <c r="G32" i="8"/>
  <c r="F32" i="8"/>
  <c r="H31" i="8"/>
  <c r="G31" i="8"/>
  <c r="F31" i="8"/>
  <c r="H10" i="8"/>
  <c r="F10" i="8"/>
  <c r="O10" i="8" s="1"/>
  <c r="D10" i="8"/>
  <c r="G10" i="8" s="1"/>
  <c r="H5" i="8"/>
  <c r="F5" i="8"/>
  <c r="D5" i="8"/>
  <c r="G5" i="8" s="1"/>
  <c r="H15" i="8"/>
  <c r="F15" i="8"/>
  <c r="O15" i="8" s="1"/>
  <c r="D15" i="8"/>
  <c r="G15" i="8" s="1"/>
  <c r="H18" i="8"/>
  <c r="F18" i="8"/>
  <c r="O18" i="8" s="1"/>
  <c r="D18" i="8"/>
  <c r="G18" i="8" s="1"/>
  <c r="H28" i="8"/>
  <c r="F28" i="8"/>
  <c r="D28" i="8"/>
  <c r="G28" i="8" s="1"/>
  <c r="H27" i="8"/>
  <c r="F27" i="8"/>
  <c r="D27" i="8"/>
  <c r="G27" i="8" s="1"/>
  <c r="Q27" i="8" s="1"/>
  <c r="H21" i="8"/>
  <c r="F21" i="8"/>
  <c r="D21" i="8"/>
  <c r="G21" i="8" s="1"/>
  <c r="Q21" i="8" s="1"/>
  <c r="H17" i="8"/>
  <c r="F17" i="8"/>
  <c r="O17" i="8" s="1"/>
  <c r="D17" i="8"/>
  <c r="G17" i="8" s="1"/>
  <c r="H16" i="8"/>
  <c r="F16" i="8"/>
  <c r="O16" i="8" s="1"/>
  <c r="D16" i="8"/>
  <c r="G16" i="8" s="1"/>
  <c r="H14" i="8"/>
  <c r="F14" i="8"/>
  <c r="O14" i="8" s="1"/>
  <c r="D14" i="8"/>
  <c r="G14" i="8" s="1"/>
  <c r="H13" i="8"/>
  <c r="F13" i="8"/>
  <c r="O13" i="8" s="1"/>
  <c r="D13" i="8"/>
  <c r="G13" i="8" s="1"/>
  <c r="H2" i="8"/>
  <c r="F2" i="8"/>
  <c r="O2" i="8" s="1"/>
  <c r="D2" i="8"/>
  <c r="G2" i="8" s="1"/>
  <c r="H8" i="8"/>
  <c r="F8" i="8"/>
  <c r="O8" i="8" s="1"/>
  <c r="D8" i="8"/>
  <c r="G8" i="8" s="1"/>
  <c r="H9" i="8"/>
  <c r="F9" i="8"/>
  <c r="O9" i="8" s="1"/>
  <c r="D9" i="8"/>
  <c r="G9" i="8" s="1"/>
  <c r="H20" i="8"/>
  <c r="G20" i="8"/>
  <c r="F20" i="8"/>
  <c r="H19" i="8"/>
  <c r="G19" i="8"/>
  <c r="F19" i="8"/>
  <c r="H22" i="8"/>
  <c r="F22" i="8"/>
  <c r="D22" i="8"/>
  <c r="G22" i="8" s="1"/>
  <c r="Q22" i="8" s="1"/>
  <c r="H12" i="8"/>
  <c r="F12" i="8"/>
  <c r="O12" i="8" s="1"/>
  <c r="D12" i="8"/>
  <c r="G12" i="8" s="1"/>
  <c r="H11" i="8"/>
  <c r="F11" i="8"/>
  <c r="O11" i="8" s="1"/>
  <c r="D11" i="8"/>
  <c r="G11" i="8" s="1"/>
  <c r="H3" i="8"/>
  <c r="F3" i="8"/>
  <c r="O3" i="8" s="1"/>
  <c r="D3" i="8"/>
  <c r="G3" i="8" s="1"/>
  <c r="H7" i="8"/>
  <c r="G7" i="8"/>
  <c r="F7" i="8"/>
  <c r="H6" i="8"/>
  <c r="G6" i="8"/>
  <c r="F6" i="8"/>
  <c r="H26" i="8"/>
  <c r="F26" i="8"/>
  <c r="D26" i="8"/>
  <c r="G26" i="8" s="1"/>
  <c r="Q26" i="8" s="1"/>
  <c r="H4" i="8"/>
  <c r="F4" i="8"/>
  <c r="O4" i="8" s="1"/>
  <c r="D4" i="8"/>
  <c r="G4" i="8" s="1"/>
  <c r="H25" i="8"/>
  <c r="F25" i="8"/>
  <c r="D25" i="8"/>
  <c r="G25" i="8" s="1"/>
  <c r="Q25" i="8" s="1"/>
  <c r="H24" i="8"/>
  <c r="F24" i="8"/>
  <c r="D24" i="8"/>
  <c r="G24" i="8" s="1"/>
  <c r="Q24" i="8" s="1"/>
  <c r="H23" i="8"/>
  <c r="F23" i="8"/>
  <c r="D23" i="8"/>
  <c r="G23" i="8" s="1"/>
  <c r="Q23" i="8" s="1"/>
  <c r="P12" i="7"/>
  <c r="O12" i="7"/>
  <c r="M12" i="7"/>
  <c r="N12" i="7" s="1"/>
  <c r="P11" i="7"/>
  <c r="O11" i="7"/>
  <c r="M11" i="7"/>
  <c r="N11" i="7" s="1"/>
  <c r="P10" i="7"/>
  <c r="O10" i="7"/>
  <c r="M10" i="7"/>
  <c r="N10" i="7" s="1"/>
  <c r="P9" i="7"/>
  <c r="O9" i="7"/>
  <c r="M9" i="7"/>
  <c r="N9" i="7" s="1"/>
  <c r="P6" i="7"/>
  <c r="O6" i="7"/>
  <c r="M6" i="7"/>
  <c r="N6" i="7" s="1"/>
  <c r="P5" i="7"/>
  <c r="O5" i="7"/>
  <c r="M5" i="7"/>
  <c r="N5" i="7" s="1"/>
  <c r="P4" i="7"/>
  <c r="O4" i="7"/>
  <c r="M4" i="7"/>
  <c r="N4" i="7" s="1"/>
  <c r="P3" i="7"/>
  <c r="O3" i="7"/>
  <c r="M3" i="7"/>
  <c r="N3" i="7" s="1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M2" i="7"/>
  <c r="N2" i="7" s="1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L2" i="24" l="1"/>
  <c r="K2" i="24"/>
  <c r="J2" i="24"/>
  <c r="I2" i="24"/>
  <c r="L3" i="24"/>
  <c r="K3" i="24"/>
  <c r="J3" i="24"/>
  <c r="I3" i="24"/>
  <c r="L4" i="24"/>
  <c r="K4" i="24"/>
  <c r="J4" i="24"/>
  <c r="I4" i="24"/>
  <c r="L5" i="24"/>
  <c r="K5" i="24"/>
  <c r="J5" i="24"/>
  <c r="I5" i="24"/>
  <c r="L6" i="24"/>
  <c r="K6" i="24"/>
  <c r="J6" i="24"/>
  <c r="I6" i="24"/>
  <c r="L11" i="24"/>
  <c r="K11" i="24"/>
  <c r="J11" i="24"/>
  <c r="I11" i="24"/>
  <c r="L16" i="24"/>
  <c r="K16" i="24"/>
  <c r="J16" i="24"/>
  <c r="I16" i="24"/>
  <c r="L17" i="24"/>
  <c r="K17" i="24"/>
  <c r="J17" i="24"/>
  <c r="I17" i="24"/>
  <c r="L18" i="24"/>
  <c r="K18" i="24"/>
  <c r="J18" i="24"/>
  <c r="I18" i="24"/>
  <c r="L19" i="24"/>
  <c r="K19" i="24"/>
  <c r="J19" i="24"/>
  <c r="I19" i="24"/>
  <c r="L7" i="24"/>
  <c r="K7" i="24"/>
  <c r="J7" i="24"/>
  <c r="I7" i="24"/>
  <c r="L8" i="24"/>
  <c r="K8" i="24"/>
  <c r="J8" i="24"/>
  <c r="I8" i="24"/>
  <c r="L28" i="24"/>
  <c r="K28" i="24"/>
  <c r="J28" i="24"/>
  <c r="I28" i="24"/>
  <c r="L27" i="24"/>
  <c r="K27" i="24"/>
  <c r="J27" i="24"/>
  <c r="I27" i="24"/>
  <c r="L9" i="24"/>
  <c r="K9" i="24"/>
  <c r="J9" i="24"/>
  <c r="I9" i="24"/>
  <c r="L12" i="24"/>
  <c r="K12" i="24"/>
  <c r="J12" i="24"/>
  <c r="I12" i="24"/>
  <c r="L13" i="24"/>
  <c r="K13" i="24"/>
  <c r="J13" i="24"/>
  <c r="I13" i="24"/>
  <c r="L14" i="24"/>
  <c r="K14" i="24"/>
  <c r="J14" i="24"/>
  <c r="I14" i="24"/>
  <c r="L15" i="24"/>
  <c r="K15" i="24"/>
  <c r="J15" i="24"/>
  <c r="I15" i="24"/>
  <c r="L21" i="24"/>
  <c r="K21" i="24"/>
  <c r="J21" i="24"/>
  <c r="I21" i="24"/>
  <c r="L22" i="24"/>
  <c r="K22" i="24"/>
  <c r="J22" i="24"/>
  <c r="I22" i="24"/>
  <c r="L23" i="24"/>
  <c r="K23" i="24"/>
  <c r="J23" i="24"/>
  <c r="I23" i="24"/>
  <c r="L10" i="24"/>
  <c r="K10" i="24"/>
  <c r="J10" i="24"/>
  <c r="I10" i="24"/>
  <c r="L24" i="24"/>
  <c r="K24" i="24"/>
  <c r="J24" i="24"/>
  <c r="I24" i="24"/>
  <c r="L25" i="24"/>
  <c r="K25" i="24"/>
  <c r="J25" i="24"/>
  <c r="I25" i="24"/>
  <c r="L29" i="24"/>
  <c r="K29" i="24"/>
  <c r="J29" i="24"/>
  <c r="I29" i="24"/>
  <c r="L30" i="24"/>
  <c r="K30" i="24"/>
  <c r="J30" i="24"/>
  <c r="I30" i="24"/>
  <c r="L33" i="24"/>
  <c r="K33" i="24"/>
  <c r="J33" i="24"/>
  <c r="I33" i="24"/>
  <c r="L38" i="24"/>
  <c r="K38" i="24"/>
  <c r="N38" i="24" s="1"/>
  <c r="J38" i="24"/>
  <c r="I38" i="24"/>
  <c r="L39" i="24"/>
  <c r="K39" i="24"/>
  <c r="J39" i="24"/>
  <c r="I39" i="24"/>
  <c r="L36" i="24"/>
  <c r="K36" i="24"/>
  <c r="J36" i="24"/>
  <c r="I36" i="24"/>
  <c r="L37" i="24"/>
  <c r="K37" i="24"/>
  <c r="J37" i="24"/>
  <c r="I37" i="24"/>
  <c r="L49" i="24"/>
  <c r="K49" i="24"/>
  <c r="J49" i="24"/>
  <c r="I49" i="24"/>
  <c r="L40" i="24"/>
  <c r="K40" i="24"/>
  <c r="J40" i="24"/>
  <c r="I40" i="24"/>
  <c r="L41" i="24"/>
  <c r="K41" i="24"/>
  <c r="J41" i="24"/>
  <c r="I41" i="24"/>
  <c r="L86" i="24"/>
  <c r="K86" i="24"/>
  <c r="J86" i="24"/>
  <c r="I86" i="24"/>
  <c r="L87" i="24"/>
  <c r="K87" i="24"/>
  <c r="J87" i="24"/>
  <c r="I87" i="24"/>
  <c r="L35" i="24"/>
  <c r="K35" i="24"/>
  <c r="J35" i="24"/>
  <c r="I35" i="24"/>
  <c r="L89" i="24"/>
  <c r="K89" i="24"/>
  <c r="J89" i="24"/>
  <c r="I89" i="24"/>
  <c r="L63" i="24"/>
  <c r="K63" i="24"/>
  <c r="J63" i="24"/>
  <c r="I63" i="24"/>
  <c r="L54" i="24"/>
  <c r="K54" i="24"/>
  <c r="J54" i="24"/>
  <c r="I54" i="24"/>
  <c r="L47" i="24"/>
  <c r="K47" i="24"/>
  <c r="J47" i="24"/>
  <c r="I47" i="24"/>
  <c r="L48" i="24"/>
  <c r="K48" i="24"/>
  <c r="J48" i="24"/>
  <c r="I48" i="24"/>
  <c r="L55" i="24"/>
  <c r="K55" i="24"/>
  <c r="J55" i="24"/>
  <c r="I55" i="24"/>
  <c r="L56" i="24"/>
  <c r="K56" i="24"/>
  <c r="J56" i="24"/>
  <c r="I56" i="24"/>
  <c r="L57" i="24"/>
  <c r="K57" i="24"/>
  <c r="J57" i="24"/>
  <c r="I57" i="24"/>
  <c r="L59" i="24"/>
  <c r="K59" i="24"/>
  <c r="J59" i="24"/>
  <c r="I59" i="24"/>
  <c r="L62" i="24"/>
  <c r="K62" i="24"/>
  <c r="J62" i="24"/>
  <c r="I62" i="24"/>
  <c r="L42" i="24"/>
  <c r="K42" i="24"/>
  <c r="J42" i="24"/>
  <c r="I42" i="24"/>
  <c r="L64" i="24"/>
  <c r="K64" i="24"/>
  <c r="J64" i="24"/>
  <c r="I64" i="24"/>
  <c r="L65" i="24"/>
  <c r="K65" i="24"/>
  <c r="J65" i="24"/>
  <c r="I65" i="24"/>
  <c r="L44" i="24"/>
  <c r="K44" i="24"/>
  <c r="J44" i="24"/>
  <c r="I44" i="24"/>
  <c r="L45" i="24"/>
  <c r="K45" i="24"/>
  <c r="J45" i="24"/>
  <c r="I45" i="24"/>
  <c r="L46" i="24"/>
  <c r="K46" i="24"/>
  <c r="J46" i="24"/>
  <c r="I46" i="24"/>
  <c r="L50" i="24"/>
  <c r="K50" i="24"/>
  <c r="J50" i="24"/>
  <c r="I50" i="24"/>
  <c r="L91" i="24"/>
  <c r="K91" i="24"/>
  <c r="J91" i="24"/>
  <c r="I91" i="24"/>
  <c r="L93" i="24"/>
  <c r="K93" i="24"/>
  <c r="J93" i="24"/>
  <c r="I93" i="24"/>
  <c r="L67" i="24"/>
  <c r="K67" i="24"/>
  <c r="J67" i="24"/>
  <c r="I67" i="24"/>
  <c r="L52" i="24"/>
  <c r="K52" i="24"/>
  <c r="J52" i="24"/>
  <c r="I52" i="24"/>
  <c r="L71" i="24"/>
  <c r="K71" i="24"/>
  <c r="J71" i="24"/>
  <c r="I71" i="24"/>
  <c r="L53" i="24"/>
  <c r="K53" i="24"/>
  <c r="J53" i="24"/>
  <c r="I53" i="24"/>
  <c r="L51" i="24"/>
  <c r="K51" i="24"/>
  <c r="J51" i="24"/>
  <c r="I51" i="24"/>
  <c r="L74" i="24"/>
  <c r="K74" i="24"/>
  <c r="J74" i="24"/>
  <c r="I74" i="24"/>
  <c r="L58" i="24"/>
  <c r="K58" i="24"/>
  <c r="J58" i="24"/>
  <c r="I58" i="24"/>
  <c r="L60" i="24"/>
  <c r="K60" i="24"/>
  <c r="J60" i="24"/>
  <c r="I60" i="24"/>
  <c r="L81" i="24"/>
  <c r="K81" i="24"/>
  <c r="J81" i="24"/>
  <c r="I81" i="24"/>
  <c r="L82" i="24"/>
  <c r="K82" i="24"/>
  <c r="J82" i="24"/>
  <c r="I82" i="24"/>
  <c r="L83" i="24"/>
  <c r="K83" i="24"/>
  <c r="J83" i="24"/>
  <c r="I83" i="24"/>
  <c r="L61" i="24"/>
  <c r="K61" i="24"/>
  <c r="J61" i="24"/>
  <c r="I61" i="24"/>
  <c r="L68" i="24"/>
  <c r="K68" i="24"/>
  <c r="J68" i="24"/>
  <c r="I68" i="24"/>
  <c r="L70" i="24"/>
  <c r="K70" i="24"/>
  <c r="J70" i="24"/>
  <c r="I70" i="24"/>
  <c r="L72" i="24"/>
  <c r="K72" i="24"/>
  <c r="J72" i="24"/>
  <c r="I72" i="24"/>
  <c r="L73" i="24"/>
  <c r="K73" i="24"/>
  <c r="J73" i="24"/>
  <c r="I73" i="24"/>
  <c r="L75" i="24"/>
  <c r="K75" i="24"/>
  <c r="J75" i="24"/>
  <c r="I75" i="24"/>
  <c r="L76" i="24"/>
  <c r="K76" i="24"/>
  <c r="J76" i="24"/>
  <c r="I76" i="24"/>
  <c r="L77" i="24"/>
  <c r="K77" i="24"/>
  <c r="J77" i="24"/>
  <c r="I77" i="24"/>
  <c r="L78" i="24"/>
  <c r="K78" i="24"/>
  <c r="J78" i="24"/>
  <c r="I78" i="24"/>
  <c r="L79" i="24"/>
  <c r="K79" i="24"/>
  <c r="J79" i="24"/>
  <c r="I79" i="24"/>
  <c r="L80" i="24"/>
  <c r="K80" i="24"/>
  <c r="J80" i="24"/>
  <c r="I80" i="24"/>
  <c r="L66" i="24"/>
  <c r="K66" i="24"/>
  <c r="J66" i="24"/>
  <c r="I66" i="24"/>
  <c r="L69" i="24"/>
  <c r="K69" i="24"/>
  <c r="J69" i="24"/>
  <c r="I69" i="24"/>
  <c r="L88" i="24"/>
  <c r="K88" i="24"/>
  <c r="J88" i="24"/>
  <c r="I88" i="24"/>
  <c r="L94" i="24"/>
  <c r="K94" i="24"/>
  <c r="J94" i="24"/>
  <c r="I94" i="24"/>
  <c r="L95" i="24"/>
  <c r="K95" i="24"/>
  <c r="J95" i="24"/>
  <c r="I95" i="24"/>
  <c r="L98" i="24"/>
  <c r="K98" i="24"/>
  <c r="J98" i="24"/>
  <c r="I98" i="24"/>
  <c r="P2" i="23"/>
  <c r="O2" i="23"/>
  <c r="P3" i="23"/>
  <c r="O3" i="23"/>
  <c r="P35" i="23"/>
  <c r="O35" i="23"/>
  <c r="P36" i="23"/>
  <c r="O36" i="23"/>
  <c r="P37" i="23"/>
  <c r="O37" i="23"/>
  <c r="P38" i="23"/>
  <c r="O38" i="23"/>
  <c r="P39" i="23"/>
  <c r="O39" i="23"/>
  <c r="P40" i="23"/>
  <c r="O40" i="23"/>
  <c r="P41" i="23"/>
  <c r="O41" i="23"/>
  <c r="P42" i="23"/>
  <c r="O42" i="23"/>
  <c r="P43" i="23"/>
  <c r="O43" i="23"/>
  <c r="L4" i="23"/>
  <c r="K4" i="23"/>
  <c r="J4" i="23"/>
  <c r="I4" i="23"/>
  <c r="L7" i="23"/>
  <c r="K7" i="23"/>
  <c r="J7" i="23"/>
  <c r="I7" i="23"/>
  <c r="L2" i="23"/>
  <c r="K2" i="23"/>
  <c r="J2" i="23"/>
  <c r="I2" i="23"/>
  <c r="L3" i="23"/>
  <c r="K3" i="23"/>
  <c r="J3" i="23"/>
  <c r="I3" i="23"/>
  <c r="L5" i="23"/>
  <c r="K5" i="23"/>
  <c r="J5" i="23"/>
  <c r="I5" i="23"/>
  <c r="L6" i="23"/>
  <c r="K6" i="23"/>
  <c r="J6" i="23"/>
  <c r="I6" i="23"/>
  <c r="L12" i="23"/>
  <c r="K12" i="23"/>
  <c r="J12" i="23"/>
  <c r="I12" i="23"/>
  <c r="L13" i="23"/>
  <c r="K13" i="23"/>
  <c r="J13" i="23"/>
  <c r="I13" i="23"/>
  <c r="L14" i="23"/>
  <c r="K14" i="23"/>
  <c r="J14" i="23"/>
  <c r="I14" i="23"/>
  <c r="L8" i="23"/>
  <c r="K8" i="23"/>
  <c r="J8" i="23"/>
  <c r="I8" i="23"/>
  <c r="L9" i="23"/>
  <c r="K9" i="23"/>
  <c r="J9" i="23"/>
  <c r="I9" i="23"/>
  <c r="L10" i="23"/>
  <c r="K10" i="23"/>
  <c r="J10" i="23"/>
  <c r="I10" i="23"/>
  <c r="L11" i="23"/>
  <c r="K11" i="23"/>
  <c r="J11" i="23"/>
  <c r="I11" i="23"/>
  <c r="L16" i="23"/>
  <c r="K16" i="23"/>
  <c r="J16" i="23"/>
  <c r="I16" i="23"/>
  <c r="L17" i="23"/>
  <c r="K17" i="23"/>
  <c r="J17" i="23"/>
  <c r="I17" i="23"/>
  <c r="L18" i="23"/>
  <c r="K18" i="23"/>
  <c r="J18" i="23"/>
  <c r="I18" i="23"/>
  <c r="L19" i="23"/>
  <c r="K19" i="23"/>
  <c r="J19" i="23"/>
  <c r="I19" i="23"/>
  <c r="L20" i="23"/>
  <c r="K20" i="23"/>
  <c r="J20" i="23"/>
  <c r="I20" i="23"/>
  <c r="L21" i="23"/>
  <c r="K21" i="23"/>
  <c r="J21" i="23"/>
  <c r="I21" i="23"/>
  <c r="L23" i="23"/>
  <c r="K23" i="23"/>
  <c r="J23" i="23"/>
  <c r="I23" i="23"/>
  <c r="L29" i="23"/>
  <c r="K29" i="23"/>
  <c r="J29" i="23"/>
  <c r="I29" i="23"/>
  <c r="L24" i="23"/>
  <c r="K24" i="23"/>
  <c r="J24" i="23"/>
  <c r="I24" i="23"/>
  <c r="L25" i="23"/>
  <c r="K25" i="23"/>
  <c r="J25" i="23"/>
  <c r="I25" i="23"/>
  <c r="L26" i="23"/>
  <c r="K26" i="23"/>
  <c r="J26" i="23"/>
  <c r="I26" i="23"/>
  <c r="L27" i="23"/>
  <c r="K27" i="23"/>
  <c r="J27" i="23"/>
  <c r="I27" i="23"/>
  <c r="L28" i="23"/>
  <c r="K28" i="23"/>
  <c r="J28" i="23"/>
  <c r="I28" i="23"/>
  <c r="L30" i="23"/>
  <c r="K30" i="23"/>
  <c r="J30" i="23"/>
  <c r="I30" i="23"/>
  <c r="L31" i="23"/>
  <c r="K31" i="23"/>
  <c r="J31" i="23"/>
  <c r="I31" i="23"/>
  <c r="L33" i="23"/>
  <c r="K33" i="23"/>
  <c r="J33" i="23"/>
  <c r="I33" i="23"/>
  <c r="L44" i="23"/>
  <c r="K44" i="23"/>
  <c r="J44" i="23"/>
  <c r="I44" i="23"/>
  <c r="L35" i="23"/>
  <c r="K35" i="23"/>
  <c r="J35" i="23"/>
  <c r="I35" i="23"/>
  <c r="L36" i="23"/>
  <c r="K36" i="23"/>
  <c r="J36" i="23"/>
  <c r="I36" i="23"/>
  <c r="L48" i="23"/>
  <c r="K48" i="23"/>
  <c r="J48" i="23"/>
  <c r="I48" i="23"/>
  <c r="L37" i="23"/>
  <c r="K37" i="23"/>
  <c r="J37" i="23"/>
  <c r="I37" i="23"/>
  <c r="L38" i="23"/>
  <c r="K38" i="23"/>
  <c r="J38" i="23"/>
  <c r="I38" i="23"/>
  <c r="L39" i="23"/>
  <c r="K39" i="23"/>
  <c r="J39" i="23"/>
  <c r="I39" i="23"/>
  <c r="L40" i="23"/>
  <c r="K40" i="23"/>
  <c r="J40" i="23"/>
  <c r="I40" i="23"/>
  <c r="L41" i="23"/>
  <c r="K41" i="23"/>
  <c r="J41" i="23"/>
  <c r="I41" i="23"/>
  <c r="L47" i="23"/>
  <c r="K47" i="23"/>
  <c r="J47" i="23"/>
  <c r="I47" i="23"/>
  <c r="L42" i="23"/>
  <c r="K42" i="23"/>
  <c r="J42" i="23"/>
  <c r="I42" i="23"/>
  <c r="L43" i="23"/>
  <c r="K43" i="23"/>
  <c r="J43" i="23"/>
  <c r="I43" i="23"/>
  <c r="L45" i="23"/>
  <c r="K45" i="23"/>
  <c r="J45" i="23"/>
  <c r="I45" i="23"/>
  <c r="L59" i="23"/>
  <c r="K59" i="23"/>
  <c r="J59" i="23"/>
  <c r="I59" i="23"/>
  <c r="L60" i="23"/>
  <c r="K60" i="23"/>
  <c r="J60" i="23"/>
  <c r="I60" i="23"/>
  <c r="L49" i="23"/>
  <c r="K49" i="23"/>
  <c r="J49" i="23"/>
  <c r="I49" i="23"/>
  <c r="L61" i="23"/>
  <c r="K61" i="23"/>
  <c r="J61" i="23"/>
  <c r="I61" i="23"/>
  <c r="L62" i="23"/>
  <c r="K62" i="23"/>
  <c r="J62" i="23"/>
  <c r="I62" i="23"/>
  <c r="L50" i="23"/>
  <c r="K50" i="23"/>
  <c r="J50" i="23"/>
  <c r="I50" i="23"/>
  <c r="L51" i="23"/>
  <c r="K51" i="23"/>
  <c r="J51" i="23"/>
  <c r="I51" i="23"/>
  <c r="L52" i="23"/>
  <c r="K52" i="23"/>
  <c r="J52" i="23"/>
  <c r="I52" i="23"/>
  <c r="L53" i="23"/>
  <c r="K53" i="23"/>
  <c r="J53" i="23"/>
  <c r="I53" i="23"/>
  <c r="L54" i="23"/>
  <c r="K54" i="23"/>
  <c r="J54" i="23"/>
  <c r="I54" i="23"/>
  <c r="L55" i="23"/>
  <c r="K55" i="23"/>
  <c r="J55" i="23"/>
  <c r="I55" i="23"/>
  <c r="L56" i="23"/>
  <c r="K56" i="23"/>
  <c r="J56" i="23"/>
  <c r="I56" i="23"/>
  <c r="L57" i="23"/>
  <c r="K57" i="23"/>
  <c r="J57" i="23"/>
  <c r="I57" i="23"/>
  <c r="L58" i="23"/>
  <c r="K58" i="23"/>
  <c r="J58" i="23"/>
  <c r="I58" i="23"/>
  <c r="L64" i="23"/>
  <c r="K64" i="23"/>
  <c r="J64" i="23"/>
  <c r="I64" i="23"/>
  <c r="L66" i="23"/>
  <c r="K66" i="23"/>
  <c r="J66" i="23"/>
  <c r="I66" i="23"/>
  <c r="L67" i="23"/>
  <c r="K67" i="23"/>
  <c r="J67" i="23"/>
  <c r="I67" i="23"/>
  <c r="L68" i="23"/>
  <c r="K68" i="23"/>
  <c r="J68" i="23"/>
  <c r="I68" i="23"/>
  <c r="L69" i="23"/>
  <c r="K69" i="23"/>
  <c r="J69" i="23"/>
  <c r="I69" i="23"/>
  <c r="L70" i="23"/>
  <c r="K70" i="23"/>
  <c r="J70" i="23"/>
  <c r="I70" i="23"/>
  <c r="L71" i="23"/>
  <c r="K71" i="23"/>
  <c r="J71" i="23"/>
  <c r="I71" i="23"/>
  <c r="L72" i="23"/>
  <c r="K72" i="23"/>
  <c r="J72" i="23"/>
  <c r="I72" i="23"/>
  <c r="L73" i="23"/>
  <c r="K73" i="23"/>
  <c r="J73" i="23"/>
  <c r="I73" i="23"/>
  <c r="L74" i="23"/>
  <c r="K74" i="23"/>
  <c r="J74" i="23"/>
  <c r="I74" i="23"/>
  <c r="L75" i="23"/>
  <c r="K75" i="23"/>
  <c r="J75" i="23"/>
  <c r="I75" i="23"/>
  <c r="L76" i="23"/>
  <c r="K76" i="23"/>
  <c r="J76" i="23"/>
  <c r="I76" i="23"/>
  <c r="L77" i="23"/>
  <c r="K77" i="23"/>
  <c r="J77" i="23"/>
  <c r="I77" i="23"/>
  <c r="L78" i="23"/>
  <c r="K78" i="23"/>
  <c r="J78" i="23"/>
  <c r="I78" i="23"/>
  <c r="L81" i="23"/>
  <c r="K81" i="23"/>
  <c r="J81" i="23"/>
  <c r="I81" i="23"/>
  <c r="L92" i="23"/>
  <c r="K92" i="23"/>
  <c r="J92" i="23"/>
  <c r="I92" i="23"/>
  <c r="L82" i="23"/>
  <c r="K82" i="23"/>
  <c r="J82" i="23"/>
  <c r="I82" i="23"/>
  <c r="L83" i="23"/>
  <c r="K83" i="23"/>
  <c r="J83" i="23"/>
  <c r="I83" i="23"/>
  <c r="L84" i="23"/>
  <c r="K84" i="23"/>
  <c r="J84" i="23"/>
  <c r="I84" i="23"/>
  <c r="L85" i="23"/>
  <c r="K85" i="23"/>
  <c r="J85" i="23"/>
  <c r="I85" i="23"/>
  <c r="L86" i="23"/>
  <c r="K86" i="23"/>
  <c r="J86" i="23"/>
  <c r="I86" i="23"/>
  <c r="L87" i="23"/>
  <c r="K87" i="23"/>
  <c r="J87" i="23"/>
  <c r="I87" i="23"/>
  <c r="L88" i="23"/>
  <c r="K88" i="23"/>
  <c r="J88" i="23"/>
  <c r="I88" i="23"/>
  <c r="L89" i="23"/>
  <c r="K89" i="23"/>
  <c r="J89" i="23"/>
  <c r="I89" i="23"/>
  <c r="L90" i="23"/>
  <c r="K90" i="23"/>
  <c r="J90" i="23"/>
  <c r="I90" i="23"/>
  <c r="L91" i="23"/>
  <c r="K91" i="23"/>
  <c r="J91" i="23"/>
  <c r="I91" i="23"/>
  <c r="L93" i="23"/>
  <c r="K93" i="23"/>
  <c r="J93" i="23"/>
  <c r="I93" i="23"/>
  <c r="L94" i="23"/>
  <c r="K94" i="23"/>
  <c r="J94" i="23"/>
  <c r="I94" i="23"/>
  <c r="L95" i="23"/>
  <c r="K95" i="23"/>
  <c r="J95" i="23"/>
  <c r="I95" i="23"/>
  <c r="L98" i="23"/>
  <c r="K98" i="23"/>
  <c r="J98" i="23"/>
  <c r="I98" i="23"/>
  <c r="P85" i="22"/>
  <c r="O88" i="22"/>
  <c r="P90" i="22"/>
  <c r="O86" i="22"/>
  <c r="P87" i="22"/>
  <c r="P84" i="22"/>
  <c r="M89" i="22"/>
  <c r="O89" i="22"/>
  <c r="O91" i="22"/>
  <c r="O83" i="22"/>
  <c r="Q92" i="22"/>
  <c r="S92" i="22"/>
  <c r="P75" i="22"/>
  <c r="P78" i="22"/>
  <c r="M73" i="22"/>
  <c r="M76" i="22"/>
  <c r="P73" i="22"/>
  <c r="P76" i="22"/>
  <c r="O28" i="22"/>
  <c r="O25" i="22"/>
  <c r="P19" i="22"/>
  <c r="O26" i="22"/>
  <c r="O27" i="22"/>
  <c r="O29" i="22"/>
  <c r="J61" i="22"/>
  <c r="J10" i="22"/>
  <c r="I56" i="22"/>
  <c r="I23" i="22"/>
  <c r="J50" i="22"/>
  <c r="K50" i="22"/>
  <c r="K43" i="22"/>
  <c r="K39" i="22"/>
  <c r="K73" i="22"/>
  <c r="I25" i="22"/>
  <c r="L64" i="22"/>
  <c r="J95" i="22"/>
  <c r="K95" i="22"/>
  <c r="L82" i="22"/>
  <c r="K82" i="22"/>
  <c r="J82" i="22"/>
  <c r="I82" i="22"/>
  <c r="J36" i="22"/>
  <c r="L36" i="22"/>
  <c r="K36" i="22"/>
  <c r="L41" i="22"/>
  <c r="I41" i="22"/>
  <c r="K41" i="22"/>
  <c r="J41" i="22"/>
  <c r="J68" i="22"/>
  <c r="L68" i="22"/>
  <c r="K68" i="22"/>
  <c r="J83" i="22"/>
  <c r="K83" i="22"/>
  <c r="L83" i="22"/>
  <c r="L49" i="22"/>
  <c r="K49" i="22"/>
  <c r="J49" i="22"/>
  <c r="I49" i="22"/>
  <c r="L93" i="22"/>
  <c r="K93" i="22"/>
  <c r="J93" i="22"/>
  <c r="I93" i="22"/>
  <c r="L37" i="22"/>
  <c r="I37" i="22"/>
  <c r="K37" i="22"/>
  <c r="J37" i="22"/>
  <c r="J70" i="22"/>
  <c r="L70" i="22"/>
  <c r="K70" i="22"/>
  <c r="L72" i="22"/>
  <c r="I72" i="22"/>
  <c r="K72" i="22"/>
  <c r="J72" i="22"/>
  <c r="J51" i="22"/>
  <c r="K51" i="22"/>
  <c r="L51" i="22"/>
  <c r="I64" i="22"/>
  <c r="J64" i="22"/>
  <c r="J89" i="22"/>
  <c r="K23" i="22"/>
  <c r="I67" i="22"/>
  <c r="L39" i="22"/>
  <c r="I52" i="22"/>
  <c r="L50" i="22"/>
  <c r="I85" i="22"/>
  <c r="L73" i="22"/>
  <c r="L95" i="22"/>
  <c r="L23" i="22"/>
  <c r="I57" i="22"/>
  <c r="J67" i="22"/>
  <c r="J52" i="22"/>
  <c r="J85" i="22"/>
  <c r="K67" i="22"/>
  <c r="K52" i="22"/>
  <c r="K85" i="22"/>
  <c r="L21" i="22"/>
  <c r="K21" i="22"/>
  <c r="J21" i="22"/>
  <c r="I21" i="22"/>
  <c r="L13" i="22"/>
  <c r="K13" i="22"/>
  <c r="J13" i="22"/>
  <c r="I13" i="22"/>
  <c r="K3" i="22"/>
  <c r="N3" i="22" s="1"/>
  <c r="J16" i="22"/>
  <c r="K16" i="22"/>
  <c r="I6" i="22"/>
  <c r="J6" i="22"/>
  <c r="K6" i="22"/>
  <c r="I3" i="22"/>
  <c r="J3" i="22"/>
  <c r="I16" i="22"/>
  <c r="I31" i="22"/>
  <c r="L31" i="22"/>
  <c r="K31" i="22"/>
  <c r="J31" i="22"/>
  <c r="J43" i="22"/>
  <c r="I43" i="22"/>
  <c r="I44" i="22"/>
  <c r="L44" i="22"/>
  <c r="K44" i="22"/>
  <c r="J44" i="22"/>
  <c r="L61" i="22"/>
  <c r="K61" i="22"/>
  <c r="L89" i="22"/>
  <c r="I89" i="22"/>
  <c r="L91" i="22"/>
  <c r="K91" i="22"/>
  <c r="I91" i="22"/>
  <c r="K9" i="22"/>
  <c r="J9" i="22"/>
  <c r="I9" i="22"/>
  <c r="L9" i="22"/>
  <c r="J14" i="22"/>
  <c r="I14" i="22"/>
  <c r="K14" i="22"/>
  <c r="L14" i="22"/>
  <c r="L18" i="22"/>
  <c r="K18" i="22"/>
  <c r="J18" i="22"/>
  <c r="I18" i="22"/>
  <c r="K27" i="22"/>
  <c r="J27" i="22"/>
  <c r="I27" i="22"/>
  <c r="I26" i="22"/>
  <c r="L26" i="22"/>
  <c r="K26" i="22"/>
  <c r="J26" i="22"/>
  <c r="L53" i="22"/>
  <c r="K53" i="22"/>
  <c r="J53" i="22"/>
  <c r="I53" i="22"/>
  <c r="L84" i="22"/>
  <c r="K84" i="22"/>
  <c r="J84" i="22"/>
  <c r="I84" i="22"/>
  <c r="L94" i="22"/>
  <c r="J94" i="22"/>
  <c r="K94" i="22"/>
  <c r="I94" i="22"/>
  <c r="L29" i="22"/>
  <c r="K29" i="22"/>
  <c r="J29" i="22"/>
  <c r="I29" i="22"/>
  <c r="I33" i="22"/>
  <c r="L33" i="22"/>
  <c r="K33" i="22"/>
  <c r="J33" i="22"/>
  <c r="L38" i="22"/>
  <c r="K38" i="22"/>
  <c r="J74" i="22"/>
  <c r="I74" i="22"/>
  <c r="L74" i="22"/>
  <c r="K74" i="22"/>
  <c r="J20" i="22"/>
  <c r="L20" i="22"/>
  <c r="K20" i="22"/>
  <c r="I20" i="22"/>
  <c r="L24" i="22"/>
  <c r="K24" i="22"/>
  <c r="J24" i="22"/>
  <c r="I24" i="22"/>
  <c r="L5" i="22"/>
  <c r="K5" i="22"/>
  <c r="I5" i="22"/>
  <c r="J5" i="22"/>
  <c r="L62" i="22"/>
  <c r="K62" i="22"/>
  <c r="J86" i="22"/>
  <c r="I86" i="22"/>
  <c r="L86" i="22"/>
  <c r="K86" i="22"/>
  <c r="J88" i="22"/>
  <c r="I88" i="22"/>
  <c r="L88" i="22"/>
  <c r="K88" i="22"/>
  <c r="L35" i="22"/>
  <c r="K35" i="22"/>
  <c r="J35" i="22"/>
  <c r="I35" i="22"/>
  <c r="L71" i="22"/>
  <c r="K71" i="22"/>
  <c r="J71" i="22"/>
  <c r="I71" i="22"/>
  <c r="L69" i="22"/>
  <c r="K69" i="22"/>
  <c r="J69" i="22"/>
  <c r="I69" i="22"/>
  <c r="L30" i="22"/>
  <c r="K30" i="22"/>
  <c r="I38" i="22"/>
  <c r="K59" i="22"/>
  <c r="L59" i="22"/>
  <c r="L25" i="22"/>
  <c r="K25" i="22"/>
  <c r="J38" i="22"/>
  <c r="I62" i="22"/>
  <c r="I17" i="22"/>
  <c r="L17" i="22"/>
  <c r="K17" i="22"/>
  <c r="J17" i="22"/>
  <c r="L58" i="22"/>
  <c r="K58" i="22"/>
  <c r="L28" i="22"/>
  <c r="K28" i="22"/>
  <c r="J28" i="22"/>
  <c r="I28" i="22"/>
  <c r="I2" i="22"/>
  <c r="L2" i="22"/>
  <c r="K2" i="22"/>
  <c r="J2" i="22"/>
  <c r="J77" i="22"/>
  <c r="I77" i="22"/>
  <c r="L77" i="22"/>
  <c r="K77" i="22"/>
  <c r="J45" i="22"/>
  <c r="I45" i="22"/>
  <c r="L45" i="22"/>
  <c r="K45" i="22"/>
  <c r="L8" i="22"/>
  <c r="K8" i="22"/>
  <c r="J8" i="22"/>
  <c r="I8" i="22"/>
  <c r="K12" i="22"/>
  <c r="N12" i="22" s="1"/>
  <c r="L12" i="22"/>
  <c r="I12" i="22"/>
  <c r="J12" i="22"/>
  <c r="K11" i="22"/>
  <c r="J11" i="22"/>
  <c r="I11" i="22"/>
  <c r="L10" i="22"/>
  <c r="K10" i="22"/>
  <c r="L56" i="22"/>
  <c r="K56" i="22"/>
  <c r="J62" i="22"/>
  <c r="L40" i="22"/>
  <c r="K40" i="22"/>
  <c r="J40" i="22"/>
  <c r="I40" i="22"/>
  <c r="L81" i="22"/>
  <c r="K81" i="22"/>
  <c r="J81" i="22"/>
  <c r="I81" i="22"/>
  <c r="L55" i="22"/>
  <c r="K55" i="22"/>
  <c r="J55" i="22"/>
  <c r="I55" i="22"/>
  <c r="L4" i="22"/>
  <c r="K4" i="22"/>
  <c r="J4" i="22"/>
  <c r="I4" i="22"/>
  <c r="I42" i="22"/>
  <c r="L42" i="22"/>
  <c r="K60" i="22"/>
  <c r="N60" i="22" s="1"/>
  <c r="J60" i="22"/>
  <c r="I60" i="22"/>
  <c r="L54" i="22"/>
  <c r="K54" i="22"/>
  <c r="J58" i="22"/>
  <c r="I30" i="22"/>
  <c r="K42" i="22"/>
  <c r="N42" i="22" s="1"/>
  <c r="J54" i="22"/>
  <c r="I59" i="22"/>
  <c r="I87" i="22"/>
  <c r="L87" i="22"/>
  <c r="K87" i="22"/>
  <c r="J87" i="22"/>
  <c r="J90" i="22"/>
  <c r="I90" i="22"/>
  <c r="L90" i="22"/>
  <c r="K90" i="22"/>
  <c r="L92" i="22"/>
  <c r="K92" i="22"/>
  <c r="I92" i="22"/>
  <c r="K19" i="22"/>
  <c r="J19" i="22"/>
  <c r="I19" i="22"/>
  <c r="K46" i="22"/>
  <c r="J46" i="22"/>
  <c r="I46" i="22"/>
  <c r="L46" i="22"/>
  <c r="L57" i="22"/>
  <c r="K57" i="22"/>
  <c r="L76" i="22"/>
  <c r="K76" i="22"/>
  <c r="I76" i="22"/>
  <c r="J75" i="22"/>
  <c r="L7" i="22"/>
  <c r="L66" i="22"/>
  <c r="I36" i="22"/>
  <c r="I39" i="22"/>
  <c r="I51" i="22"/>
  <c r="I70" i="22"/>
  <c r="I50" i="22"/>
  <c r="I83" i="22"/>
  <c r="I68" i="22"/>
  <c r="I73" i="22"/>
  <c r="J47" i="22"/>
  <c r="K75" i="22"/>
  <c r="K78" i="22"/>
  <c r="I98" i="22"/>
  <c r="I7" i="22"/>
  <c r="K47" i="22"/>
  <c r="L75" i="22"/>
  <c r="L78" i="22"/>
  <c r="I66" i="22"/>
  <c r="J98" i="22"/>
  <c r="J78" i="22"/>
  <c r="J7" i="22"/>
  <c r="L47" i="22"/>
  <c r="J66" i="22"/>
  <c r="K98" i="22"/>
  <c r="Q6" i="21"/>
  <c r="Q5" i="21"/>
  <c r="L22" i="21"/>
  <c r="K22" i="21"/>
  <c r="J22" i="21"/>
  <c r="I22" i="21"/>
  <c r="L2" i="21"/>
  <c r="K2" i="21"/>
  <c r="J2" i="21"/>
  <c r="I2" i="21"/>
  <c r="L23" i="21"/>
  <c r="K23" i="21"/>
  <c r="J23" i="21"/>
  <c r="I23" i="21"/>
  <c r="L3" i="21"/>
  <c r="K3" i="21"/>
  <c r="J3" i="21"/>
  <c r="I3" i="21"/>
  <c r="L4" i="21"/>
  <c r="K4" i="21"/>
  <c r="J4" i="21"/>
  <c r="I4" i="21"/>
  <c r="L5" i="21"/>
  <c r="K5" i="21"/>
  <c r="J5" i="21"/>
  <c r="I5" i="21"/>
  <c r="L6" i="21"/>
  <c r="K6" i="21"/>
  <c r="J6" i="21"/>
  <c r="I6" i="21"/>
  <c r="L24" i="21"/>
  <c r="K24" i="21"/>
  <c r="J24" i="21"/>
  <c r="I24" i="21"/>
  <c r="L25" i="21"/>
  <c r="K25" i="21"/>
  <c r="J25" i="21"/>
  <c r="I25" i="21"/>
  <c r="L26" i="21"/>
  <c r="K26" i="21"/>
  <c r="J26" i="21"/>
  <c r="I26" i="21"/>
  <c r="L7" i="21"/>
  <c r="K7" i="21"/>
  <c r="J7" i="21"/>
  <c r="I7" i="21"/>
  <c r="L12" i="21"/>
  <c r="K12" i="21"/>
  <c r="J12" i="21"/>
  <c r="I12" i="21"/>
  <c r="L8" i="21"/>
  <c r="K8" i="21"/>
  <c r="J8" i="21"/>
  <c r="I8" i="21"/>
  <c r="L9" i="21"/>
  <c r="K9" i="21"/>
  <c r="J9" i="21"/>
  <c r="I9" i="21"/>
  <c r="L11" i="21"/>
  <c r="K11" i="21"/>
  <c r="J11" i="21"/>
  <c r="I11" i="21"/>
  <c r="L19" i="21"/>
  <c r="K19" i="21"/>
  <c r="J19" i="21"/>
  <c r="I19" i="21"/>
  <c r="L27" i="21"/>
  <c r="K27" i="21"/>
  <c r="J27" i="21"/>
  <c r="I27" i="21"/>
  <c r="L28" i="21"/>
  <c r="K28" i="21"/>
  <c r="J28" i="21"/>
  <c r="I28" i="21"/>
  <c r="L18" i="21"/>
  <c r="K18" i="21"/>
  <c r="J18" i="21"/>
  <c r="I18" i="21"/>
  <c r="L29" i="21"/>
  <c r="K29" i="21"/>
  <c r="J29" i="21"/>
  <c r="I29" i="21"/>
  <c r="L13" i="21"/>
  <c r="K13" i="21"/>
  <c r="J13" i="21"/>
  <c r="I13" i="21"/>
  <c r="L14" i="21"/>
  <c r="K14" i="21"/>
  <c r="J14" i="21"/>
  <c r="I14" i="21"/>
  <c r="L15" i="21"/>
  <c r="K15" i="21"/>
  <c r="J15" i="21"/>
  <c r="I15" i="21"/>
  <c r="L16" i="21"/>
  <c r="K16" i="21"/>
  <c r="J16" i="21"/>
  <c r="I16" i="21"/>
  <c r="L17" i="21"/>
  <c r="K17" i="21"/>
  <c r="J17" i="21"/>
  <c r="I17" i="21"/>
  <c r="L21" i="21"/>
  <c r="K21" i="21"/>
  <c r="J21" i="21"/>
  <c r="I21" i="21"/>
  <c r="L30" i="21"/>
  <c r="K30" i="21"/>
  <c r="J30" i="21"/>
  <c r="I30" i="21"/>
  <c r="L31" i="21"/>
  <c r="K31" i="21"/>
  <c r="J31" i="21"/>
  <c r="I31" i="21"/>
  <c r="L33" i="21"/>
  <c r="K33" i="21"/>
  <c r="J33" i="21"/>
  <c r="I33" i="21"/>
  <c r="L68" i="21"/>
  <c r="K68" i="21"/>
  <c r="J68" i="21"/>
  <c r="I68" i="21"/>
  <c r="L69" i="21"/>
  <c r="K69" i="21"/>
  <c r="J69" i="21"/>
  <c r="I69" i="21"/>
  <c r="L70" i="21"/>
  <c r="K70" i="21"/>
  <c r="J70" i="21"/>
  <c r="I70" i="21"/>
  <c r="L71" i="21"/>
  <c r="K71" i="21"/>
  <c r="J71" i="21"/>
  <c r="I71" i="21"/>
  <c r="L72" i="21"/>
  <c r="K72" i="21"/>
  <c r="J72" i="21"/>
  <c r="I72" i="21"/>
  <c r="L35" i="21"/>
  <c r="K35" i="21"/>
  <c r="J35" i="21"/>
  <c r="I35" i="21"/>
  <c r="L36" i="21"/>
  <c r="K36" i="21"/>
  <c r="J36" i="21"/>
  <c r="I36" i="21"/>
  <c r="L37" i="21"/>
  <c r="K37" i="21"/>
  <c r="J37" i="21"/>
  <c r="I37" i="21"/>
  <c r="L45" i="21"/>
  <c r="K45" i="21"/>
  <c r="J45" i="21"/>
  <c r="I45" i="21"/>
  <c r="L46" i="21"/>
  <c r="K46" i="21"/>
  <c r="J46" i="21"/>
  <c r="I46" i="21"/>
  <c r="L38" i="21"/>
  <c r="K38" i="21"/>
  <c r="J38" i="21"/>
  <c r="I38" i="21"/>
  <c r="L40" i="21"/>
  <c r="K40" i="21"/>
  <c r="J40" i="21"/>
  <c r="I40" i="21"/>
  <c r="L39" i="21"/>
  <c r="K39" i="21"/>
  <c r="J39" i="21"/>
  <c r="I39" i="21"/>
  <c r="L41" i="21"/>
  <c r="K41" i="21"/>
  <c r="J41" i="21"/>
  <c r="I41" i="21"/>
  <c r="L73" i="21"/>
  <c r="K73" i="21"/>
  <c r="J73" i="21"/>
  <c r="I73" i="21"/>
  <c r="L74" i="21"/>
  <c r="K74" i="21"/>
  <c r="J74" i="21"/>
  <c r="I74" i="21"/>
  <c r="L75" i="21"/>
  <c r="K75" i="21"/>
  <c r="J75" i="21"/>
  <c r="I75" i="21"/>
  <c r="L76" i="21"/>
  <c r="K76" i="21"/>
  <c r="J76" i="21"/>
  <c r="I76" i="21"/>
  <c r="L77" i="21"/>
  <c r="K77" i="21"/>
  <c r="J77" i="21"/>
  <c r="I77" i="21"/>
  <c r="L78" i="21"/>
  <c r="K78" i="21"/>
  <c r="J78" i="21"/>
  <c r="I78" i="21"/>
  <c r="L79" i="21"/>
  <c r="K79" i="21"/>
  <c r="J79" i="21"/>
  <c r="I79" i="21"/>
  <c r="L47" i="21"/>
  <c r="K47" i="21"/>
  <c r="J47" i="21"/>
  <c r="I47" i="21"/>
  <c r="L49" i="21"/>
  <c r="K49" i="21"/>
  <c r="J49" i="21"/>
  <c r="I49" i="21"/>
  <c r="L50" i="21"/>
  <c r="K50" i="21"/>
  <c r="J50" i="21"/>
  <c r="I50" i="21"/>
  <c r="L64" i="21"/>
  <c r="K64" i="21"/>
  <c r="J64" i="21"/>
  <c r="I64" i="21"/>
  <c r="L44" i="21"/>
  <c r="K44" i="21"/>
  <c r="J44" i="21"/>
  <c r="I44" i="21"/>
  <c r="L43" i="21"/>
  <c r="K43" i="21"/>
  <c r="J43" i="21"/>
  <c r="I43" i="21"/>
  <c r="L93" i="21"/>
  <c r="K93" i="21"/>
  <c r="J93" i="21"/>
  <c r="I93" i="21"/>
  <c r="L66" i="21"/>
  <c r="K66" i="21"/>
  <c r="J66" i="21"/>
  <c r="I66" i="21"/>
  <c r="L67" i="21"/>
  <c r="K67" i="21"/>
  <c r="J67" i="21"/>
  <c r="I67" i="21"/>
  <c r="L80" i="21"/>
  <c r="K80" i="21"/>
  <c r="J80" i="21"/>
  <c r="I80" i="21"/>
  <c r="L81" i="21"/>
  <c r="K81" i="21"/>
  <c r="J81" i="21"/>
  <c r="I81" i="21"/>
  <c r="L82" i="21"/>
  <c r="K82" i="21"/>
  <c r="J82" i="21"/>
  <c r="I82" i="21"/>
  <c r="L83" i="21"/>
  <c r="K83" i="21"/>
  <c r="J83" i="21"/>
  <c r="I83" i="21"/>
  <c r="L84" i="21"/>
  <c r="K84" i="21"/>
  <c r="J84" i="21"/>
  <c r="I84" i="21"/>
  <c r="L85" i="21"/>
  <c r="K85" i="21"/>
  <c r="J85" i="21"/>
  <c r="I85" i="21"/>
  <c r="L86" i="21"/>
  <c r="K86" i="21"/>
  <c r="J86" i="21"/>
  <c r="I86" i="21"/>
  <c r="L87" i="21"/>
  <c r="K87" i="21"/>
  <c r="J87" i="21"/>
  <c r="I87" i="21"/>
  <c r="L88" i="21"/>
  <c r="K88" i="21"/>
  <c r="J88" i="21"/>
  <c r="I88" i="21"/>
  <c r="L89" i="21"/>
  <c r="K89" i="21"/>
  <c r="J89" i="21"/>
  <c r="I89" i="21"/>
  <c r="L53" i="21"/>
  <c r="K53" i="21"/>
  <c r="J53" i="21"/>
  <c r="I53" i="21"/>
  <c r="L54" i="21"/>
  <c r="K54" i="21"/>
  <c r="J54" i="21"/>
  <c r="I54" i="21"/>
  <c r="L55" i="21"/>
  <c r="K55" i="21"/>
  <c r="J55" i="21"/>
  <c r="I55" i="21"/>
  <c r="L56" i="21"/>
  <c r="K56" i="21"/>
  <c r="J56" i="21"/>
  <c r="I56" i="21"/>
  <c r="L57" i="21"/>
  <c r="K57" i="21"/>
  <c r="J57" i="21"/>
  <c r="I57" i="21"/>
  <c r="L58" i="21"/>
  <c r="K58" i="21"/>
  <c r="J58" i="21"/>
  <c r="I58" i="21"/>
  <c r="L59" i="21"/>
  <c r="K59" i="21"/>
  <c r="J59" i="21"/>
  <c r="I59" i="21"/>
  <c r="L60" i="21"/>
  <c r="K60" i="21"/>
  <c r="J60" i="21"/>
  <c r="I60" i="21"/>
  <c r="L61" i="21"/>
  <c r="K61" i="21"/>
  <c r="J61" i="21"/>
  <c r="I61" i="21"/>
  <c r="L62" i="21"/>
  <c r="K62" i="21"/>
  <c r="J62" i="21"/>
  <c r="I62" i="21"/>
  <c r="L63" i="21"/>
  <c r="K63" i="21"/>
  <c r="J63" i="21"/>
  <c r="I63" i="21"/>
  <c r="L48" i="21"/>
  <c r="K48" i="21"/>
  <c r="J48" i="21"/>
  <c r="I48" i="21"/>
  <c r="L52" i="21"/>
  <c r="K52" i="21"/>
  <c r="J52" i="21"/>
  <c r="I52" i="21"/>
  <c r="L90" i="21"/>
  <c r="K90" i="21"/>
  <c r="J90" i="21"/>
  <c r="I90" i="21"/>
  <c r="L91" i="21"/>
  <c r="K91" i="21"/>
  <c r="J91" i="21"/>
  <c r="I91" i="21"/>
  <c r="L94" i="21"/>
  <c r="K94" i="21"/>
  <c r="J94" i="21"/>
  <c r="I94" i="21"/>
  <c r="L95" i="21"/>
  <c r="K95" i="21"/>
  <c r="J95" i="21"/>
  <c r="I95" i="21"/>
  <c r="L98" i="21"/>
  <c r="K98" i="21"/>
  <c r="J98" i="21"/>
  <c r="I98" i="21"/>
  <c r="L7" i="20"/>
  <c r="K7" i="20"/>
  <c r="J7" i="20"/>
  <c r="I7" i="20"/>
  <c r="L12" i="20"/>
  <c r="K12" i="20"/>
  <c r="J12" i="20"/>
  <c r="I12" i="20"/>
  <c r="L13" i="20"/>
  <c r="K13" i="20"/>
  <c r="J13" i="20"/>
  <c r="I13" i="20"/>
  <c r="L14" i="20"/>
  <c r="K14" i="20"/>
  <c r="J14" i="20"/>
  <c r="I14" i="20"/>
  <c r="L15" i="20"/>
  <c r="K15" i="20"/>
  <c r="J15" i="20"/>
  <c r="I15" i="20"/>
  <c r="L23" i="20"/>
  <c r="K23" i="20"/>
  <c r="J23" i="20"/>
  <c r="I23" i="20"/>
  <c r="L24" i="20"/>
  <c r="K24" i="20"/>
  <c r="J24" i="20"/>
  <c r="I24" i="20"/>
  <c r="L25" i="20"/>
  <c r="K25" i="20"/>
  <c r="J25" i="20"/>
  <c r="I25" i="20"/>
  <c r="L26" i="20"/>
  <c r="K26" i="20"/>
  <c r="J26" i="20"/>
  <c r="I26" i="20"/>
  <c r="L27" i="20"/>
  <c r="K27" i="20"/>
  <c r="J27" i="20"/>
  <c r="I27" i="20"/>
  <c r="L5" i="20"/>
  <c r="K5" i="20"/>
  <c r="J5" i="20"/>
  <c r="I5" i="20"/>
  <c r="L6" i="20"/>
  <c r="K6" i="20"/>
  <c r="J6" i="20"/>
  <c r="I6" i="20"/>
  <c r="L19" i="20"/>
  <c r="K19" i="20"/>
  <c r="J19" i="20"/>
  <c r="I19" i="20"/>
  <c r="L21" i="20"/>
  <c r="K21" i="20"/>
  <c r="J21" i="20"/>
  <c r="I21" i="20"/>
  <c r="L22" i="20"/>
  <c r="K22" i="20"/>
  <c r="J22" i="20"/>
  <c r="I22" i="20"/>
  <c r="L17" i="20"/>
  <c r="K17" i="20"/>
  <c r="J17" i="20"/>
  <c r="I17" i="20"/>
  <c r="L2" i="20"/>
  <c r="K2" i="20"/>
  <c r="J2" i="20"/>
  <c r="I2" i="20"/>
  <c r="L4" i="20"/>
  <c r="K4" i="20"/>
  <c r="J4" i="20"/>
  <c r="I4" i="20"/>
  <c r="L3" i="20"/>
  <c r="K3" i="20"/>
  <c r="J3" i="20"/>
  <c r="I3" i="20"/>
  <c r="L8" i="20"/>
  <c r="K8" i="20"/>
  <c r="J8" i="20"/>
  <c r="I8" i="20"/>
  <c r="L9" i="20"/>
  <c r="K9" i="20"/>
  <c r="J9" i="20"/>
  <c r="I9" i="20"/>
  <c r="L10" i="20"/>
  <c r="K10" i="20"/>
  <c r="J10" i="20"/>
  <c r="I10" i="20"/>
  <c r="L11" i="20"/>
  <c r="K11" i="20"/>
  <c r="J11" i="20"/>
  <c r="I11" i="20"/>
  <c r="L18" i="20"/>
  <c r="K18" i="20"/>
  <c r="J18" i="20"/>
  <c r="I18" i="20"/>
  <c r="L20" i="20"/>
  <c r="K20" i="20"/>
  <c r="J20" i="20"/>
  <c r="I20" i="20"/>
  <c r="L29" i="20"/>
  <c r="K29" i="20"/>
  <c r="J29" i="20"/>
  <c r="I29" i="20"/>
  <c r="L30" i="20"/>
  <c r="K30" i="20"/>
  <c r="J30" i="20"/>
  <c r="I30" i="20"/>
  <c r="L31" i="20"/>
  <c r="K31" i="20"/>
  <c r="J31" i="20"/>
  <c r="I31" i="20"/>
  <c r="L33" i="20"/>
  <c r="K33" i="20"/>
  <c r="J33" i="20"/>
  <c r="I33" i="20"/>
  <c r="L35" i="20"/>
  <c r="K35" i="20"/>
  <c r="J35" i="20"/>
  <c r="I35" i="20"/>
  <c r="L40" i="20"/>
  <c r="K40" i="20"/>
  <c r="J40" i="20"/>
  <c r="I40" i="20"/>
  <c r="L41" i="20"/>
  <c r="K41" i="20"/>
  <c r="J41" i="20"/>
  <c r="I41" i="20"/>
  <c r="L42" i="20"/>
  <c r="K42" i="20"/>
  <c r="J42" i="20"/>
  <c r="I42" i="20"/>
  <c r="L43" i="20"/>
  <c r="K43" i="20"/>
  <c r="J43" i="20"/>
  <c r="I43" i="20"/>
  <c r="L44" i="20"/>
  <c r="K44" i="20"/>
  <c r="J44" i="20"/>
  <c r="I44" i="20"/>
  <c r="L45" i="20"/>
  <c r="K45" i="20"/>
  <c r="J45" i="20"/>
  <c r="I45" i="20"/>
  <c r="L46" i="20"/>
  <c r="K46" i="20"/>
  <c r="J46" i="20"/>
  <c r="I46" i="20"/>
  <c r="L47" i="20"/>
  <c r="K47" i="20"/>
  <c r="J47" i="20"/>
  <c r="I47" i="20"/>
  <c r="L48" i="20"/>
  <c r="K48" i="20"/>
  <c r="J48" i="20"/>
  <c r="I48" i="20"/>
  <c r="L57" i="20"/>
  <c r="K57" i="20"/>
  <c r="J57" i="20"/>
  <c r="I57" i="20"/>
  <c r="L58" i="20"/>
  <c r="K58" i="20"/>
  <c r="J58" i="20"/>
  <c r="I58" i="20"/>
  <c r="L59" i="20"/>
  <c r="K59" i="20"/>
  <c r="J59" i="20"/>
  <c r="I59" i="20"/>
  <c r="L60" i="20"/>
  <c r="K60" i="20"/>
  <c r="J60" i="20"/>
  <c r="I60" i="20"/>
  <c r="L77" i="20"/>
  <c r="K77" i="20"/>
  <c r="J77" i="20"/>
  <c r="I77" i="20"/>
  <c r="L55" i="20"/>
  <c r="K55" i="20"/>
  <c r="J55" i="20"/>
  <c r="I55" i="20"/>
  <c r="L61" i="20"/>
  <c r="K61" i="20"/>
  <c r="J61" i="20"/>
  <c r="I61" i="20"/>
  <c r="L78" i="20"/>
  <c r="K78" i="20"/>
  <c r="J78" i="20"/>
  <c r="I78" i="20"/>
  <c r="L79" i="20"/>
  <c r="K79" i="20"/>
  <c r="J79" i="20"/>
  <c r="I79" i="20"/>
  <c r="L80" i="20"/>
  <c r="K80" i="20"/>
  <c r="J80" i="20"/>
  <c r="I80" i="20"/>
  <c r="L81" i="20"/>
  <c r="K81" i="20"/>
  <c r="J81" i="20"/>
  <c r="I81" i="20"/>
  <c r="L82" i="20"/>
  <c r="K82" i="20"/>
  <c r="J82" i="20"/>
  <c r="I82" i="20"/>
  <c r="L83" i="20"/>
  <c r="K83" i="20"/>
  <c r="J83" i="20"/>
  <c r="I83" i="20"/>
  <c r="L84" i="20"/>
  <c r="K84" i="20"/>
  <c r="J84" i="20"/>
  <c r="I84" i="20"/>
  <c r="L85" i="20"/>
  <c r="K85" i="20"/>
  <c r="J85" i="20"/>
  <c r="I85" i="20"/>
  <c r="L86" i="20"/>
  <c r="K86" i="20"/>
  <c r="J86" i="20"/>
  <c r="I86" i="20"/>
  <c r="L87" i="20"/>
  <c r="K87" i="20"/>
  <c r="J87" i="20"/>
  <c r="I87" i="20"/>
  <c r="L88" i="20"/>
  <c r="K88" i="20"/>
  <c r="J88" i="20"/>
  <c r="I88" i="20"/>
  <c r="L89" i="20"/>
  <c r="K89" i="20"/>
  <c r="J89" i="20"/>
  <c r="I89" i="20"/>
  <c r="L64" i="20"/>
  <c r="K64" i="20"/>
  <c r="J64" i="20"/>
  <c r="I64" i="20"/>
  <c r="L67" i="20"/>
  <c r="K67" i="20"/>
  <c r="J67" i="20"/>
  <c r="I67" i="20"/>
  <c r="L74" i="20"/>
  <c r="K74" i="20"/>
  <c r="J74" i="20"/>
  <c r="I74" i="20"/>
  <c r="L75" i="20"/>
  <c r="K75" i="20"/>
  <c r="J75" i="20"/>
  <c r="I75" i="20"/>
  <c r="L76" i="20"/>
  <c r="K76" i="20"/>
  <c r="J76" i="20"/>
  <c r="I76" i="20"/>
  <c r="L91" i="20"/>
  <c r="K91" i="20"/>
  <c r="J91" i="20"/>
  <c r="I91" i="20"/>
  <c r="L36" i="20"/>
  <c r="K36" i="20"/>
  <c r="J36" i="20"/>
  <c r="I36" i="20"/>
  <c r="L37" i="20"/>
  <c r="K37" i="20"/>
  <c r="J37" i="20"/>
  <c r="I37" i="20"/>
  <c r="L38" i="20"/>
  <c r="K38" i="20"/>
  <c r="J38" i="20"/>
  <c r="I38" i="20"/>
  <c r="L39" i="20"/>
  <c r="K39" i="20"/>
  <c r="J39" i="20"/>
  <c r="I39" i="20"/>
  <c r="L56" i="20"/>
  <c r="K56" i="20"/>
  <c r="J56" i="20"/>
  <c r="I56" i="20"/>
  <c r="L50" i="20"/>
  <c r="K50" i="20"/>
  <c r="J50" i="20"/>
  <c r="I50" i="20"/>
  <c r="L53" i="20"/>
  <c r="K53" i="20"/>
  <c r="J53" i="20"/>
  <c r="I53" i="20"/>
  <c r="L68" i="20"/>
  <c r="K68" i="20"/>
  <c r="J68" i="20"/>
  <c r="I68" i="20"/>
  <c r="L54" i="20"/>
  <c r="K54" i="20"/>
  <c r="J54" i="20"/>
  <c r="I54" i="20"/>
  <c r="L51" i="20"/>
  <c r="K51" i="20"/>
  <c r="J51" i="20"/>
  <c r="I51" i="20"/>
  <c r="L62" i="20"/>
  <c r="K62" i="20"/>
  <c r="J62" i="20"/>
  <c r="I62" i="20"/>
  <c r="L52" i="20"/>
  <c r="K52" i="20"/>
  <c r="J52" i="20"/>
  <c r="I52" i="20"/>
  <c r="L69" i="20"/>
  <c r="K69" i="20"/>
  <c r="J69" i="20"/>
  <c r="I69" i="20"/>
  <c r="L70" i="20"/>
  <c r="K70" i="20"/>
  <c r="J70" i="20"/>
  <c r="I70" i="20"/>
  <c r="L71" i="20"/>
  <c r="K71" i="20"/>
  <c r="J71" i="20"/>
  <c r="I71" i="20"/>
  <c r="L72" i="20"/>
  <c r="K72" i="20"/>
  <c r="J72" i="20"/>
  <c r="I72" i="20"/>
  <c r="L73" i="20"/>
  <c r="K73" i="20"/>
  <c r="J73" i="20"/>
  <c r="I73" i="20"/>
  <c r="L94" i="20"/>
  <c r="K94" i="20"/>
  <c r="J94" i="20"/>
  <c r="I94" i="20"/>
  <c r="L66" i="20"/>
  <c r="K66" i="20"/>
  <c r="J66" i="20"/>
  <c r="I66" i="20"/>
  <c r="L92" i="20"/>
  <c r="K92" i="20"/>
  <c r="J92" i="20"/>
  <c r="I92" i="20"/>
  <c r="L93" i="20"/>
  <c r="K93" i="20"/>
  <c r="J93" i="20"/>
  <c r="I93" i="20"/>
  <c r="L95" i="20"/>
  <c r="K95" i="20"/>
  <c r="J95" i="20"/>
  <c r="I95" i="20"/>
  <c r="L98" i="20"/>
  <c r="K98" i="20"/>
  <c r="J98" i="20"/>
  <c r="I98" i="20"/>
  <c r="L2" i="19"/>
  <c r="K2" i="19"/>
  <c r="J2" i="19"/>
  <c r="I2" i="19"/>
  <c r="L3" i="19"/>
  <c r="K3" i="19"/>
  <c r="J3" i="19"/>
  <c r="I3" i="19"/>
  <c r="L4" i="19"/>
  <c r="K4" i="19"/>
  <c r="J4" i="19"/>
  <c r="I4" i="19"/>
  <c r="L6" i="19"/>
  <c r="K6" i="19"/>
  <c r="J6" i="19"/>
  <c r="I6" i="19"/>
  <c r="L7" i="19"/>
  <c r="K7" i="19"/>
  <c r="J7" i="19"/>
  <c r="I7" i="19"/>
  <c r="L8" i="19"/>
  <c r="K8" i="19"/>
  <c r="J8" i="19"/>
  <c r="I8" i="19"/>
  <c r="L9" i="19"/>
  <c r="K9" i="19"/>
  <c r="J9" i="19"/>
  <c r="I9" i="19"/>
  <c r="L10" i="19"/>
  <c r="K10" i="19"/>
  <c r="J10" i="19"/>
  <c r="I10" i="19"/>
  <c r="L11" i="19"/>
  <c r="K11" i="19"/>
  <c r="J11" i="19"/>
  <c r="I11" i="19"/>
  <c r="L13" i="19"/>
  <c r="K13" i="19"/>
  <c r="J13" i="19"/>
  <c r="I13" i="19"/>
  <c r="Q14" i="19"/>
  <c r="L14" i="19"/>
  <c r="K14" i="19"/>
  <c r="J14" i="19"/>
  <c r="I14" i="19"/>
  <c r="P14" i="19"/>
  <c r="O14" i="19"/>
  <c r="Q15" i="19"/>
  <c r="L15" i="19"/>
  <c r="K15" i="19"/>
  <c r="J15" i="19"/>
  <c r="I15" i="19"/>
  <c r="P15" i="19"/>
  <c r="O15" i="19"/>
  <c r="Q16" i="19"/>
  <c r="L16" i="19"/>
  <c r="K16" i="19"/>
  <c r="J16" i="19"/>
  <c r="I16" i="19"/>
  <c r="P16" i="19"/>
  <c r="O16" i="19"/>
  <c r="Q17" i="19"/>
  <c r="L17" i="19"/>
  <c r="K17" i="19"/>
  <c r="J17" i="19"/>
  <c r="I17" i="19"/>
  <c r="P17" i="19"/>
  <c r="O17" i="19"/>
  <c r="Q18" i="19"/>
  <c r="L18" i="19"/>
  <c r="K18" i="19"/>
  <c r="J18" i="19"/>
  <c r="I18" i="19"/>
  <c r="P18" i="19"/>
  <c r="O18" i="19"/>
  <c r="L19" i="19"/>
  <c r="K19" i="19"/>
  <c r="J19" i="19"/>
  <c r="I19" i="19"/>
  <c r="L20" i="19"/>
  <c r="K20" i="19"/>
  <c r="J20" i="19"/>
  <c r="I20" i="19"/>
  <c r="L21" i="19"/>
  <c r="K21" i="19"/>
  <c r="J21" i="19"/>
  <c r="I21" i="19"/>
  <c r="L22" i="19"/>
  <c r="K22" i="19"/>
  <c r="J22" i="19"/>
  <c r="I22" i="19"/>
  <c r="L23" i="19"/>
  <c r="K23" i="19"/>
  <c r="J23" i="19"/>
  <c r="I23" i="19"/>
  <c r="L24" i="19"/>
  <c r="K24" i="19"/>
  <c r="J24" i="19"/>
  <c r="I24" i="19"/>
  <c r="L25" i="19"/>
  <c r="K25" i="19"/>
  <c r="J25" i="19"/>
  <c r="I25" i="19"/>
  <c r="L26" i="19"/>
  <c r="K26" i="19"/>
  <c r="J26" i="19"/>
  <c r="I26" i="19"/>
  <c r="L27" i="19"/>
  <c r="K27" i="19"/>
  <c r="J27" i="19"/>
  <c r="I27" i="19"/>
  <c r="L28" i="19"/>
  <c r="K28" i="19"/>
  <c r="J28" i="19"/>
  <c r="I28" i="19"/>
  <c r="L29" i="19"/>
  <c r="K29" i="19"/>
  <c r="J29" i="19"/>
  <c r="I29" i="19"/>
  <c r="L30" i="19"/>
  <c r="K30" i="19"/>
  <c r="J30" i="19"/>
  <c r="I30" i="19"/>
  <c r="L31" i="19"/>
  <c r="K31" i="19"/>
  <c r="J31" i="19"/>
  <c r="I31" i="19"/>
  <c r="L33" i="19"/>
  <c r="K33" i="19"/>
  <c r="J33" i="19"/>
  <c r="I33" i="19"/>
  <c r="L35" i="19"/>
  <c r="K35" i="19"/>
  <c r="J35" i="19"/>
  <c r="I35" i="19"/>
  <c r="L36" i="19"/>
  <c r="K36" i="19"/>
  <c r="J36" i="19"/>
  <c r="I36" i="19"/>
  <c r="L37" i="19"/>
  <c r="K37" i="19"/>
  <c r="J37" i="19"/>
  <c r="I37" i="19"/>
  <c r="L38" i="19"/>
  <c r="K38" i="19"/>
  <c r="J38" i="19"/>
  <c r="I38" i="19"/>
  <c r="L39" i="19"/>
  <c r="K39" i="19"/>
  <c r="J39" i="19"/>
  <c r="I39" i="19"/>
  <c r="L40" i="19"/>
  <c r="K40" i="19"/>
  <c r="J40" i="19"/>
  <c r="I40" i="19"/>
  <c r="L42" i="19"/>
  <c r="K42" i="19"/>
  <c r="J42" i="19"/>
  <c r="I42" i="19"/>
  <c r="L43" i="19"/>
  <c r="K43" i="19"/>
  <c r="J43" i="19"/>
  <c r="I43" i="19"/>
  <c r="L44" i="19"/>
  <c r="K44" i="19"/>
  <c r="J44" i="19"/>
  <c r="I44" i="19"/>
  <c r="L45" i="19"/>
  <c r="K45" i="19"/>
  <c r="J45" i="19"/>
  <c r="I45" i="19"/>
  <c r="L46" i="19"/>
  <c r="K46" i="19"/>
  <c r="J46" i="19"/>
  <c r="I46" i="19"/>
  <c r="L47" i="19"/>
  <c r="K47" i="19"/>
  <c r="J47" i="19"/>
  <c r="I47" i="19"/>
  <c r="L49" i="19"/>
  <c r="K49" i="19"/>
  <c r="J49" i="19"/>
  <c r="I49" i="19"/>
  <c r="R50" i="19"/>
  <c r="Q50" i="19"/>
  <c r="L50" i="19"/>
  <c r="K50" i="19"/>
  <c r="J50" i="19"/>
  <c r="I50" i="19"/>
  <c r="P50" i="19"/>
  <c r="O50" i="19"/>
  <c r="R51" i="19"/>
  <c r="Q51" i="19"/>
  <c r="L51" i="19"/>
  <c r="K51" i="19"/>
  <c r="J51" i="19"/>
  <c r="I51" i="19"/>
  <c r="P51" i="19"/>
  <c r="O51" i="19"/>
  <c r="R52" i="19"/>
  <c r="Q52" i="19"/>
  <c r="L52" i="19"/>
  <c r="K52" i="19"/>
  <c r="J52" i="19"/>
  <c r="I52" i="19"/>
  <c r="P52" i="19"/>
  <c r="O52" i="19"/>
  <c r="R53" i="19"/>
  <c r="Q53" i="19"/>
  <c r="L53" i="19"/>
  <c r="K53" i="19"/>
  <c r="J53" i="19"/>
  <c r="I53" i="19"/>
  <c r="P53" i="19"/>
  <c r="O53" i="19"/>
  <c r="R54" i="19"/>
  <c r="Q54" i="19"/>
  <c r="L54" i="19"/>
  <c r="K54" i="19"/>
  <c r="J54" i="19"/>
  <c r="I54" i="19"/>
  <c r="P54" i="19"/>
  <c r="O54" i="19"/>
  <c r="R55" i="19"/>
  <c r="Q55" i="19"/>
  <c r="L55" i="19"/>
  <c r="K55" i="19"/>
  <c r="J55" i="19"/>
  <c r="I55" i="19"/>
  <c r="P55" i="19"/>
  <c r="O55" i="19"/>
  <c r="R56" i="19"/>
  <c r="Q56" i="19"/>
  <c r="L56" i="19"/>
  <c r="K56" i="19"/>
  <c r="J56" i="19"/>
  <c r="I56" i="19"/>
  <c r="P56" i="19"/>
  <c r="O56" i="19"/>
  <c r="R57" i="19"/>
  <c r="Q57" i="19"/>
  <c r="L57" i="19"/>
  <c r="K57" i="19"/>
  <c r="J57" i="19"/>
  <c r="I57" i="19"/>
  <c r="P57" i="19"/>
  <c r="O57" i="19"/>
  <c r="R58" i="19"/>
  <c r="Q58" i="19"/>
  <c r="L58" i="19"/>
  <c r="K58" i="19"/>
  <c r="J58" i="19"/>
  <c r="I58" i="19"/>
  <c r="P58" i="19"/>
  <c r="O58" i="19"/>
  <c r="R59" i="19"/>
  <c r="Q59" i="19"/>
  <c r="L59" i="19"/>
  <c r="K59" i="19"/>
  <c r="J59" i="19"/>
  <c r="I59" i="19"/>
  <c r="P59" i="19"/>
  <c r="O59" i="19"/>
  <c r="L60" i="19"/>
  <c r="K60" i="19"/>
  <c r="J60" i="19"/>
  <c r="I60" i="19"/>
  <c r="L61" i="19"/>
  <c r="K61" i="19"/>
  <c r="J61" i="19"/>
  <c r="I61" i="19"/>
  <c r="L62" i="19"/>
  <c r="K62" i="19"/>
  <c r="J62" i="19"/>
  <c r="I62" i="19"/>
  <c r="L64" i="19"/>
  <c r="K64" i="19"/>
  <c r="J64" i="19"/>
  <c r="I64" i="19"/>
  <c r="L67" i="19"/>
  <c r="K67" i="19"/>
  <c r="J67" i="19"/>
  <c r="I67" i="19"/>
  <c r="L68" i="19"/>
  <c r="K68" i="19"/>
  <c r="J68" i="19"/>
  <c r="I68" i="19"/>
  <c r="L69" i="19"/>
  <c r="K69" i="19"/>
  <c r="J69" i="19"/>
  <c r="I69" i="19"/>
  <c r="L70" i="19"/>
  <c r="K70" i="19"/>
  <c r="J70" i="19"/>
  <c r="I70" i="19"/>
  <c r="L71" i="19"/>
  <c r="K71" i="19"/>
  <c r="J71" i="19"/>
  <c r="I71" i="19"/>
  <c r="L72" i="19"/>
  <c r="K72" i="19"/>
  <c r="J72" i="19"/>
  <c r="I72" i="19"/>
  <c r="L73" i="19"/>
  <c r="K73" i="19"/>
  <c r="J73" i="19"/>
  <c r="I73" i="19"/>
  <c r="L74" i="19"/>
  <c r="K74" i="19"/>
  <c r="J74" i="19"/>
  <c r="I74" i="19"/>
  <c r="L75" i="19"/>
  <c r="K75" i="19"/>
  <c r="J75" i="19"/>
  <c r="I75" i="19"/>
  <c r="L76" i="19"/>
  <c r="K76" i="19"/>
  <c r="J76" i="19"/>
  <c r="I76" i="19"/>
  <c r="L77" i="19"/>
  <c r="K77" i="19"/>
  <c r="J77" i="19"/>
  <c r="I77" i="19"/>
  <c r="L78" i="19"/>
  <c r="K78" i="19"/>
  <c r="J78" i="19"/>
  <c r="I78" i="19"/>
  <c r="L79" i="19"/>
  <c r="K79" i="19"/>
  <c r="J79" i="19"/>
  <c r="I79" i="19"/>
  <c r="L80" i="19"/>
  <c r="K80" i="19"/>
  <c r="J80" i="19"/>
  <c r="I80" i="19"/>
  <c r="L81" i="19"/>
  <c r="K81" i="19"/>
  <c r="J81" i="19"/>
  <c r="I81" i="19"/>
  <c r="L82" i="19"/>
  <c r="K82" i="19"/>
  <c r="J82" i="19"/>
  <c r="I82" i="19"/>
  <c r="L83" i="19"/>
  <c r="K83" i="19"/>
  <c r="J83" i="19"/>
  <c r="I83" i="19"/>
  <c r="L84" i="19"/>
  <c r="K84" i="19"/>
  <c r="J84" i="19"/>
  <c r="I84" i="19"/>
  <c r="L85" i="19"/>
  <c r="K85" i="19"/>
  <c r="J85" i="19"/>
  <c r="I85" i="19"/>
  <c r="L86" i="19"/>
  <c r="K86" i="19"/>
  <c r="J86" i="19"/>
  <c r="I86" i="19"/>
  <c r="L87" i="19"/>
  <c r="K87" i="19"/>
  <c r="J87" i="19"/>
  <c r="I87" i="19"/>
  <c r="L88" i="19"/>
  <c r="K88" i="19"/>
  <c r="J88" i="19"/>
  <c r="I88" i="19"/>
  <c r="L89" i="19"/>
  <c r="K89" i="19"/>
  <c r="J89" i="19"/>
  <c r="I89" i="19"/>
  <c r="L90" i="19"/>
  <c r="K90" i="19"/>
  <c r="J90" i="19"/>
  <c r="I90" i="19"/>
  <c r="L91" i="19"/>
  <c r="K91" i="19"/>
  <c r="J91" i="19"/>
  <c r="I91" i="19"/>
  <c r="L92" i="19"/>
  <c r="K92" i="19"/>
  <c r="J92" i="19"/>
  <c r="I92" i="19"/>
  <c r="L93" i="19"/>
  <c r="K93" i="19"/>
  <c r="J93" i="19"/>
  <c r="I93" i="19"/>
  <c r="L94" i="19"/>
  <c r="K94" i="19"/>
  <c r="J94" i="19"/>
  <c r="I94" i="19"/>
  <c r="L95" i="19"/>
  <c r="K95" i="19"/>
  <c r="J95" i="19"/>
  <c r="I95" i="19"/>
  <c r="L96" i="19"/>
  <c r="K96" i="19"/>
  <c r="J96" i="19"/>
  <c r="I96" i="19"/>
  <c r="L98" i="19"/>
  <c r="K98" i="19"/>
  <c r="J98" i="19"/>
  <c r="I98" i="19"/>
  <c r="L13" i="18"/>
  <c r="K13" i="18"/>
  <c r="J13" i="18"/>
  <c r="I13" i="18"/>
  <c r="L91" i="18"/>
  <c r="K91" i="18"/>
  <c r="J91" i="18"/>
  <c r="I91" i="18"/>
  <c r="L19" i="18"/>
  <c r="K19" i="18"/>
  <c r="J19" i="18"/>
  <c r="I19" i="18"/>
  <c r="L20" i="18"/>
  <c r="K20" i="18"/>
  <c r="J20" i="18"/>
  <c r="I20" i="18"/>
  <c r="L21" i="18"/>
  <c r="K21" i="18"/>
  <c r="J21" i="18"/>
  <c r="I21" i="18"/>
  <c r="L18" i="18"/>
  <c r="K18" i="18"/>
  <c r="J18" i="18"/>
  <c r="I18" i="18"/>
  <c r="L2" i="18"/>
  <c r="K2" i="18"/>
  <c r="J2" i="18"/>
  <c r="I2" i="18"/>
  <c r="L22" i="18"/>
  <c r="K22" i="18"/>
  <c r="J22" i="18"/>
  <c r="I22" i="18"/>
  <c r="L23" i="18"/>
  <c r="K23" i="18"/>
  <c r="J23" i="18"/>
  <c r="I23" i="18"/>
  <c r="L24" i="18"/>
  <c r="K24" i="18"/>
  <c r="J24" i="18"/>
  <c r="I24" i="18"/>
  <c r="L25" i="18"/>
  <c r="K25" i="18"/>
  <c r="J25" i="18"/>
  <c r="I25" i="18"/>
  <c r="L29" i="18"/>
  <c r="K29" i="18"/>
  <c r="J29" i="18"/>
  <c r="I29" i="18"/>
  <c r="L26" i="18"/>
  <c r="K26" i="18"/>
  <c r="J26" i="18"/>
  <c r="I26" i="18"/>
  <c r="L14" i="18"/>
  <c r="K14" i="18"/>
  <c r="J14" i="18"/>
  <c r="I14" i="18"/>
  <c r="L27" i="18"/>
  <c r="K27" i="18"/>
  <c r="J27" i="18"/>
  <c r="I27" i="18"/>
  <c r="L15" i="18"/>
  <c r="K15" i="18"/>
  <c r="J15" i="18"/>
  <c r="I15" i="18"/>
  <c r="L16" i="18"/>
  <c r="K16" i="18"/>
  <c r="J16" i="18"/>
  <c r="I16" i="18"/>
  <c r="L12" i="18"/>
  <c r="K12" i="18"/>
  <c r="J12" i="18"/>
  <c r="I12" i="18"/>
  <c r="L30" i="18"/>
  <c r="K30" i="18"/>
  <c r="J30" i="18"/>
  <c r="I30" i="18"/>
  <c r="L7" i="18"/>
  <c r="K7" i="18"/>
  <c r="J7" i="18"/>
  <c r="I7" i="18"/>
  <c r="L3" i="18"/>
  <c r="K3" i="18"/>
  <c r="J3" i="18"/>
  <c r="I3" i="18"/>
  <c r="L4" i="18"/>
  <c r="K4" i="18"/>
  <c r="J4" i="18"/>
  <c r="I4" i="18"/>
  <c r="L5" i="18"/>
  <c r="K5" i="18"/>
  <c r="J5" i="18"/>
  <c r="I5" i="18"/>
  <c r="L8" i="18"/>
  <c r="K8" i="18"/>
  <c r="J8" i="18"/>
  <c r="I8" i="18"/>
  <c r="L6" i="18"/>
  <c r="K6" i="18"/>
  <c r="J6" i="18"/>
  <c r="I6" i="18"/>
  <c r="L9" i="18"/>
  <c r="K9" i="18"/>
  <c r="J9" i="18"/>
  <c r="I9" i="18"/>
  <c r="L10" i="18"/>
  <c r="K10" i="18"/>
  <c r="J10" i="18"/>
  <c r="I10" i="18"/>
  <c r="L11" i="18"/>
  <c r="K11" i="18"/>
  <c r="J11" i="18"/>
  <c r="I11" i="18"/>
  <c r="L31" i="18"/>
  <c r="K31" i="18"/>
  <c r="J31" i="18"/>
  <c r="I31" i="18"/>
  <c r="L33" i="18"/>
  <c r="K33" i="18"/>
  <c r="J33" i="18"/>
  <c r="I33" i="18"/>
  <c r="L73" i="18"/>
  <c r="K73" i="18"/>
  <c r="J73" i="18"/>
  <c r="I73" i="18"/>
  <c r="L74" i="18"/>
  <c r="K74" i="18"/>
  <c r="J74" i="18"/>
  <c r="I74" i="18"/>
  <c r="L75" i="18"/>
  <c r="K75" i="18"/>
  <c r="J75" i="18"/>
  <c r="I75" i="18"/>
  <c r="L76" i="18"/>
  <c r="K76" i="18"/>
  <c r="J76" i="18"/>
  <c r="I76" i="18"/>
  <c r="L77" i="18"/>
  <c r="K77" i="18"/>
  <c r="J77" i="18"/>
  <c r="I77" i="18"/>
  <c r="L44" i="18"/>
  <c r="K44" i="18"/>
  <c r="J44" i="18"/>
  <c r="I44" i="18"/>
  <c r="L78" i="18"/>
  <c r="K78" i="18"/>
  <c r="J78" i="18"/>
  <c r="I78" i="18"/>
  <c r="L79" i="18"/>
  <c r="K79" i="18"/>
  <c r="J79" i="18"/>
  <c r="I79" i="18"/>
  <c r="L80" i="18"/>
  <c r="K80" i="18"/>
  <c r="J80" i="18"/>
  <c r="I80" i="18"/>
  <c r="L82" i="18"/>
  <c r="K82" i="18"/>
  <c r="J82" i="18"/>
  <c r="I82" i="18"/>
  <c r="L83" i="18"/>
  <c r="K83" i="18"/>
  <c r="J83" i="18"/>
  <c r="I83" i="18"/>
  <c r="L84" i="18"/>
  <c r="K84" i="18"/>
  <c r="J84" i="18"/>
  <c r="I84" i="18"/>
  <c r="L72" i="18"/>
  <c r="K72" i="18"/>
  <c r="J72" i="18"/>
  <c r="I72" i="18"/>
  <c r="L85" i="18"/>
  <c r="K85" i="18"/>
  <c r="J85" i="18"/>
  <c r="I85" i="18"/>
  <c r="L86" i="18"/>
  <c r="K86" i="18"/>
  <c r="J86" i="18"/>
  <c r="I86" i="18"/>
  <c r="L87" i="18"/>
  <c r="K87" i="18"/>
  <c r="J87" i="18"/>
  <c r="I87" i="18"/>
  <c r="L88" i="18"/>
  <c r="K88" i="18"/>
  <c r="J88" i="18"/>
  <c r="I88" i="18"/>
  <c r="L68" i="18"/>
  <c r="K68" i="18"/>
  <c r="J68" i="18"/>
  <c r="I68" i="18"/>
  <c r="L89" i="18"/>
  <c r="K89" i="18"/>
  <c r="J89" i="18"/>
  <c r="I89" i="18"/>
  <c r="L69" i="18"/>
  <c r="K69" i="18"/>
  <c r="N69" i="18" s="1"/>
  <c r="J69" i="18"/>
  <c r="I69" i="18"/>
  <c r="L81" i="18"/>
  <c r="K81" i="18"/>
  <c r="J81" i="18"/>
  <c r="I81" i="18"/>
  <c r="L92" i="18"/>
  <c r="K92" i="18"/>
  <c r="J92" i="18"/>
  <c r="I92" i="18"/>
  <c r="L70" i="18"/>
  <c r="K70" i="18"/>
  <c r="J70" i="18"/>
  <c r="I70" i="18"/>
  <c r="L66" i="18"/>
  <c r="K66" i="18"/>
  <c r="J66" i="18"/>
  <c r="I66" i="18"/>
  <c r="L90" i="18"/>
  <c r="K90" i="18"/>
  <c r="J90" i="18"/>
  <c r="I90" i="18"/>
  <c r="L95" i="18"/>
  <c r="K95" i="18"/>
  <c r="J95" i="18"/>
  <c r="I95" i="18"/>
  <c r="L67" i="18"/>
  <c r="K67" i="18"/>
  <c r="J67" i="18"/>
  <c r="I67" i="18"/>
  <c r="L35" i="18"/>
  <c r="K35" i="18"/>
  <c r="J35" i="18"/>
  <c r="I35" i="18"/>
  <c r="L36" i="18"/>
  <c r="K36" i="18"/>
  <c r="J36" i="18"/>
  <c r="I36" i="18"/>
  <c r="L37" i="18"/>
  <c r="K37" i="18"/>
  <c r="J37" i="18"/>
  <c r="I37" i="18"/>
  <c r="L38" i="18"/>
  <c r="K38" i="18"/>
  <c r="J38" i="18"/>
  <c r="I38" i="18"/>
  <c r="L43" i="18"/>
  <c r="K43" i="18"/>
  <c r="J43" i="18"/>
  <c r="I43" i="18"/>
  <c r="L39" i="18"/>
  <c r="K39" i="18"/>
  <c r="J39" i="18"/>
  <c r="I39" i="18"/>
  <c r="L46" i="18"/>
  <c r="K46" i="18"/>
  <c r="J46" i="18"/>
  <c r="I46" i="18"/>
  <c r="L40" i="18"/>
  <c r="K40" i="18"/>
  <c r="J40" i="18"/>
  <c r="I40" i="18"/>
  <c r="L47" i="18"/>
  <c r="K47" i="18"/>
  <c r="J47" i="18"/>
  <c r="I47" i="18"/>
  <c r="L41" i="18"/>
  <c r="K41" i="18"/>
  <c r="J41" i="18"/>
  <c r="I41" i="18"/>
  <c r="L48" i="18"/>
  <c r="K48" i="18"/>
  <c r="J48" i="18"/>
  <c r="I48" i="18"/>
  <c r="L49" i="18"/>
  <c r="K49" i="18"/>
  <c r="J49" i="18"/>
  <c r="I49" i="18"/>
  <c r="L50" i="18"/>
  <c r="K50" i="18"/>
  <c r="J50" i="18"/>
  <c r="I50" i="18"/>
  <c r="L42" i="18"/>
  <c r="K42" i="18"/>
  <c r="J42" i="18"/>
  <c r="I42" i="18"/>
  <c r="L51" i="18"/>
  <c r="K51" i="18"/>
  <c r="J51" i="18"/>
  <c r="I51" i="18"/>
  <c r="L52" i="18"/>
  <c r="K52" i="18"/>
  <c r="J52" i="18"/>
  <c r="I52" i="18"/>
  <c r="L53" i="18"/>
  <c r="K53" i="18"/>
  <c r="J53" i="18"/>
  <c r="I53" i="18"/>
  <c r="L54" i="18"/>
  <c r="K54" i="18"/>
  <c r="J54" i="18"/>
  <c r="I54" i="18"/>
  <c r="L55" i="18"/>
  <c r="K55" i="18"/>
  <c r="J55" i="18"/>
  <c r="I55" i="18"/>
  <c r="L56" i="18"/>
  <c r="K56" i="18"/>
  <c r="J56" i="18"/>
  <c r="I56" i="18"/>
  <c r="L57" i="18"/>
  <c r="K57" i="18"/>
  <c r="J57" i="18"/>
  <c r="I57" i="18"/>
  <c r="L58" i="18"/>
  <c r="K58" i="18"/>
  <c r="J58" i="18"/>
  <c r="I58" i="18"/>
  <c r="L59" i="18"/>
  <c r="K59" i="18"/>
  <c r="J59" i="18"/>
  <c r="I59" i="18"/>
  <c r="L60" i="18"/>
  <c r="K60" i="18"/>
  <c r="J60" i="18"/>
  <c r="I60" i="18"/>
  <c r="L61" i="18"/>
  <c r="K61" i="18"/>
  <c r="J61" i="18"/>
  <c r="I61" i="18"/>
  <c r="L62" i="18"/>
  <c r="K62" i="18"/>
  <c r="J62" i="18"/>
  <c r="I62" i="18"/>
  <c r="L63" i="18"/>
  <c r="K63" i="18"/>
  <c r="J63" i="18"/>
  <c r="I63" i="18"/>
  <c r="L64" i="18"/>
  <c r="K64" i="18"/>
  <c r="J64" i="18"/>
  <c r="I64" i="18"/>
  <c r="L93" i="18"/>
  <c r="K93" i="18"/>
  <c r="J93" i="18"/>
  <c r="I93" i="18"/>
  <c r="L98" i="18"/>
  <c r="K98" i="18"/>
  <c r="J98" i="18"/>
  <c r="I98" i="18"/>
  <c r="R54" i="17"/>
  <c r="Q54" i="17"/>
  <c r="P54" i="17"/>
  <c r="O54" i="17"/>
  <c r="R56" i="17"/>
  <c r="Q56" i="17"/>
  <c r="P56" i="17"/>
  <c r="O56" i="17"/>
  <c r="R50" i="17"/>
  <c r="Q50" i="17"/>
  <c r="P50" i="17"/>
  <c r="O50" i="17"/>
  <c r="R51" i="17"/>
  <c r="Q51" i="17"/>
  <c r="P51" i="17"/>
  <c r="O51" i="17"/>
  <c r="R52" i="17"/>
  <c r="Q52" i="17"/>
  <c r="P52" i="17"/>
  <c r="O52" i="17"/>
  <c r="R53" i="17"/>
  <c r="Q53" i="17"/>
  <c r="P53" i="17"/>
  <c r="O53" i="17"/>
  <c r="R57" i="17"/>
  <c r="Q57" i="17"/>
  <c r="P57" i="17"/>
  <c r="O57" i="17"/>
  <c r="R55" i="17"/>
  <c r="Q55" i="17"/>
  <c r="P55" i="17"/>
  <c r="O55" i="17"/>
  <c r="R58" i="17"/>
  <c r="Q58" i="17"/>
  <c r="P58" i="17"/>
  <c r="O58" i="17"/>
  <c r="R59" i="17"/>
  <c r="Q59" i="17"/>
  <c r="P59" i="17"/>
  <c r="O59" i="17"/>
  <c r="P14" i="17"/>
  <c r="O14" i="17"/>
  <c r="P17" i="17"/>
  <c r="O17" i="17"/>
  <c r="P16" i="17"/>
  <c r="O16" i="17"/>
  <c r="P15" i="17"/>
  <c r="O15" i="17"/>
  <c r="P18" i="17"/>
  <c r="O18" i="17"/>
  <c r="L14" i="17"/>
  <c r="K14" i="17"/>
  <c r="J14" i="17"/>
  <c r="I14" i="17"/>
  <c r="L17" i="17"/>
  <c r="K17" i="17"/>
  <c r="J17" i="17"/>
  <c r="I17" i="17"/>
  <c r="L10" i="17"/>
  <c r="K10" i="17"/>
  <c r="J10" i="17"/>
  <c r="I10" i="17"/>
  <c r="L16" i="17"/>
  <c r="K16" i="17"/>
  <c r="J16" i="17"/>
  <c r="I16" i="17"/>
  <c r="L22" i="17"/>
  <c r="K22" i="17"/>
  <c r="J22" i="17"/>
  <c r="I22" i="17"/>
  <c r="L31" i="17"/>
  <c r="K31" i="17"/>
  <c r="J31" i="17"/>
  <c r="I31" i="17"/>
  <c r="L6" i="17"/>
  <c r="K6" i="17"/>
  <c r="J6" i="17"/>
  <c r="I6" i="17"/>
  <c r="L7" i="17"/>
  <c r="K7" i="17"/>
  <c r="J7" i="17"/>
  <c r="I7" i="17"/>
  <c r="L13" i="17"/>
  <c r="K13" i="17"/>
  <c r="J13" i="17"/>
  <c r="I13" i="17"/>
  <c r="L9" i="17"/>
  <c r="K9" i="17"/>
  <c r="J9" i="17"/>
  <c r="I9" i="17"/>
  <c r="L2" i="17"/>
  <c r="K2" i="17"/>
  <c r="J2" i="17"/>
  <c r="I2" i="17"/>
  <c r="L3" i="17"/>
  <c r="K3" i="17"/>
  <c r="J3" i="17"/>
  <c r="I3" i="17"/>
  <c r="L4" i="17"/>
  <c r="K4" i="17"/>
  <c r="J4" i="17"/>
  <c r="I4" i="17"/>
  <c r="L11" i="17"/>
  <c r="K11" i="17"/>
  <c r="J11" i="17"/>
  <c r="I11" i="17"/>
  <c r="L21" i="17"/>
  <c r="K21" i="17"/>
  <c r="J21" i="17"/>
  <c r="I21" i="17"/>
  <c r="L19" i="17"/>
  <c r="K19" i="17"/>
  <c r="J19" i="17"/>
  <c r="I19" i="17"/>
  <c r="L20" i="17"/>
  <c r="K20" i="17"/>
  <c r="J20" i="17"/>
  <c r="I20" i="17"/>
  <c r="L8" i="17"/>
  <c r="K8" i="17"/>
  <c r="J8" i="17"/>
  <c r="I8" i="17"/>
  <c r="L23" i="17"/>
  <c r="K23" i="17"/>
  <c r="J23" i="17"/>
  <c r="I23" i="17"/>
  <c r="L24" i="17"/>
  <c r="K24" i="17"/>
  <c r="J24" i="17"/>
  <c r="I24" i="17"/>
  <c r="L25" i="17"/>
  <c r="K25" i="17"/>
  <c r="J25" i="17"/>
  <c r="I25" i="17"/>
  <c r="L26" i="17"/>
  <c r="K26" i="17"/>
  <c r="J26" i="17"/>
  <c r="I26" i="17"/>
  <c r="L27" i="17"/>
  <c r="K27" i="17"/>
  <c r="J27" i="17"/>
  <c r="I27" i="17"/>
  <c r="L15" i="17"/>
  <c r="K15" i="17"/>
  <c r="J15" i="17"/>
  <c r="I15" i="17"/>
  <c r="L28" i="17"/>
  <c r="K28" i="17"/>
  <c r="J28" i="17"/>
  <c r="I28" i="17"/>
  <c r="L18" i="17"/>
  <c r="K18" i="17"/>
  <c r="J18" i="17"/>
  <c r="I18" i="17"/>
  <c r="L29" i="17"/>
  <c r="K29" i="17"/>
  <c r="J29" i="17"/>
  <c r="I29" i="17"/>
  <c r="L30" i="17"/>
  <c r="K30" i="17"/>
  <c r="J30" i="17"/>
  <c r="I30" i="17"/>
  <c r="L33" i="17"/>
  <c r="K33" i="17"/>
  <c r="J33" i="17"/>
  <c r="I33" i="17"/>
  <c r="L35" i="17"/>
  <c r="K35" i="17"/>
  <c r="J35" i="17"/>
  <c r="I35" i="17"/>
  <c r="L68" i="17"/>
  <c r="K68" i="17"/>
  <c r="J68" i="17"/>
  <c r="I68" i="17"/>
  <c r="L36" i="17"/>
  <c r="K36" i="17"/>
  <c r="J36" i="17"/>
  <c r="I36" i="17"/>
  <c r="L37" i="17"/>
  <c r="K37" i="17"/>
  <c r="J37" i="17"/>
  <c r="I37" i="17"/>
  <c r="L38" i="17"/>
  <c r="K38" i="17"/>
  <c r="J38" i="17"/>
  <c r="I38" i="17"/>
  <c r="L69" i="17"/>
  <c r="K69" i="17"/>
  <c r="J69" i="17"/>
  <c r="I69" i="17"/>
  <c r="L70" i="17"/>
  <c r="K70" i="17"/>
  <c r="J70" i="17"/>
  <c r="I70" i="17"/>
  <c r="L71" i="17"/>
  <c r="K71" i="17"/>
  <c r="J71" i="17"/>
  <c r="I71" i="17"/>
  <c r="L72" i="17"/>
  <c r="K72" i="17"/>
  <c r="J72" i="17"/>
  <c r="I72" i="17"/>
  <c r="L40" i="17"/>
  <c r="K40" i="17"/>
  <c r="J40" i="17"/>
  <c r="I40" i="17"/>
  <c r="L42" i="17"/>
  <c r="K42" i="17"/>
  <c r="N42" i="17" s="1"/>
  <c r="J42" i="17"/>
  <c r="I42" i="17"/>
  <c r="L43" i="17"/>
  <c r="K43" i="17"/>
  <c r="N43" i="17" s="1"/>
  <c r="J43" i="17"/>
  <c r="I43" i="17"/>
  <c r="L46" i="17"/>
  <c r="K46" i="17"/>
  <c r="N46" i="17" s="1"/>
  <c r="J46" i="17"/>
  <c r="I46" i="17"/>
  <c r="L39" i="17"/>
  <c r="K39" i="17"/>
  <c r="J39" i="17"/>
  <c r="I39" i="17"/>
  <c r="L73" i="17"/>
  <c r="K73" i="17"/>
  <c r="J73" i="17"/>
  <c r="I73" i="17"/>
  <c r="L74" i="17"/>
  <c r="K74" i="17"/>
  <c r="J74" i="17"/>
  <c r="I74" i="17"/>
  <c r="L54" i="17"/>
  <c r="K54" i="17"/>
  <c r="J54" i="17"/>
  <c r="I54" i="17"/>
  <c r="L75" i="17"/>
  <c r="K75" i="17"/>
  <c r="J75" i="17"/>
  <c r="I75" i="17"/>
  <c r="L76" i="17"/>
  <c r="K76" i="17"/>
  <c r="J76" i="17"/>
  <c r="I76" i="17"/>
  <c r="L77" i="17"/>
  <c r="K77" i="17"/>
  <c r="J77" i="17"/>
  <c r="I77" i="17"/>
  <c r="L78" i="17"/>
  <c r="K78" i="17"/>
  <c r="J78" i="17"/>
  <c r="I78" i="17"/>
  <c r="L79" i="17"/>
  <c r="K79" i="17"/>
  <c r="J79" i="17"/>
  <c r="I79" i="17"/>
  <c r="L61" i="17"/>
  <c r="K61" i="17"/>
  <c r="J61" i="17"/>
  <c r="I61" i="17"/>
  <c r="L62" i="17"/>
  <c r="K62" i="17"/>
  <c r="J62" i="17"/>
  <c r="I62" i="17"/>
  <c r="L47" i="17"/>
  <c r="K47" i="17"/>
  <c r="N47" i="17" s="1"/>
  <c r="J47" i="17"/>
  <c r="I47" i="17"/>
  <c r="L56" i="17"/>
  <c r="K56" i="17"/>
  <c r="J56" i="17"/>
  <c r="I56" i="17"/>
  <c r="L64" i="17"/>
  <c r="K64" i="17"/>
  <c r="J64" i="17"/>
  <c r="I64" i="17"/>
  <c r="L60" i="17"/>
  <c r="K60" i="17"/>
  <c r="J60" i="17"/>
  <c r="I60" i="17"/>
  <c r="L67" i="17"/>
  <c r="K67" i="17"/>
  <c r="J67" i="17"/>
  <c r="I67" i="17"/>
  <c r="L44" i="17"/>
  <c r="K44" i="17"/>
  <c r="N44" i="17" s="1"/>
  <c r="J44" i="17"/>
  <c r="I44" i="17"/>
  <c r="L45" i="17"/>
  <c r="K45" i="17"/>
  <c r="N45" i="17" s="1"/>
  <c r="J45" i="17"/>
  <c r="I45" i="17"/>
  <c r="L50" i="17"/>
  <c r="K50" i="17"/>
  <c r="N50" i="17" s="1"/>
  <c r="J50" i="17"/>
  <c r="I50" i="17"/>
  <c r="L51" i="17"/>
  <c r="K51" i="17"/>
  <c r="J51" i="17"/>
  <c r="I51" i="17"/>
  <c r="L52" i="17"/>
  <c r="K52" i="17"/>
  <c r="J52" i="17"/>
  <c r="I52" i="17"/>
  <c r="L53" i="17"/>
  <c r="K53" i="17"/>
  <c r="J53" i="17"/>
  <c r="I53" i="17"/>
  <c r="L57" i="17"/>
  <c r="K57" i="17"/>
  <c r="J57" i="17"/>
  <c r="I57" i="17"/>
  <c r="L55" i="17"/>
  <c r="K55" i="17"/>
  <c r="J55" i="17"/>
  <c r="I55" i="17"/>
  <c r="L80" i="17"/>
  <c r="K80" i="17"/>
  <c r="J80" i="17"/>
  <c r="I80" i="17"/>
  <c r="L49" i="17"/>
  <c r="K49" i="17"/>
  <c r="J49" i="17"/>
  <c r="I49" i="17"/>
  <c r="L81" i="17"/>
  <c r="K81" i="17"/>
  <c r="J81" i="17"/>
  <c r="I81" i="17"/>
  <c r="L98" i="17"/>
  <c r="K98" i="17"/>
  <c r="J98" i="17"/>
  <c r="I98" i="17"/>
  <c r="L58" i="17"/>
  <c r="K58" i="17"/>
  <c r="J58" i="17"/>
  <c r="I58" i="17"/>
  <c r="L82" i="17"/>
  <c r="K82" i="17"/>
  <c r="J82" i="17"/>
  <c r="I82" i="17"/>
  <c r="L59" i="17"/>
  <c r="K59" i="17"/>
  <c r="J59" i="17"/>
  <c r="I59" i="17"/>
  <c r="L83" i="17"/>
  <c r="K83" i="17"/>
  <c r="J83" i="17"/>
  <c r="I83" i="17"/>
  <c r="L84" i="17"/>
  <c r="K84" i="17"/>
  <c r="J84" i="17"/>
  <c r="I84" i="17"/>
  <c r="L85" i="17"/>
  <c r="K85" i="17"/>
  <c r="J85" i="17"/>
  <c r="I85" i="17"/>
  <c r="L86" i="17"/>
  <c r="K86" i="17"/>
  <c r="J86" i="17"/>
  <c r="I86" i="17"/>
  <c r="L87" i="17"/>
  <c r="K87" i="17"/>
  <c r="J87" i="17"/>
  <c r="I87" i="17"/>
  <c r="L88" i="17"/>
  <c r="K88" i="17"/>
  <c r="J88" i="17"/>
  <c r="I88" i="17"/>
  <c r="L89" i="17"/>
  <c r="K89" i="17"/>
  <c r="J89" i="17"/>
  <c r="I89" i="17"/>
  <c r="L90" i="17"/>
  <c r="K90" i="17"/>
  <c r="J90" i="17"/>
  <c r="I90" i="17"/>
  <c r="L91" i="17"/>
  <c r="K91" i="17"/>
  <c r="J91" i="17"/>
  <c r="I91" i="17"/>
  <c r="L92" i="17"/>
  <c r="K92" i="17"/>
  <c r="J92" i="17"/>
  <c r="I92" i="17"/>
  <c r="L93" i="17"/>
  <c r="K93" i="17"/>
  <c r="J93" i="17"/>
  <c r="I93" i="17"/>
  <c r="L94" i="17"/>
  <c r="K94" i="17"/>
  <c r="J94" i="17"/>
  <c r="I94" i="17"/>
  <c r="L95" i="17"/>
  <c r="K95" i="17"/>
  <c r="J95" i="17"/>
  <c r="I95" i="17"/>
  <c r="L96" i="17"/>
  <c r="K96" i="17"/>
  <c r="J96" i="17"/>
  <c r="I96" i="17"/>
  <c r="R69" i="16"/>
  <c r="Q69" i="16"/>
  <c r="R70" i="16"/>
  <c r="Q70" i="16"/>
  <c r="R71" i="16"/>
  <c r="Q71" i="16"/>
  <c r="R72" i="16"/>
  <c r="Q72" i="16"/>
  <c r="R73" i="16"/>
  <c r="Q73" i="16"/>
  <c r="R74" i="16"/>
  <c r="Q74" i="16"/>
  <c r="R75" i="16"/>
  <c r="Q75" i="16"/>
  <c r="R76" i="16"/>
  <c r="Q76" i="16"/>
  <c r="Q10" i="16"/>
  <c r="P10" i="16"/>
  <c r="Q4" i="16"/>
  <c r="Q2" i="16"/>
  <c r="Q3" i="16"/>
  <c r="Q5" i="16"/>
  <c r="Q6" i="16"/>
  <c r="Q68" i="16"/>
  <c r="P19" i="15"/>
  <c r="S19" i="15"/>
  <c r="L13" i="16"/>
  <c r="K13" i="16"/>
  <c r="J13" i="16"/>
  <c r="I13" i="16"/>
  <c r="L14" i="16"/>
  <c r="K14" i="16"/>
  <c r="J14" i="16"/>
  <c r="I14" i="16"/>
  <c r="L15" i="16"/>
  <c r="K15" i="16"/>
  <c r="J15" i="16"/>
  <c r="I15" i="16"/>
  <c r="L16" i="16"/>
  <c r="K16" i="16"/>
  <c r="J16" i="16"/>
  <c r="I16" i="16"/>
  <c r="L17" i="16"/>
  <c r="K17" i="16"/>
  <c r="J17" i="16"/>
  <c r="I17" i="16"/>
  <c r="L19" i="16"/>
  <c r="K19" i="16"/>
  <c r="J19" i="16"/>
  <c r="I19" i="16"/>
  <c r="L20" i="16"/>
  <c r="K20" i="16"/>
  <c r="J20" i="16"/>
  <c r="I20" i="16"/>
  <c r="L10" i="16"/>
  <c r="K10" i="16"/>
  <c r="N10" i="16" s="1"/>
  <c r="J10" i="16"/>
  <c r="I10" i="16"/>
  <c r="L21" i="16"/>
  <c r="K21" i="16"/>
  <c r="J21" i="16"/>
  <c r="I21" i="16"/>
  <c r="L22" i="16"/>
  <c r="K22" i="16"/>
  <c r="J22" i="16"/>
  <c r="I22" i="16"/>
  <c r="L23" i="16"/>
  <c r="K23" i="16"/>
  <c r="J23" i="16"/>
  <c r="I23" i="16"/>
  <c r="L24" i="16"/>
  <c r="K24" i="16"/>
  <c r="J24" i="16"/>
  <c r="I24" i="16"/>
  <c r="L25" i="16"/>
  <c r="K25" i="16"/>
  <c r="J25" i="16"/>
  <c r="I25" i="16"/>
  <c r="L26" i="16"/>
  <c r="K26" i="16"/>
  <c r="J26" i="16"/>
  <c r="I26" i="16"/>
  <c r="L9" i="16"/>
  <c r="K9" i="16"/>
  <c r="J9" i="16"/>
  <c r="I9" i="16"/>
  <c r="L27" i="16"/>
  <c r="K27" i="16"/>
  <c r="J27" i="16"/>
  <c r="I27" i="16"/>
  <c r="L4" i="16"/>
  <c r="K4" i="16"/>
  <c r="N4" i="16" s="1"/>
  <c r="J4" i="16"/>
  <c r="P4" i="16" s="1"/>
  <c r="I4" i="16"/>
  <c r="L28" i="16"/>
  <c r="K28" i="16"/>
  <c r="J28" i="16"/>
  <c r="I28" i="16"/>
  <c r="L29" i="16"/>
  <c r="K29" i="16"/>
  <c r="J29" i="16"/>
  <c r="I29" i="16"/>
  <c r="L30" i="16"/>
  <c r="K30" i="16"/>
  <c r="J30" i="16"/>
  <c r="I30" i="16"/>
  <c r="L31" i="16"/>
  <c r="K31" i="16"/>
  <c r="J31" i="16"/>
  <c r="I31" i="16"/>
  <c r="L12" i="16"/>
  <c r="K12" i="16"/>
  <c r="J12" i="16"/>
  <c r="I12" i="16"/>
  <c r="L2" i="16"/>
  <c r="K2" i="16"/>
  <c r="N2" i="16" s="1"/>
  <c r="J2" i="16"/>
  <c r="P2" i="16" s="1"/>
  <c r="I2" i="16"/>
  <c r="L3" i="16"/>
  <c r="K3" i="16"/>
  <c r="N3" i="16" s="1"/>
  <c r="J3" i="16"/>
  <c r="P3" i="16" s="1"/>
  <c r="I3" i="16"/>
  <c r="L5" i="16"/>
  <c r="K5" i="16"/>
  <c r="N5" i="16" s="1"/>
  <c r="J5" i="16"/>
  <c r="P5" i="16" s="1"/>
  <c r="I5" i="16"/>
  <c r="L6" i="16"/>
  <c r="K6" i="16"/>
  <c r="N6" i="16" s="1"/>
  <c r="J6" i="16"/>
  <c r="P6" i="16" s="1"/>
  <c r="I6" i="16"/>
  <c r="L18" i="16"/>
  <c r="K18" i="16"/>
  <c r="J18" i="16"/>
  <c r="I18" i="16"/>
  <c r="L7" i="16"/>
  <c r="K7" i="16"/>
  <c r="J7" i="16"/>
  <c r="I7" i="16"/>
  <c r="L33" i="16"/>
  <c r="K33" i="16"/>
  <c r="J33" i="16"/>
  <c r="I33" i="16"/>
  <c r="L35" i="16"/>
  <c r="K35" i="16"/>
  <c r="J35" i="16"/>
  <c r="I35" i="16"/>
  <c r="L36" i="16"/>
  <c r="K36" i="16"/>
  <c r="J36" i="16"/>
  <c r="I36" i="16"/>
  <c r="L37" i="16"/>
  <c r="K37" i="16"/>
  <c r="J37" i="16"/>
  <c r="I37" i="16"/>
  <c r="L38" i="16"/>
  <c r="K38" i="16"/>
  <c r="J38" i="16"/>
  <c r="I38" i="16"/>
  <c r="L39" i="16"/>
  <c r="K39" i="16"/>
  <c r="J39" i="16"/>
  <c r="I39" i="16"/>
  <c r="L40" i="16"/>
  <c r="K40" i="16"/>
  <c r="J40" i="16"/>
  <c r="I40" i="16"/>
  <c r="L41" i="16"/>
  <c r="K41" i="16"/>
  <c r="J41" i="16"/>
  <c r="I41" i="16"/>
  <c r="L42" i="16"/>
  <c r="K42" i="16"/>
  <c r="J42" i="16"/>
  <c r="I42" i="16"/>
  <c r="L43" i="16"/>
  <c r="K43" i="16"/>
  <c r="J43" i="16"/>
  <c r="I43" i="16"/>
  <c r="L44" i="16"/>
  <c r="K44" i="16"/>
  <c r="J44" i="16"/>
  <c r="I44" i="16"/>
  <c r="L46" i="16"/>
  <c r="K46" i="16"/>
  <c r="J46" i="16"/>
  <c r="I46" i="16"/>
  <c r="L47" i="16"/>
  <c r="K47" i="16"/>
  <c r="J47" i="16"/>
  <c r="I47" i="16"/>
  <c r="L68" i="16"/>
  <c r="K68" i="16"/>
  <c r="N68" i="16" s="1"/>
  <c r="J68" i="16"/>
  <c r="P68" i="16" s="1"/>
  <c r="I68" i="16"/>
  <c r="L69" i="16"/>
  <c r="K69" i="16"/>
  <c r="J69" i="16"/>
  <c r="I69" i="16"/>
  <c r="L48" i="16"/>
  <c r="K48" i="16"/>
  <c r="J48" i="16"/>
  <c r="I48" i="16"/>
  <c r="L60" i="16"/>
  <c r="K60" i="16"/>
  <c r="J60" i="16"/>
  <c r="I60" i="16"/>
  <c r="L49" i="16"/>
  <c r="K49" i="16"/>
  <c r="J49" i="16"/>
  <c r="I49" i="16"/>
  <c r="L50" i="16"/>
  <c r="K50" i="16"/>
  <c r="J50" i="16"/>
  <c r="I50" i="16"/>
  <c r="L51" i="16"/>
  <c r="K51" i="16"/>
  <c r="J51" i="16"/>
  <c r="I51" i="16"/>
  <c r="L52" i="16"/>
  <c r="K52" i="16"/>
  <c r="J52" i="16"/>
  <c r="I52" i="16"/>
  <c r="L53" i="16"/>
  <c r="K53" i="16"/>
  <c r="J53" i="16"/>
  <c r="I53" i="16"/>
  <c r="L54" i="16"/>
  <c r="K54" i="16"/>
  <c r="J54" i="16"/>
  <c r="I54" i="16"/>
  <c r="L55" i="16"/>
  <c r="K55" i="16"/>
  <c r="J55" i="16"/>
  <c r="I55" i="16"/>
  <c r="L56" i="16"/>
  <c r="K56" i="16"/>
  <c r="J56" i="16"/>
  <c r="I56" i="16"/>
  <c r="L79" i="16"/>
  <c r="K79" i="16"/>
  <c r="J79" i="16"/>
  <c r="I79" i="16"/>
  <c r="L57" i="16"/>
  <c r="K57" i="16"/>
  <c r="J57" i="16"/>
  <c r="I57" i="16"/>
  <c r="L58" i="16"/>
  <c r="K58" i="16"/>
  <c r="J58" i="16"/>
  <c r="I58" i="16"/>
  <c r="L59" i="16"/>
  <c r="K59" i="16"/>
  <c r="J59" i="16"/>
  <c r="I59" i="16"/>
  <c r="L66" i="16"/>
  <c r="K66" i="16"/>
  <c r="J66" i="16"/>
  <c r="I66" i="16"/>
  <c r="L67" i="16"/>
  <c r="K67" i="16"/>
  <c r="J67" i="16"/>
  <c r="I67" i="16"/>
  <c r="L82" i="16"/>
  <c r="K82" i="16"/>
  <c r="J82" i="16"/>
  <c r="I82" i="16"/>
  <c r="L83" i="16"/>
  <c r="K83" i="16"/>
  <c r="J83" i="16"/>
  <c r="I83" i="16"/>
  <c r="L84" i="16"/>
  <c r="K84" i="16"/>
  <c r="J84" i="16"/>
  <c r="I84" i="16"/>
  <c r="L85" i="16"/>
  <c r="K85" i="16"/>
  <c r="J85" i="16"/>
  <c r="I85" i="16"/>
  <c r="L86" i="16"/>
  <c r="K86" i="16"/>
  <c r="J86" i="16"/>
  <c r="I86" i="16"/>
  <c r="L87" i="16"/>
  <c r="K87" i="16"/>
  <c r="J87" i="16"/>
  <c r="I87" i="16"/>
  <c r="L88" i="16"/>
  <c r="K88" i="16"/>
  <c r="J88" i="16"/>
  <c r="I88" i="16"/>
  <c r="L89" i="16"/>
  <c r="K89" i="16"/>
  <c r="J89" i="16"/>
  <c r="I89" i="16"/>
  <c r="L90" i="16"/>
  <c r="K90" i="16"/>
  <c r="J90" i="16"/>
  <c r="I90" i="16"/>
  <c r="L91" i="16"/>
  <c r="K91" i="16"/>
  <c r="J91" i="16"/>
  <c r="I91" i="16"/>
  <c r="L92" i="16"/>
  <c r="K92" i="16"/>
  <c r="J92" i="16"/>
  <c r="I92" i="16"/>
  <c r="L93" i="16"/>
  <c r="K93" i="16"/>
  <c r="J93" i="16"/>
  <c r="I93" i="16"/>
  <c r="L94" i="16"/>
  <c r="K94" i="16"/>
  <c r="J94" i="16"/>
  <c r="I94" i="16"/>
  <c r="L95" i="16"/>
  <c r="K95" i="16"/>
  <c r="J95" i="16"/>
  <c r="I95" i="16"/>
  <c r="L96" i="16"/>
  <c r="K96" i="16"/>
  <c r="J96" i="16"/>
  <c r="I96" i="16"/>
  <c r="L81" i="16"/>
  <c r="K81" i="16"/>
  <c r="J81" i="16"/>
  <c r="I81" i="16"/>
  <c r="L78" i="16"/>
  <c r="K78" i="16"/>
  <c r="J78" i="16"/>
  <c r="I78" i="16"/>
  <c r="L70" i="16"/>
  <c r="K70" i="16"/>
  <c r="J70" i="16"/>
  <c r="I70" i="16"/>
  <c r="L71" i="16"/>
  <c r="K71" i="16"/>
  <c r="J71" i="16"/>
  <c r="I71" i="16"/>
  <c r="L61" i="16"/>
  <c r="K61" i="16"/>
  <c r="J61" i="16"/>
  <c r="I61" i="16"/>
  <c r="L72" i="16"/>
  <c r="K72" i="16"/>
  <c r="J72" i="16"/>
  <c r="I72" i="16"/>
  <c r="L73" i="16"/>
  <c r="K73" i="16"/>
  <c r="J73" i="16"/>
  <c r="I73" i="16"/>
  <c r="L74" i="16"/>
  <c r="K74" i="16"/>
  <c r="J74" i="16"/>
  <c r="I74" i="16"/>
  <c r="L75" i="16"/>
  <c r="K75" i="16"/>
  <c r="J75" i="16"/>
  <c r="I75" i="16"/>
  <c r="L76" i="16"/>
  <c r="K76" i="16"/>
  <c r="J76" i="16"/>
  <c r="I76" i="16"/>
  <c r="L97" i="16"/>
  <c r="K97" i="16"/>
  <c r="J97" i="16"/>
  <c r="I97" i="16"/>
  <c r="L98" i="16"/>
  <c r="K98" i="16"/>
  <c r="J98" i="16"/>
  <c r="I98" i="16"/>
  <c r="L63" i="16"/>
  <c r="K63" i="16"/>
  <c r="J63" i="16"/>
  <c r="I63" i="16"/>
  <c r="S18" i="15"/>
  <c r="P18" i="15"/>
  <c r="S20" i="15"/>
  <c r="P20" i="15"/>
  <c r="S22" i="15"/>
  <c r="P22" i="15"/>
  <c r="S23" i="15"/>
  <c r="P23" i="15"/>
  <c r="P21" i="15"/>
  <c r="S21" i="15"/>
  <c r="S68" i="15"/>
  <c r="P68" i="15"/>
  <c r="S70" i="15"/>
  <c r="P70" i="15"/>
  <c r="S72" i="15"/>
  <c r="P72" i="15"/>
  <c r="S73" i="15"/>
  <c r="P73" i="15"/>
  <c r="S74" i="15"/>
  <c r="P74" i="15"/>
  <c r="S75" i="15"/>
  <c r="P75" i="15"/>
  <c r="S76" i="15"/>
  <c r="P76" i="15"/>
  <c r="S78" i="15"/>
  <c r="P78" i="15"/>
  <c r="S80" i="15"/>
  <c r="P80" i="15"/>
  <c r="S81" i="15"/>
  <c r="P81" i="15"/>
  <c r="S82" i="15"/>
  <c r="P82" i="15"/>
  <c r="S79" i="15"/>
  <c r="P79" i="15"/>
  <c r="S69" i="15"/>
  <c r="P69" i="15"/>
  <c r="S77" i="15"/>
  <c r="P77" i="15"/>
  <c r="P71" i="15"/>
  <c r="S71" i="15"/>
  <c r="L4" i="15"/>
  <c r="K4" i="15"/>
  <c r="M4" i="15" s="1"/>
  <c r="N4" i="15" s="1"/>
  <c r="J4" i="15"/>
  <c r="I4" i="15"/>
  <c r="L6" i="15"/>
  <c r="K6" i="15"/>
  <c r="M6" i="15" s="1"/>
  <c r="N6" i="15" s="1"/>
  <c r="J6" i="15"/>
  <c r="I6" i="15"/>
  <c r="L7" i="15"/>
  <c r="K7" i="15"/>
  <c r="J7" i="15"/>
  <c r="I7" i="15"/>
  <c r="L8" i="15"/>
  <c r="K8" i="15"/>
  <c r="J8" i="15"/>
  <c r="I8" i="15"/>
  <c r="L2" i="15"/>
  <c r="K2" i="15"/>
  <c r="M2" i="15" s="1"/>
  <c r="N2" i="15" s="1"/>
  <c r="J2" i="15"/>
  <c r="I2" i="15"/>
  <c r="L3" i="15"/>
  <c r="K3" i="15"/>
  <c r="M3" i="15" s="1"/>
  <c r="N3" i="15" s="1"/>
  <c r="J3" i="15"/>
  <c r="I3" i="15"/>
  <c r="L5" i="15"/>
  <c r="K5" i="15"/>
  <c r="M5" i="15" s="1"/>
  <c r="N5" i="15" s="1"/>
  <c r="J5" i="15"/>
  <c r="I5" i="15"/>
  <c r="L12" i="15"/>
  <c r="K12" i="15"/>
  <c r="M12" i="15" s="1"/>
  <c r="N12" i="15" s="1"/>
  <c r="J12" i="15"/>
  <c r="I12" i="15"/>
  <c r="L13" i="15"/>
  <c r="K13" i="15"/>
  <c r="M13" i="15" s="1"/>
  <c r="N13" i="15" s="1"/>
  <c r="J13" i="15"/>
  <c r="I13" i="15"/>
  <c r="L14" i="15"/>
  <c r="K14" i="15"/>
  <c r="M14" i="15" s="1"/>
  <c r="N14" i="15" s="1"/>
  <c r="J14" i="15"/>
  <c r="I14" i="15"/>
  <c r="L15" i="15"/>
  <c r="K15" i="15"/>
  <c r="M15" i="15" s="1"/>
  <c r="N15" i="15" s="1"/>
  <c r="J15" i="15"/>
  <c r="I15" i="15"/>
  <c r="L17" i="15"/>
  <c r="K17" i="15"/>
  <c r="J17" i="15"/>
  <c r="I17" i="15"/>
  <c r="L21" i="15"/>
  <c r="K21" i="15"/>
  <c r="M21" i="15" s="1"/>
  <c r="N21" i="15" s="1"/>
  <c r="J21" i="15"/>
  <c r="Q21" i="15" s="1"/>
  <c r="R21" i="15" s="1"/>
  <c r="I21" i="15"/>
  <c r="L11" i="15"/>
  <c r="K11" i="15"/>
  <c r="M11" i="15" s="1"/>
  <c r="N11" i="15" s="1"/>
  <c r="J11" i="15"/>
  <c r="I11" i="15"/>
  <c r="L23" i="15"/>
  <c r="K23" i="15"/>
  <c r="M23" i="15" s="1"/>
  <c r="N23" i="15" s="1"/>
  <c r="J23" i="15"/>
  <c r="Q23" i="15" s="1"/>
  <c r="R23" i="15" s="1"/>
  <c r="I23" i="15"/>
  <c r="L20" i="15"/>
  <c r="K20" i="15"/>
  <c r="M20" i="15" s="1"/>
  <c r="N20" i="15" s="1"/>
  <c r="J20" i="15"/>
  <c r="Q20" i="15" s="1"/>
  <c r="R20" i="15" s="1"/>
  <c r="I20" i="15"/>
  <c r="L22" i="15"/>
  <c r="K22" i="15"/>
  <c r="M22" i="15" s="1"/>
  <c r="N22" i="15" s="1"/>
  <c r="J22" i="15"/>
  <c r="Q22" i="15" s="1"/>
  <c r="R22" i="15" s="1"/>
  <c r="I22" i="15"/>
  <c r="L25" i="15"/>
  <c r="K25" i="15"/>
  <c r="J25" i="15"/>
  <c r="I25" i="15"/>
  <c r="L9" i="15"/>
  <c r="K9" i="15"/>
  <c r="M9" i="15" s="1"/>
  <c r="N9" i="15" s="1"/>
  <c r="J9" i="15"/>
  <c r="I9" i="15"/>
  <c r="L10" i="15"/>
  <c r="K10" i="15"/>
  <c r="M10" i="15" s="1"/>
  <c r="N10" i="15" s="1"/>
  <c r="J10" i="15"/>
  <c r="I10" i="15"/>
  <c r="L26" i="15"/>
  <c r="K26" i="15"/>
  <c r="J26" i="15"/>
  <c r="I26" i="15"/>
  <c r="L27" i="15"/>
  <c r="K27" i="15"/>
  <c r="J27" i="15"/>
  <c r="I27" i="15"/>
  <c r="L28" i="15"/>
  <c r="K28" i="15"/>
  <c r="J28" i="15"/>
  <c r="I28" i="15"/>
  <c r="L18" i="15"/>
  <c r="K18" i="15"/>
  <c r="M18" i="15" s="1"/>
  <c r="N18" i="15" s="1"/>
  <c r="J18" i="15"/>
  <c r="Q18" i="15" s="1"/>
  <c r="R18" i="15" s="1"/>
  <c r="I18" i="15"/>
  <c r="L19" i="15"/>
  <c r="K19" i="15"/>
  <c r="J19" i="15"/>
  <c r="I19" i="15"/>
  <c r="L29" i="15"/>
  <c r="K29" i="15"/>
  <c r="J29" i="15"/>
  <c r="I29" i="15"/>
  <c r="L30" i="15"/>
  <c r="K30" i="15"/>
  <c r="J30" i="15"/>
  <c r="I30" i="15"/>
  <c r="L31" i="15"/>
  <c r="K31" i="15"/>
  <c r="J31" i="15"/>
  <c r="I31" i="15"/>
  <c r="L33" i="15"/>
  <c r="K33" i="15"/>
  <c r="J33" i="15"/>
  <c r="I33" i="15"/>
  <c r="L35" i="15"/>
  <c r="K35" i="15"/>
  <c r="M35" i="15" s="1"/>
  <c r="N35" i="15" s="1"/>
  <c r="J35" i="15"/>
  <c r="I35" i="15"/>
  <c r="L36" i="15"/>
  <c r="K36" i="15"/>
  <c r="M36" i="15" s="1"/>
  <c r="N36" i="15" s="1"/>
  <c r="J36" i="15"/>
  <c r="I36" i="15"/>
  <c r="L37" i="15"/>
  <c r="K37" i="15"/>
  <c r="M37" i="15" s="1"/>
  <c r="N37" i="15" s="1"/>
  <c r="J37" i="15"/>
  <c r="I37" i="15"/>
  <c r="L38" i="15"/>
  <c r="K38" i="15"/>
  <c r="M38" i="15" s="1"/>
  <c r="N38" i="15" s="1"/>
  <c r="J38" i="15"/>
  <c r="I38" i="15"/>
  <c r="L39" i="15"/>
  <c r="K39" i="15"/>
  <c r="M39" i="15" s="1"/>
  <c r="N39" i="15" s="1"/>
  <c r="J39" i="15"/>
  <c r="I39" i="15"/>
  <c r="L40" i="15"/>
  <c r="K40" i="15"/>
  <c r="M40" i="15" s="1"/>
  <c r="N40" i="15" s="1"/>
  <c r="J40" i="15"/>
  <c r="I40" i="15"/>
  <c r="L41" i="15"/>
  <c r="K41" i="15"/>
  <c r="M41" i="15" s="1"/>
  <c r="N41" i="15" s="1"/>
  <c r="J41" i="15"/>
  <c r="I41" i="15"/>
  <c r="L43" i="15"/>
  <c r="K43" i="15"/>
  <c r="M43" i="15" s="1"/>
  <c r="N43" i="15" s="1"/>
  <c r="J43" i="15"/>
  <c r="I43" i="15"/>
  <c r="L44" i="15"/>
  <c r="K44" i="15"/>
  <c r="J44" i="15"/>
  <c r="I44" i="15"/>
  <c r="L53" i="15"/>
  <c r="K53" i="15"/>
  <c r="M53" i="15" s="1"/>
  <c r="N53" i="15" s="1"/>
  <c r="J53" i="15"/>
  <c r="I53" i="15"/>
  <c r="L54" i="15"/>
  <c r="K54" i="15"/>
  <c r="M54" i="15" s="1"/>
  <c r="N54" i="15" s="1"/>
  <c r="J54" i="15"/>
  <c r="I54" i="15"/>
  <c r="L52" i="15"/>
  <c r="K52" i="15"/>
  <c r="M52" i="15" s="1"/>
  <c r="N52" i="15" s="1"/>
  <c r="J52" i="15"/>
  <c r="I52" i="15"/>
  <c r="L56" i="15"/>
  <c r="K56" i="15"/>
  <c r="M56" i="15" s="1"/>
  <c r="N56" i="15" s="1"/>
  <c r="J56" i="15"/>
  <c r="I56" i="15"/>
  <c r="L42" i="15"/>
  <c r="K42" i="15"/>
  <c r="M42" i="15" s="1"/>
  <c r="N42" i="15" s="1"/>
  <c r="J42" i="15"/>
  <c r="I42" i="15"/>
  <c r="L60" i="15"/>
  <c r="K60" i="15"/>
  <c r="M60" i="15" s="1"/>
  <c r="N60" i="15" s="1"/>
  <c r="J60" i="15"/>
  <c r="I60" i="15"/>
  <c r="L71" i="15"/>
  <c r="K71" i="15"/>
  <c r="M71" i="15" s="1"/>
  <c r="N71" i="15" s="1"/>
  <c r="J71" i="15"/>
  <c r="Q71" i="15" s="1"/>
  <c r="R71" i="15" s="1"/>
  <c r="I71" i="15"/>
  <c r="L57" i="15"/>
  <c r="K57" i="15"/>
  <c r="M57" i="15" s="1"/>
  <c r="N57" i="15" s="1"/>
  <c r="J57" i="15"/>
  <c r="I57" i="15"/>
  <c r="L58" i="15"/>
  <c r="K58" i="15"/>
  <c r="M58" i="15" s="1"/>
  <c r="N58" i="15" s="1"/>
  <c r="J58" i="15"/>
  <c r="I58" i="15"/>
  <c r="L59" i="15"/>
  <c r="K59" i="15"/>
  <c r="M59" i="15" s="1"/>
  <c r="N59" i="15" s="1"/>
  <c r="J59" i="15"/>
  <c r="I59" i="15"/>
  <c r="L62" i="15"/>
  <c r="K62" i="15"/>
  <c r="J62" i="15"/>
  <c r="I62" i="15"/>
  <c r="L63" i="15"/>
  <c r="K63" i="15"/>
  <c r="J63" i="15"/>
  <c r="I63" i="15"/>
  <c r="L65" i="15"/>
  <c r="K65" i="15"/>
  <c r="J65" i="15"/>
  <c r="I65" i="15"/>
  <c r="L97" i="15"/>
  <c r="K97" i="15"/>
  <c r="J97" i="15"/>
  <c r="I97" i="15"/>
  <c r="L83" i="15"/>
  <c r="K83" i="15"/>
  <c r="J83" i="15"/>
  <c r="I83" i="15"/>
  <c r="L84" i="15"/>
  <c r="K84" i="15"/>
  <c r="J84" i="15"/>
  <c r="I84" i="15"/>
  <c r="L67" i="15"/>
  <c r="K67" i="15"/>
  <c r="J67" i="15"/>
  <c r="I67" i="15"/>
  <c r="L68" i="15"/>
  <c r="K68" i="15"/>
  <c r="M68" i="15" s="1"/>
  <c r="N68" i="15" s="1"/>
  <c r="J68" i="15"/>
  <c r="Q68" i="15" s="1"/>
  <c r="R68" i="15" s="1"/>
  <c r="I68" i="15"/>
  <c r="L92" i="15"/>
  <c r="K92" i="15"/>
  <c r="J92" i="15"/>
  <c r="I92" i="15"/>
  <c r="L70" i="15"/>
  <c r="K70" i="15"/>
  <c r="M70" i="15" s="1"/>
  <c r="N70" i="15" s="1"/>
  <c r="J70" i="15"/>
  <c r="Q70" i="15" s="1"/>
  <c r="R70" i="15" s="1"/>
  <c r="I70" i="15"/>
  <c r="L72" i="15"/>
  <c r="K72" i="15"/>
  <c r="M72" i="15" s="1"/>
  <c r="N72" i="15" s="1"/>
  <c r="J72" i="15"/>
  <c r="Q72" i="15" s="1"/>
  <c r="R72" i="15" s="1"/>
  <c r="I72" i="15"/>
  <c r="L73" i="15"/>
  <c r="K73" i="15"/>
  <c r="M73" i="15" s="1"/>
  <c r="N73" i="15" s="1"/>
  <c r="J73" i="15"/>
  <c r="Q73" i="15" s="1"/>
  <c r="R73" i="15" s="1"/>
  <c r="I73" i="15"/>
  <c r="L74" i="15"/>
  <c r="K74" i="15"/>
  <c r="M74" i="15" s="1"/>
  <c r="N74" i="15" s="1"/>
  <c r="J74" i="15"/>
  <c r="Q74" i="15" s="1"/>
  <c r="R74" i="15" s="1"/>
  <c r="I74" i="15"/>
  <c r="L75" i="15"/>
  <c r="K75" i="15"/>
  <c r="M75" i="15" s="1"/>
  <c r="N75" i="15" s="1"/>
  <c r="J75" i="15"/>
  <c r="Q75" i="15" s="1"/>
  <c r="R75" i="15" s="1"/>
  <c r="I75" i="15"/>
  <c r="L76" i="15"/>
  <c r="K76" i="15"/>
  <c r="M76" i="15" s="1"/>
  <c r="N76" i="15" s="1"/>
  <c r="J76" i="15"/>
  <c r="Q76" i="15" s="1"/>
  <c r="R76" i="15" s="1"/>
  <c r="I76" i="15"/>
  <c r="L78" i="15"/>
  <c r="K78" i="15"/>
  <c r="M78" i="15" s="1"/>
  <c r="N78" i="15" s="1"/>
  <c r="J78" i="15"/>
  <c r="Q78" i="15" s="1"/>
  <c r="R78" i="15" s="1"/>
  <c r="I78" i="15"/>
  <c r="L80" i="15"/>
  <c r="K80" i="15"/>
  <c r="M80" i="15" s="1"/>
  <c r="N80" i="15" s="1"/>
  <c r="J80" i="15"/>
  <c r="Q80" i="15" s="1"/>
  <c r="R80" i="15" s="1"/>
  <c r="I80" i="15"/>
  <c r="L81" i="15"/>
  <c r="K81" i="15"/>
  <c r="M81" i="15" s="1"/>
  <c r="N81" i="15" s="1"/>
  <c r="J81" i="15"/>
  <c r="Q81" i="15" s="1"/>
  <c r="R81" i="15" s="1"/>
  <c r="I81" i="15"/>
  <c r="L61" i="15"/>
  <c r="K61" i="15"/>
  <c r="M61" i="15" s="1"/>
  <c r="N61" i="15" s="1"/>
  <c r="J61" i="15"/>
  <c r="I61" i="15"/>
  <c r="L82" i="15"/>
  <c r="K82" i="15"/>
  <c r="M82" i="15" s="1"/>
  <c r="N82" i="15" s="1"/>
  <c r="J82" i="15"/>
  <c r="Q82" i="15" s="1"/>
  <c r="R82" i="15" s="1"/>
  <c r="I82" i="15"/>
  <c r="L79" i="15"/>
  <c r="K79" i="15"/>
  <c r="M79" i="15" s="1"/>
  <c r="N79" i="15" s="1"/>
  <c r="J79" i="15"/>
  <c r="Q79" i="15" s="1"/>
  <c r="R79" i="15" s="1"/>
  <c r="I79" i="15"/>
  <c r="L46" i="15"/>
  <c r="K46" i="15"/>
  <c r="M46" i="15" s="1"/>
  <c r="N46" i="15" s="1"/>
  <c r="J46" i="15"/>
  <c r="I46" i="15"/>
  <c r="L47" i="15"/>
  <c r="K47" i="15"/>
  <c r="M47" i="15" s="1"/>
  <c r="N47" i="15" s="1"/>
  <c r="J47" i="15"/>
  <c r="I47" i="15"/>
  <c r="L50" i="15"/>
  <c r="K50" i="15"/>
  <c r="M50" i="15" s="1"/>
  <c r="N50" i="15" s="1"/>
  <c r="J50" i="15"/>
  <c r="I50" i="15"/>
  <c r="L51" i="15"/>
  <c r="K51" i="15"/>
  <c r="M51" i="15" s="1"/>
  <c r="N51" i="15" s="1"/>
  <c r="J51" i="15"/>
  <c r="I51" i="15"/>
  <c r="L48" i="15"/>
  <c r="K48" i="15"/>
  <c r="M48" i="15" s="1"/>
  <c r="N48" i="15" s="1"/>
  <c r="J48" i="15"/>
  <c r="I48" i="15"/>
  <c r="L49" i="15"/>
  <c r="K49" i="15"/>
  <c r="M49" i="15" s="1"/>
  <c r="N49" i="15" s="1"/>
  <c r="J49" i="15"/>
  <c r="I49" i="15"/>
  <c r="L85" i="15"/>
  <c r="K85" i="15"/>
  <c r="J85" i="15"/>
  <c r="I85" i="15"/>
  <c r="L86" i="15"/>
  <c r="K86" i="15"/>
  <c r="J86" i="15"/>
  <c r="I86" i="15"/>
  <c r="L55" i="15"/>
  <c r="K55" i="15"/>
  <c r="M55" i="15" s="1"/>
  <c r="N55" i="15" s="1"/>
  <c r="J55" i="15"/>
  <c r="I55" i="15"/>
  <c r="L87" i="15"/>
  <c r="K87" i="15"/>
  <c r="J87" i="15"/>
  <c r="I87" i="15"/>
  <c r="L88" i="15"/>
  <c r="K88" i="15"/>
  <c r="J88" i="15"/>
  <c r="I88" i="15"/>
  <c r="L89" i="15"/>
  <c r="K89" i="15"/>
  <c r="J89" i="15"/>
  <c r="I89" i="15"/>
  <c r="L90" i="15"/>
  <c r="K90" i="15"/>
  <c r="J90" i="15"/>
  <c r="I90" i="15"/>
  <c r="L69" i="15"/>
  <c r="K69" i="15"/>
  <c r="M69" i="15" s="1"/>
  <c r="N69" i="15" s="1"/>
  <c r="J69" i="15"/>
  <c r="Q69" i="15" s="1"/>
  <c r="R69" i="15" s="1"/>
  <c r="I69" i="15"/>
  <c r="L91" i="15"/>
  <c r="K91" i="15"/>
  <c r="J91" i="15"/>
  <c r="I91" i="15"/>
  <c r="L77" i="15"/>
  <c r="K77" i="15"/>
  <c r="M77" i="15" s="1"/>
  <c r="N77" i="15" s="1"/>
  <c r="J77" i="15"/>
  <c r="Q77" i="15" s="1"/>
  <c r="R77" i="15" s="1"/>
  <c r="I77" i="15"/>
  <c r="L94" i="15"/>
  <c r="K94" i="15"/>
  <c r="J94" i="15"/>
  <c r="I94" i="15"/>
  <c r="L95" i="15"/>
  <c r="K95" i="15"/>
  <c r="J95" i="15"/>
  <c r="I95" i="15"/>
  <c r="L6" i="14"/>
  <c r="K6" i="14"/>
  <c r="M6" i="14" s="1"/>
  <c r="N6" i="14" s="1"/>
  <c r="J6" i="14"/>
  <c r="I6" i="14"/>
  <c r="L8" i="14"/>
  <c r="K8" i="14"/>
  <c r="M8" i="14" s="1"/>
  <c r="N8" i="14" s="1"/>
  <c r="J8" i="14"/>
  <c r="I8" i="14"/>
  <c r="L2" i="14"/>
  <c r="K2" i="14"/>
  <c r="M2" i="14" s="1"/>
  <c r="N2" i="14" s="1"/>
  <c r="J2" i="14"/>
  <c r="I2" i="14"/>
  <c r="L3" i="14"/>
  <c r="K3" i="14"/>
  <c r="M3" i="14" s="1"/>
  <c r="N3" i="14" s="1"/>
  <c r="J3" i="14"/>
  <c r="I3" i="14"/>
  <c r="L7" i="14"/>
  <c r="K7" i="14"/>
  <c r="M7" i="14" s="1"/>
  <c r="N7" i="14" s="1"/>
  <c r="J7" i="14"/>
  <c r="I7" i="14"/>
  <c r="L30" i="14"/>
  <c r="K30" i="14"/>
  <c r="J30" i="14"/>
  <c r="I30" i="14"/>
  <c r="L4" i="14"/>
  <c r="K4" i="14"/>
  <c r="J4" i="14"/>
  <c r="I4" i="14"/>
  <c r="L5" i="14"/>
  <c r="K5" i="14"/>
  <c r="J5" i="14"/>
  <c r="I5" i="14"/>
  <c r="L15" i="14"/>
  <c r="K15" i="14"/>
  <c r="J15" i="14"/>
  <c r="I15" i="14"/>
  <c r="L16" i="14"/>
  <c r="K16" i="14"/>
  <c r="J16" i="14"/>
  <c r="I16" i="14"/>
  <c r="L17" i="14"/>
  <c r="K17" i="14"/>
  <c r="J17" i="14"/>
  <c r="I17" i="14"/>
  <c r="L18" i="14"/>
  <c r="K18" i="14"/>
  <c r="J18" i="14"/>
  <c r="I18" i="14"/>
  <c r="L19" i="14"/>
  <c r="K19" i="14"/>
  <c r="J19" i="14"/>
  <c r="I19" i="14"/>
  <c r="L9" i="14"/>
  <c r="K9" i="14"/>
  <c r="M9" i="14" s="1"/>
  <c r="N9" i="14" s="1"/>
  <c r="J9" i="14"/>
  <c r="I9" i="14"/>
  <c r="L10" i="14"/>
  <c r="K10" i="14"/>
  <c r="M10" i="14" s="1"/>
  <c r="N10" i="14" s="1"/>
  <c r="J10" i="14"/>
  <c r="I10" i="14"/>
  <c r="L11" i="14"/>
  <c r="K11" i="14"/>
  <c r="M11" i="14" s="1"/>
  <c r="N11" i="14" s="1"/>
  <c r="J11" i="14"/>
  <c r="I11" i="14"/>
  <c r="L12" i="14"/>
  <c r="K12" i="14"/>
  <c r="M12" i="14" s="1"/>
  <c r="N12" i="14" s="1"/>
  <c r="J12" i="14"/>
  <c r="I12" i="14"/>
  <c r="L14" i="14"/>
  <c r="K14" i="14"/>
  <c r="J14" i="14"/>
  <c r="I14" i="14"/>
  <c r="L22" i="14"/>
  <c r="K22" i="14"/>
  <c r="J22" i="14"/>
  <c r="I22" i="14"/>
  <c r="L23" i="14"/>
  <c r="K23" i="14"/>
  <c r="J23" i="14"/>
  <c r="I23" i="14"/>
  <c r="L21" i="14"/>
  <c r="K21" i="14"/>
  <c r="J21" i="14"/>
  <c r="I21" i="14"/>
  <c r="L24" i="14"/>
  <c r="K24" i="14"/>
  <c r="J24" i="14"/>
  <c r="I24" i="14"/>
  <c r="L25" i="14"/>
  <c r="K25" i="14"/>
  <c r="J25" i="14"/>
  <c r="I25" i="14"/>
  <c r="L26" i="14"/>
  <c r="K26" i="14"/>
  <c r="J26" i="14"/>
  <c r="I26" i="14"/>
  <c r="L27" i="14"/>
  <c r="K27" i="14"/>
  <c r="J27" i="14"/>
  <c r="I27" i="14"/>
  <c r="L28" i="14"/>
  <c r="K28" i="14"/>
  <c r="J28" i="14"/>
  <c r="I28" i="14"/>
  <c r="L29" i="14"/>
  <c r="K29" i="14"/>
  <c r="J29" i="14"/>
  <c r="I29" i="14"/>
  <c r="L31" i="14"/>
  <c r="K31" i="14"/>
  <c r="J31" i="14"/>
  <c r="I31" i="14"/>
  <c r="L33" i="14"/>
  <c r="K33" i="14"/>
  <c r="J33" i="14"/>
  <c r="I33" i="14"/>
  <c r="L35" i="14"/>
  <c r="K35" i="14"/>
  <c r="M35" i="14" s="1"/>
  <c r="N35" i="14" s="1"/>
  <c r="J35" i="14"/>
  <c r="I35" i="14"/>
  <c r="L36" i="14"/>
  <c r="K36" i="14"/>
  <c r="M36" i="14" s="1"/>
  <c r="N36" i="14" s="1"/>
  <c r="J36" i="14"/>
  <c r="I36" i="14"/>
  <c r="L37" i="14"/>
  <c r="K37" i="14"/>
  <c r="M37" i="14" s="1"/>
  <c r="N37" i="14" s="1"/>
  <c r="J37" i="14"/>
  <c r="I37" i="14"/>
  <c r="L45" i="14"/>
  <c r="K45" i="14"/>
  <c r="M45" i="14" s="1"/>
  <c r="N45" i="14" s="1"/>
  <c r="J45" i="14"/>
  <c r="I45" i="14"/>
  <c r="L46" i="14"/>
  <c r="K46" i="14"/>
  <c r="M46" i="14" s="1"/>
  <c r="N46" i="14" s="1"/>
  <c r="J46" i="14"/>
  <c r="I46" i="14"/>
  <c r="L47" i="14"/>
  <c r="K47" i="14"/>
  <c r="M47" i="14" s="1"/>
  <c r="N47" i="14" s="1"/>
  <c r="J47" i="14"/>
  <c r="I47" i="14"/>
  <c r="L38" i="14"/>
  <c r="K38" i="14"/>
  <c r="M38" i="14" s="1"/>
  <c r="N38" i="14" s="1"/>
  <c r="J38" i="14"/>
  <c r="I38" i="14"/>
  <c r="L39" i="14"/>
  <c r="K39" i="14"/>
  <c r="M39" i="14" s="1"/>
  <c r="N39" i="14" s="1"/>
  <c r="J39" i="14"/>
  <c r="I39" i="14"/>
  <c r="L48" i="14"/>
  <c r="K48" i="14"/>
  <c r="M48" i="14" s="1"/>
  <c r="N48" i="14" s="1"/>
  <c r="J48" i="14"/>
  <c r="I48" i="14"/>
  <c r="L49" i="14"/>
  <c r="K49" i="14"/>
  <c r="M49" i="14" s="1"/>
  <c r="N49" i="14" s="1"/>
  <c r="J49" i="14"/>
  <c r="I49" i="14"/>
  <c r="L40" i="14"/>
  <c r="K40" i="14"/>
  <c r="M40" i="14" s="1"/>
  <c r="N40" i="14" s="1"/>
  <c r="J40" i="14"/>
  <c r="I40" i="14"/>
  <c r="L41" i="14"/>
  <c r="K41" i="14"/>
  <c r="M41" i="14" s="1"/>
  <c r="N41" i="14" s="1"/>
  <c r="J41" i="14"/>
  <c r="I41" i="14"/>
  <c r="L42" i="14"/>
  <c r="K42" i="14"/>
  <c r="M42" i="14" s="1"/>
  <c r="N42" i="14" s="1"/>
  <c r="J42" i="14"/>
  <c r="I42" i="14"/>
  <c r="L50" i="14"/>
  <c r="K50" i="14"/>
  <c r="M50" i="14" s="1"/>
  <c r="N50" i="14" s="1"/>
  <c r="J50" i="14"/>
  <c r="I50" i="14"/>
  <c r="L43" i="14"/>
  <c r="K43" i="14"/>
  <c r="J43" i="14"/>
  <c r="I43" i="14"/>
  <c r="L68" i="14"/>
  <c r="K68" i="14"/>
  <c r="J68" i="14"/>
  <c r="I68" i="14"/>
  <c r="L51" i="14"/>
  <c r="K51" i="14"/>
  <c r="M51" i="14" s="1"/>
  <c r="N51" i="14" s="1"/>
  <c r="J51" i="14"/>
  <c r="I51" i="14"/>
  <c r="L69" i="14"/>
  <c r="K69" i="14"/>
  <c r="J69" i="14"/>
  <c r="I69" i="14"/>
  <c r="L70" i="14"/>
  <c r="K70" i="14"/>
  <c r="J70" i="14"/>
  <c r="I70" i="14"/>
  <c r="L71" i="14"/>
  <c r="K71" i="14"/>
  <c r="J71" i="14"/>
  <c r="I71" i="14"/>
  <c r="L72" i="14"/>
  <c r="K72" i="14"/>
  <c r="J72" i="14"/>
  <c r="I72" i="14"/>
  <c r="L73" i="14"/>
  <c r="K73" i="14"/>
  <c r="J73" i="14"/>
  <c r="I73" i="14"/>
  <c r="L74" i="14"/>
  <c r="K74" i="14"/>
  <c r="J74" i="14"/>
  <c r="I74" i="14"/>
  <c r="L75" i="14"/>
  <c r="K75" i="14"/>
  <c r="J75" i="14"/>
  <c r="I75" i="14"/>
  <c r="L76" i="14"/>
  <c r="K76" i="14"/>
  <c r="J76" i="14"/>
  <c r="I76" i="14"/>
  <c r="L77" i="14"/>
  <c r="K77" i="14"/>
  <c r="J77" i="14"/>
  <c r="I77" i="14"/>
  <c r="L78" i="14"/>
  <c r="K78" i="14"/>
  <c r="J78" i="14"/>
  <c r="I78" i="14"/>
  <c r="L98" i="14"/>
  <c r="K98" i="14"/>
  <c r="J98" i="14"/>
  <c r="I98" i="14"/>
  <c r="L52" i="14"/>
  <c r="K52" i="14"/>
  <c r="M52" i="14" s="1"/>
  <c r="N52" i="14" s="1"/>
  <c r="J52" i="14"/>
  <c r="I52" i="14"/>
  <c r="L53" i="14"/>
  <c r="K53" i="14"/>
  <c r="M53" i="14" s="1"/>
  <c r="N53" i="14" s="1"/>
  <c r="J53" i="14"/>
  <c r="I53" i="14"/>
  <c r="L54" i="14"/>
  <c r="K54" i="14"/>
  <c r="M54" i="14" s="1"/>
  <c r="N54" i="14" s="1"/>
  <c r="J54" i="14"/>
  <c r="I54" i="14"/>
  <c r="L67" i="14"/>
  <c r="K67" i="14"/>
  <c r="J67" i="14"/>
  <c r="I67" i="14"/>
  <c r="L82" i="14"/>
  <c r="K82" i="14"/>
  <c r="J82" i="14"/>
  <c r="I82" i="14"/>
  <c r="L83" i="14"/>
  <c r="K83" i="14"/>
  <c r="J83" i="14"/>
  <c r="I83" i="14"/>
  <c r="L84" i="14"/>
  <c r="K84" i="14"/>
  <c r="J84" i="14"/>
  <c r="I84" i="14"/>
  <c r="L62" i="14"/>
  <c r="K62" i="14"/>
  <c r="J62" i="14"/>
  <c r="I62" i="14"/>
  <c r="L85" i="14"/>
  <c r="K85" i="14"/>
  <c r="J85" i="14"/>
  <c r="I85" i="14"/>
  <c r="L86" i="14"/>
  <c r="K86" i="14"/>
  <c r="J86" i="14"/>
  <c r="I86" i="14"/>
  <c r="L87" i="14"/>
  <c r="K87" i="14"/>
  <c r="J87" i="14"/>
  <c r="I87" i="14"/>
  <c r="L88" i="14"/>
  <c r="K88" i="14"/>
  <c r="J88" i="14"/>
  <c r="I88" i="14"/>
  <c r="L89" i="14"/>
  <c r="K89" i="14"/>
  <c r="J89" i="14"/>
  <c r="I89" i="14"/>
  <c r="L90" i="14"/>
  <c r="K90" i="14"/>
  <c r="J90" i="14"/>
  <c r="I90" i="14"/>
  <c r="L91" i="14"/>
  <c r="K91" i="14"/>
  <c r="J91" i="14"/>
  <c r="I91" i="14"/>
  <c r="L92" i="14"/>
  <c r="K92" i="14"/>
  <c r="J92" i="14"/>
  <c r="I92" i="14"/>
  <c r="L93" i="14"/>
  <c r="K93" i="14"/>
  <c r="J93" i="14"/>
  <c r="I93" i="14"/>
  <c r="L94" i="14"/>
  <c r="K94" i="14"/>
  <c r="J94" i="14"/>
  <c r="I94" i="14"/>
  <c r="L95" i="14"/>
  <c r="K95" i="14"/>
  <c r="J95" i="14"/>
  <c r="I95" i="14"/>
  <c r="L96" i="14"/>
  <c r="K96" i="14"/>
  <c r="J96" i="14"/>
  <c r="I96" i="14"/>
  <c r="L97" i="14"/>
  <c r="K97" i="14"/>
  <c r="J97" i="14"/>
  <c r="I97" i="14"/>
  <c r="L79" i="14"/>
  <c r="K79" i="14"/>
  <c r="J79" i="14"/>
  <c r="I79" i="14"/>
  <c r="L55" i="14"/>
  <c r="K55" i="14"/>
  <c r="J55" i="14"/>
  <c r="I55" i="14"/>
  <c r="L80" i="14"/>
  <c r="K80" i="14"/>
  <c r="J80" i="14"/>
  <c r="I80" i="14"/>
  <c r="L81" i="14"/>
  <c r="K81" i="14"/>
  <c r="J81" i="14"/>
  <c r="I81" i="14"/>
  <c r="L99" i="14"/>
  <c r="K99" i="14"/>
  <c r="J99" i="14"/>
  <c r="I99" i="14"/>
  <c r="L56" i="14"/>
  <c r="K56" i="14"/>
  <c r="J56" i="14"/>
  <c r="I56" i="14"/>
  <c r="L58" i="14"/>
  <c r="K58" i="14"/>
  <c r="J58" i="14"/>
  <c r="I58" i="14"/>
  <c r="L65" i="14"/>
  <c r="K65" i="14"/>
  <c r="J65" i="14"/>
  <c r="I65" i="14"/>
  <c r="L66" i="14"/>
  <c r="K66" i="14"/>
  <c r="J66" i="14"/>
  <c r="I66" i="14"/>
  <c r="L20" i="13"/>
  <c r="K20" i="13"/>
  <c r="J20" i="13"/>
  <c r="I20" i="13"/>
  <c r="L9" i="13"/>
  <c r="K9" i="13"/>
  <c r="J9" i="13"/>
  <c r="I9" i="13"/>
  <c r="L21" i="13"/>
  <c r="K21" i="13"/>
  <c r="J21" i="13"/>
  <c r="I21" i="13"/>
  <c r="L22" i="13"/>
  <c r="K22" i="13"/>
  <c r="M22" i="13" s="1"/>
  <c r="N22" i="13" s="1"/>
  <c r="J22" i="13"/>
  <c r="I22" i="13"/>
  <c r="L2" i="13"/>
  <c r="K2" i="13"/>
  <c r="M2" i="13" s="1"/>
  <c r="N2" i="13" s="1"/>
  <c r="J2" i="13"/>
  <c r="I2" i="13"/>
  <c r="L6" i="13"/>
  <c r="K6" i="13"/>
  <c r="J6" i="13"/>
  <c r="I6" i="13"/>
  <c r="L29" i="13"/>
  <c r="K29" i="13"/>
  <c r="J29" i="13"/>
  <c r="I29" i="13"/>
  <c r="L3" i="13"/>
  <c r="K3" i="13"/>
  <c r="M3" i="13" s="1"/>
  <c r="N3" i="13" s="1"/>
  <c r="J3" i="13"/>
  <c r="I3" i="13"/>
  <c r="L4" i="13"/>
  <c r="K4" i="13"/>
  <c r="M4" i="13" s="1"/>
  <c r="N4" i="13" s="1"/>
  <c r="J4" i="13"/>
  <c r="I4" i="13"/>
  <c r="L5" i="13"/>
  <c r="K5" i="13"/>
  <c r="M5" i="13" s="1"/>
  <c r="N5" i="13" s="1"/>
  <c r="J5" i="13"/>
  <c r="I5" i="13"/>
  <c r="L15" i="13"/>
  <c r="K15" i="13"/>
  <c r="J15" i="13"/>
  <c r="I15" i="13"/>
  <c r="L16" i="13"/>
  <c r="K16" i="13"/>
  <c r="J16" i="13"/>
  <c r="I16" i="13"/>
  <c r="L17" i="13"/>
  <c r="K17" i="13"/>
  <c r="J17" i="13"/>
  <c r="I17" i="13"/>
  <c r="L18" i="13"/>
  <c r="K18" i="13"/>
  <c r="J18" i="13"/>
  <c r="I18" i="13"/>
  <c r="L7" i="13"/>
  <c r="K7" i="13"/>
  <c r="J7" i="13"/>
  <c r="I7" i="13"/>
  <c r="L8" i="13"/>
  <c r="K8" i="13"/>
  <c r="J8" i="13"/>
  <c r="I8" i="13"/>
  <c r="L24" i="13"/>
  <c r="K24" i="13"/>
  <c r="J24" i="13"/>
  <c r="I24" i="13"/>
  <c r="L25" i="13"/>
  <c r="K25" i="13"/>
  <c r="M25" i="13" s="1"/>
  <c r="N25" i="13" s="1"/>
  <c r="J25" i="13"/>
  <c r="I25" i="13"/>
  <c r="L26" i="13"/>
  <c r="K26" i="13"/>
  <c r="J26" i="13"/>
  <c r="I26" i="13"/>
  <c r="L27" i="13"/>
  <c r="K27" i="13"/>
  <c r="J27" i="13"/>
  <c r="I27" i="13"/>
  <c r="L28" i="13"/>
  <c r="K28" i="13"/>
  <c r="J28" i="13"/>
  <c r="I28" i="13"/>
  <c r="L30" i="13"/>
  <c r="K30" i="13"/>
  <c r="J30" i="13"/>
  <c r="I30" i="13"/>
  <c r="L13" i="13"/>
  <c r="K13" i="13"/>
  <c r="J13" i="13"/>
  <c r="I13" i="13"/>
  <c r="L14" i="13"/>
  <c r="K14" i="13"/>
  <c r="J14" i="13"/>
  <c r="I14" i="13"/>
  <c r="L10" i="13"/>
  <c r="K10" i="13"/>
  <c r="J10" i="13"/>
  <c r="I10" i="13"/>
  <c r="L11" i="13"/>
  <c r="K11" i="13"/>
  <c r="J11" i="13"/>
  <c r="I11" i="13"/>
  <c r="L12" i="13"/>
  <c r="K12" i="13"/>
  <c r="J12" i="13"/>
  <c r="I12" i="13"/>
  <c r="L31" i="13"/>
  <c r="K31" i="13"/>
  <c r="J31" i="13"/>
  <c r="I31" i="13"/>
  <c r="L33" i="13"/>
  <c r="K33" i="13"/>
  <c r="J33" i="13"/>
  <c r="I33" i="13"/>
  <c r="L68" i="13"/>
  <c r="K68" i="13"/>
  <c r="M68" i="13" s="1"/>
  <c r="N68" i="13" s="1"/>
  <c r="J68" i="13"/>
  <c r="I68" i="13"/>
  <c r="L73" i="13"/>
  <c r="K73" i="13"/>
  <c r="M73" i="13" s="1"/>
  <c r="N73" i="13" s="1"/>
  <c r="J73" i="13"/>
  <c r="O73" i="13" s="1"/>
  <c r="P73" i="13" s="1"/>
  <c r="I73" i="13"/>
  <c r="L74" i="13"/>
  <c r="K74" i="13"/>
  <c r="M74" i="13" s="1"/>
  <c r="N74" i="13" s="1"/>
  <c r="J74" i="13"/>
  <c r="O74" i="13" s="1"/>
  <c r="P74" i="13" s="1"/>
  <c r="I74" i="13"/>
  <c r="L75" i="13"/>
  <c r="K75" i="13"/>
  <c r="M75" i="13" s="1"/>
  <c r="N75" i="13" s="1"/>
  <c r="J75" i="13"/>
  <c r="O75" i="13" s="1"/>
  <c r="P75" i="13" s="1"/>
  <c r="I75" i="13"/>
  <c r="L76" i="13"/>
  <c r="K76" i="13"/>
  <c r="M76" i="13" s="1"/>
  <c r="N76" i="13" s="1"/>
  <c r="J76" i="13"/>
  <c r="O76" i="13" s="1"/>
  <c r="P76" i="13" s="1"/>
  <c r="I76" i="13"/>
  <c r="L69" i="13"/>
  <c r="K69" i="13"/>
  <c r="M69" i="13" s="1"/>
  <c r="N69" i="13" s="1"/>
  <c r="J69" i="13"/>
  <c r="I69" i="13"/>
  <c r="L70" i="13"/>
  <c r="K70" i="13"/>
  <c r="M70" i="13" s="1"/>
  <c r="N70" i="13" s="1"/>
  <c r="J70" i="13"/>
  <c r="I70" i="13"/>
  <c r="L35" i="13"/>
  <c r="K35" i="13"/>
  <c r="M35" i="13" s="1"/>
  <c r="N35" i="13" s="1"/>
  <c r="J35" i="13"/>
  <c r="I35" i="13"/>
  <c r="L36" i="13"/>
  <c r="K36" i="13"/>
  <c r="M36" i="13" s="1"/>
  <c r="N36" i="13" s="1"/>
  <c r="J36" i="13"/>
  <c r="I36" i="13"/>
  <c r="L37" i="13"/>
  <c r="K37" i="13"/>
  <c r="M37" i="13" s="1"/>
  <c r="N37" i="13" s="1"/>
  <c r="J37" i="13"/>
  <c r="I37" i="13"/>
  <c r="L52" i="13"/>
  <c r="K52" i="13"/>
  <c r="J52" i="13"/>
  <c r="I52" i="13"/>
  <c r="L38" i="13"/>
  <c r="K38" i="13"/>
  <c r="M38" i="13" s="1"/>
  <c r="N38" i="13" s="1"/>
  <c r="J38" i="13"/>
  <c r="I38" i="13"/>
  <c r="L53" i="13"/>
  <c r="K53" i="13"/>
  <c r="J53" i="13"/>
  <c r="I53" i="13"/>
  <c r="L88" i="13"/>
  <c r="K88" i="13"/>
  <c r="J88" i="13"/>
  <c r="I88" i="13"/>
  <c r="L39" i="13"/>
  <c r="K39" i="13"/>
  <c r="M39" i="13" s="1"/>
  <c r="N39" i="13" s="1"/>
  <c r="J39" i="13"/>
  <c r="I39" i="13"/>
  <c r="L40" i="13"/>
  <c r="K40" i="13"/>
  <c r="M40" i="13" s="1"/>
  <c r="N40" i="13" s="1"/>
  <c r="J40" i="13"/>
  <c r="I40" i="13"/>
  <c r="L41" i="13"/>
  <c r="K41" i="13"/>
  <c r="M41" i="13" s="1"/>
  <c r="N41" i="13" s="1"/>
  <c r="J41" i="13"/>
  <c r="I41" i="13"/>
  <c r="L42" i="13"/>
  <c r="K42" i="13"/>
  <c r="M42" i="13" s="1"/>
  <c r="N42" i="13" s="1"/>
  <c r="J42" i="13"/>
  <c r="I42" i="13"/>
  <c r="L43" i="13"/>
  <c r="K43" i="13"/>
  <c r="M43" i="13" s="1"/>
  <c r="N43" i="13" s="1"/>
  <c r="J43" i="13"/>
  <c r="I43" i="13"/>
  <c r="L63" i="13"/>
  <c r="K63" i="13"/>
  <c r="J63" i="13"/>
  <c r="I63" i="13"/>
  <c r="L44" i="13"/>
  <c r="K44" i="13"/>
  <c r="M44" i="13" s="1"/>
  <c r="N44" i="13" s="1"/>
  <c r="J44" i="13"/>
  <c r="I44" i="13"/>
  <c r="L45" i="13"/>
  <c r="K45" i="13"/>
  <c r="M45" i="13" s="1"/>
  <c r="N45" i="13" s="1"/>
  <c r="J45" i="13"/>
  <c r="I45" i="13"/>
  <c r="L46" i="13"/>
  <c r="K46" i="13"/>
  <c r="M46" i="13" s="1"/>
  <c r="N46" i="13" s="1"/>
  <c r="J46" i="13"/>
  <c r="I46" i="13"/>
  <c r="L47" i="13"/>
  <c r="K47" i="13"/>
  <c r="M47" i="13" s="1"/>
  <c r="N47" i="13" s="1"/>
  <c r="J47" i="13"/>
  <c r="I47" i="13"/>
  <c r="L64" i="13"/>
  <c r="K64" i="13"/>
  <c r="J64" i="13"/>
  <c r="I64" i="13"/>
  <c r="L65" i="13"/>
  <c r="K65" i="13"/>
  <c r="J65" i="13"/>
  <c r="I65" i="13"/>
  <c r="L48" i="13"/>
  <c r="K48" i="13"/>
  <c r="M48" i="13" s="1"/>
  <c r="N48" i="13" s="1"/>
  <c r="J48" i="13"/>
  <c r="I48" i="13"/>
  <c r="L66" i="13"/>
  <c r="K66" i="13"/>
  <c r="J66" i="13"/>
  <c r="I66" i="13"/>
  <c r="L90" i="13"/>
  <c r="K90" i="13"/>
  <c r="J90" i="13"/>
  <c r="I90" i="13"/>
  <c r="L49" i="13"/>
  <c r="K49" i="13"/>
  <c r="J49" i="13"/>
  <c r="I49" i="13"/>
  <c r="L87" i="13"/>
  <c r="K87" i="13"/>
  <c r="J87" i="13"/>
  <c r="I87" i="13"/>
  <c r="L67" i="13"/>
  <c r="K67" i="13"/>
  <c r="J67" i="13"/>
  <c r="I67" i="13"/>
  <c r="L77" i="13"/>
  <c r="K77" i="13"/>
  <c r="M77" i="13" s="1"/>
  <c r="N77" i="13" s="1"/>
  <c r="J77" i="13"/>
  <c r="O77" i="13" s="1"/>
  <c r="P77" i="13" s="1"/>
  <c r="I77" i="13"/>
  <c r="L78" i="13"/>
  <c r="K78" i="13"/>
  <c r="M78" i="13" s="1"/>
  <c r="N78" i="13" s="1"/>
  <c r="J78" i="13"/>
  <c r="O78" i="13" s="1"/>
  <c r="P78" i="13" s="1"/>
  <c r="I78" i="13"/>
  <c r="L79" i="13"/>
  <c r="K79" i="13"/>
  <c r="M79" i="13" s="1"/>
  <c r="N79" i="13" s="1"/>
  <c r="J79" i="13"/>
  <c r="O79" i="13" s="1"/>
  <c r="P79" i="13" s="1"/>
  <c r="I79" i="13"/>
  <c r="L80" i="13"/>
  <c r="K80" i="13"/>
  <c r="M80" i="13" s="1"/>
  <c r="N80" i="13" s="1"/>
  <c r="J80" i="13"/>
  <c r="O80" i="13" s="1"/>
  <c r="P80" i="13" s="1"/>
  <c r="I80" i="13"/>
  <c r="L81" i="13"/>
  <c r="K81" i="13"/>
  <c r="M81" i="13" s="1"/>
  <c r="N81" i="13" s="1"/>
  <c r="J81" i="13"/>
  <c r="O81" i="13" s="1"/>
  <c r="P81" i="13" s="1"/>
  <c r="I81" i="13"/>
  <c r="L82" i="13"/>
  <c r="K82" i="13"/>
  <c r="M82" i="13" s="1"/>
  <c r="N82" i="13" s="1"/>
  <c r="J82" i="13"/>
  <c r="O82" i="13" s="1"/>
  <c r="P82" i="13" s="1"/>
  <c r="I82" i="13"/>
  <c r="L83" i="13"/>
  <c r="K83" i="13"/>
  <c r="M83" i="13" s="1"/>
  <c r="N83" i="13" s="1"/>
  <c r="J83" i="13"/>
  <c r="O83" i="13" s="1"/>
  <c r="P83" i="13" s="1"/>
  <c r="I83" i="13"/>
  <c r="L51" i="13"/>
  <c r="K51" i="13"/>
  <c r="J51" i="13"/>
  <c r="I51" i="13"/>
  <c r="L84" i="13"/>
  <c r="K84" i="13"/>
  <c r="M84" i="13" s="1"/>
  <c r="N84" i="13" s="1"/>
  <c r="J84" i="13"/>
  <c r="O84" i="13" s="1"/>
  <c r="P84" i="13" s="1"/>
  <c r="I84" i="13"/>
  <c r="L54" i="13"/>
  <c r="K54" i="13"/>
  <c r="J54" i="13"/>
  <c r="I54" i="13"/>
  <c r="L56" i="13"/>
  <c r="K56" i="13"/>
  <c r="J56" i="13"/>
  <c r="I56" i="13"/>
  <c r="L57" i="13"/>
  <c r="K57" i="13"/>
  <c r="J57" i="13"/>
  <c r="I57" i="13"/>
  <c r="L55" i="13"/>
  <c r="K55" i="13"/>
  <c r="J55" i="13"/>
  <c r="I55" i="13"/>
  <c r="L58" i="13"/>
  <c r="K58" i="13"/>
  <c r="J58" i="13"/>
  <c r="I58" i="13"/>
  <c r="L59" i="13"/>
  <c r="K59" i="13"/>
  <c r="J59" i="13"/>
  <c r="I59" i="13"/>
  <c r="L60" i="13"/>
  <c r="K60" i="13"/>
  <c r="J60" i="13"/>
  <c r="I60" i="13"/>
  <c r="L85" i="13"/>
  <c r="K85" i="13"/>
  <c r="M85" i="13" s="1"/>
  <c r="N85" i="13" s="1"/>
  <c r="J85" i="13"/>
  <c r="O85" i="13" s="1"/>
  <c r="P85" i="13" s="1"/>
  <c r="I85" i="13"/>
  <c r="L89" i="13"/>
  <c r="K89" i="13"/>
  <c r="J89" i="13"/>
  <c r="I89" i="13"/>
  <c r="L62" i="13"/>
  <c r="K62" i="13"/>
  <c r="J62" i="13"/>
  <c r="I62" i="13"/>
  <c r="L61" i="13"/>
  <c r="K61" i="13"/>
  <c r="J61" i="13"/>
  <c r="I61" i="13"/>
  <c r="L86" i="13"/>
  <c r="K86" i="13"/>
  <c r="M86" i="13" s="1"/>
  <c r="N86" i="13" s="1"/>
  <c r="J86" i="13"/>
  <c r="O86" i="13" s="1"/>
  <c r="P86" i="13" s="1"/>
  <c r="I86" i="13"/>
  <c r="L71" i="13"/>
  <c r="K71" i="13"/>
  <c r="J71" i="13"/>
  <c r="I71" i="13"/>
  <c r="L91" i="13"/>
  <c r="K91" i="13"/>
  <c r="J91" i="13"/>
  <c r="I91" i="13"/>
  <c r="L93" i="13"/>
  <c r="K93" i="13"/>
  <c r="J93" i="13"/>
  <c r="I93" i="13"/>
  <c r="L98" i="13"/>
  <c r="K98" i="13"/>
  <c r="J98" i="13"/>
  <c r="I98" i="13"/>
  <c r="L99" i="13"/>
  <c r="K99" i="13"/>
  <c r="J99" i="13"/>
  <c r="I99" i="13"/>
  <c r="L5" i="12"/>
  <c r="K5" i="12"/>
  <c r="M5" i="12" s="1"/>
  <c r="N5" i="12" s="1"/>
  <c r="J5" i="12"/>
  <c r="I5" i="12"/>
  <c r="L8" i="12"/>
  <c r="K8" i="12"/>
  <c r="M8" i="12" s="1"/>
  <c r="N8" i="12" s="1"/>
  <c r="J8" i="12"/>
  <c r="I8" i="12"/>
  <c r="L9" i="12"/>
  <c r="K9" i="12"/>
  <c r="M9" i="12" s="1"/>
  <c r="N9" i="12" s="1"/>
  <c r="J9" i="12"/>
  <c r="I9" i="12"/>
  <c r="L14" i="12"/>
  <c r="K14" i="12"/>
  <c r="J14" i="12"/>
  <c r="I14" i="12"/>
  <c r="L15" i="12"/>
  <c r="K15" i="12"/>
  <c r="J15" i="12"/>
  <c r="I15" i="12"/>
  <c r="L2" i="12"/>
  <c r="K2" i="12"/>
  <c r="M2" i="12" s="1"/>
  <c r="N2" i="12" s="1"/>
  <c r="J2" i="12"/>
  <c r="I2" i="12"/>
  <c r="L3" i="12"/>
  <c r="K3" i="12"/>
  <c r="M3" i="12" s="1"/>
  <c r="N3" i="12" s="1"/>
  <c r="J3" i="12"/>
  <c r="I3" i="12"/>
  <c r="L4" i="12"/>
  <c r="K4" i="12"/>
  <c r="M4" i="12" s="1"/>
  <c r="N4" i="12" s="1"/>
  <c r="J4" i="12"/>
  <c r="I4" i="12"/>
  <c r="L7" i="12"/>
  <c r="K7" i="12"/>
  <c r="M7" i="12" s="1"/>
  <c r="N7" i="12" s="1"/>
  <c r="J7" i="12"/>
  <c r="I7" i="12"/>
  <c r="L29" i="12"/>
  <c r="K29" i="12"/>
  <c r="M29" i="12" s="1"/>
  <c r="N29" i="12" s="1"/>
  <c r="J29" i="12"/>
  <c r="I29" i="12"/>
  <c r="L30" i="12"/>
  <c r="K30" i="12"/>
  <c r="M30" i="12" s="1"/>
  <c r="N30" i="12" s="1"/>
  <c r="J30" i="12"/>
  <c r="I30" i="12"/>
  <c r="L10" i="12"/>
  <c r="K10" i="12"/>
  <c r="M10" i="12" s="1"/>
  <c r="N10" i="12" s="1"/>
  <c r="J10" i="12"/>
  <c r="I10" i="12"/>
  <c r="L11" i="12"/>
  <c r="K11" i="12"/>
  <c r="M11" i="12" s="1"/>
  <c r="N11" i="12" s="1"/>
  <c r="J11" i="12"/>
  <c r="I11" i="12"/>
  <c r="L12" i="12"/>
  <c r="K12" i="12"/>
  <c r="M12" i="12" s="1"/>
  <c r="N12" i="12" s="1"/>
  <c r="J12" i="12"/>
  <c r="I12" i="12"/>
  <c r="L13" i="12"/>
  <c r="K13" i="12"/>
  <c r="M13" i="12" s="1"/>
  <c r="N13" i="12" s="1"/>
  <c r="J13" i="12"/>
  <c r="I13" i="12"/>
  <c r="L6" i="12"/>
  <c r="K6" i="12"/>
  <c r="M6" i="12" s="1"/>
  <c r="N6" i="12" s="1"/>
  <c r="J6" i="12"/>
  <c r="I6" i="12"/>
  <c r="L25" i="12"/>
  <c r="K25" i="12"/>
  <c r="M25" i="12" s="1"/>
  <c r="N25" i="12" s="1"/>
  <c r="J25" i="12"/>
  <c r="I25" i="12"/>
  <c r="L26" i="12"/>
  <c r="K26" i="12"/>
  <c r="M26" i="12" s="1"/>
  <c r="N26" i="12" s="1"/>
  <c r="J26" i="12"/>
  <c r="I26" i="12"/>
  <c r="L20" i="12"/>
  <c r="K20" i="12"/>
  <c r="J20" i="12"/>
  <c r="I20" i="12"/>
  <c r="L21" i="12"/>
  <c r="K21" i="12"/>
  <c r="M21" i="12" s="1"/>
  <c r="N21" i="12" s="1"/>
  <c r="J21" i="12"/>
  <c r="I21" i="12"/>
  <c r="L22" i="12"/>
  <c r="K22" i="12"/>
  <c r="M22" i="12" s="1"/>
  <c r="N22" i="12" s="1"/>
  <c r="J22" i="12"/>
  <c r="I22" i="12"/>
  <c r="L23" i="12"/>
  <c r="K23" i="12"/>
  <c r="M23" i="12" s="1"/>
  <c r="N23" i="12" s="1"/>
  <c r="J23" i="12"/>
  <c r="I23" i="12"/>
  <c r="L24" i="12"/>
  <c r="K24" i="12"/>
  <c r="M24" i="12" s="1"/>
  <c r="N24" i="12" s="1"/>
  <c r="J24" i="12"/>
  <c r="I24" i="12"/>
  <c r="L27" i="12"/>
  <c r="K27" i="12"/>
  <c r="M27" i="12" s="1"/>
  <c r="N27" i="12" s="1"/>
  <c r="J27" i="12"/>
  <c r="I27" i="12"/>
  <c r="L28" i="12"/>
  <c r="K28" i="12"/>
  <c r="M28" i="12" s="1"/>
  <c r="N28" i="12" s="1"/>
  <c r="J28" i="12"/>
  <c r="I28" i="12"/>
  <c r="L31" i="12"/>
  <c r="K31" i="12"/>
  <c r="J31" i="12"/>
  <c r="I31" i="12"/>
  <c r="L32" i="12"/>
  <c r="K32" i="12"/>
  <c r="J32" i="12"/>
  <c r="I32" i="12"/>
  <c r="L33" i="12"/>
  <c r="K33" i="12"/>
  <c r="J33" i="12"/>
  <c r="I33" i="12"/>
  <c r="L42" i="12"/>
  <c r="K42" i="12"/>
  <c r="M42" i="12" s="1"/>
  <c r="N42" i="12" s="1"/>
  <c r="J42" i="12"/>
  <c r="I42" i="12"/>
  <c r="L43" i="12"/>
  <c r="K43" i="12"/>
  <c r="M43" i="12" s="1"/>
  <c r="N43" i="12" s="1"/>
  <c r="J43" i="12"/>
  <c r="I43" i="12"/>
  <c r="L51" i="12"/>
  <c r="K51" i="12"/>
  <c r="M51" i="12" s="1"/>
  <c r="N51" i="12" s="1"/>
  <c r="J51" i="12"/>
  <c r="I51" i="12"/>
  <c r="L52" i="12"/>
  <c r="K52" i="12"/>
  <c r="M52" i="12" s="1"/>
  <c r="N52" i="12" s="1"/>
  <c r="J52" i="12"/>
  <c r="I52" i="12"/>
  <c r="L44" i="12"/>
  <c r="K44" i="12"/>
  <c r="M44" i="12" s="1"/>
  <c r="N44" i="12" s="1"/>
  <c r="J44" i="12"/>
  <c r="I44" i="12"/>
  <c r="L58" i="12"/>
  <c r="K58" i="12"/>
  <c r="M58" i="12" s="1"/>
  <c r="N58" i="12" s="1"/>
  <c r="J58" i="12"/>
  <c r="I58" i="12"/>
  <c r="L56" i="12"/>
  <c r="K56" i="12"/>
  <c r="M56" i="12" s="1"/>
  <c r="N56" i="12" s="1"/>
  <c r="J56" i="12"/>
  <c r="I56" i="12"/>
  <c r="L57" i="12"/>
  <c r="K57" i="12"/>
  <c r="M57" i="12" s="1"/>
  <c r="N57" i="12" s="1"/>
  <c r="J57" i="12"/>
  <c r="I57" i="12"/>
  <c r="L63" i="12"/>
  <c r="K63" i="12"/>
  <c r="J63" i="12"/>
  <c r="I63" i="12"/>
  <c r="L64" i="12"/>
  <c r="K64" i="12"/>
  <c r="J64" i="12"/>
  <c r="I64" i="12"/>
  <c r="L67" i="12"/>
  <c r="K67" i="12"/>
  <c r="J67" i="12"/>
  <c r="I67" i="12"/>
  <c r="L35" i="12"/>
  <c r="K35" i="12"/>
  <c r="M35" i="12" s="1"/>
  <c r="N35" i="12" s="1"/>
  <c r="J35" i="12"/>
  <c r="I35" i="12"/>
  <c r="L40" i="12"/>
  <c r="K40" i="12"/>
  <c r="M40" i="12" s="1"/>
  <c r="N40" i="12" s="1"/>
  <c r="J40" i="12"/>
  <c r="I40" i="12"/>
  <c r="L41" i="12"/>
  <c r="K41" i="12"/>
  <c r="M41" i="12" s="1"/>
  <c r="N41" i="12" s="1"/>
  <c r="J41" i="12"/>
  <c r="I41" i="12"/>
  <c r="L45" i="12"/>
  <c r="K45" i="12"/>
  <c r="M45" i="12" s="1"/>
  <c r="N45" i="12" s="1"/>
  <c r="J45" i="12"/>
  <c r="I45" i="12"/>
  <c r="L46" i="12"/>
  <c r="K46" i="12"/>
  <c r="M46" i="12" s="1"/>
  <c r="N46" i="12" s="1"/>
  <c r="J46" i="12"/>
  <c r="I46" i="12"/>
  <c r="L50" i="12"/>
  <c r="K50" i="12"/>
  <c r="M50" i="12" s="1"/>
  <c r="N50" i="12" s="1"/>
  <c r="J50" i="12"/>
  <c r="I50" i="12"/>
  <c r="L53" i="12"/>
  <c r="K53" i="12"/>
  <c r="M53" i="12" s="1"/>
  <c r="N53" i="12" s="1"/>
  <c r="J53" i="12"/>
  <c r="I53" i="12"/>
  <c r="L54" i="12"/>
  <c r="K54" i="12"/>
  <c r="M54" i="12" s="1"/>
  <c r="N54" i="12" s="1"/>
  <c r="J54" i="12"/>
  <c r="I54" i="12"/>
  <c r="L55" i="12"/>
  <c r="K55" i="12"/>
  <c r="M55" i="12" s="1"/>
  <c r="N55" i="12" s="1"/>
  <c r="J55" i="12"/>
  <c r="I55" i="12"/>
  <c r="L59" i="12"/>
  <c r="K59" i="12"/>
  <c r="M59" i="12" s="1"/>
  <c r="N59" i="12" s="1"/>
  <c r="J59" i="12"/>
  <c r="I59" i="12"/>
  <c r="L60" i="12"/>
  <c r="K60" i="12"/>
  <c r="M60" i="12" s="1"/>
  <c r="N60" i="12" s="1"/>
  <c r="J60" i="12"/>
  <c r="I60" i="12"/>
  <c r="L61" i="12"/>
  <c r="K61" i="12"/>
  <c r="M61" i="12" s="1"/>
  <c r="N61" i="12" s="1"/>
  <c r="J61" i="12"/>
  <c r="I61" i="12"/>
  <c r="L62" i="12"/>
  <c r="K62" i="12"/>
  <c r="M62" i="12" s="1"/>
  <c r="N62" i="12" s="1"/>
  <c r="J62" i="12"/>
  <c r="I62" i="12"/>
  <c r="L91" i="12"/>
  <c r="K91" i="12"/>
  <c r="J91" i="12"/>
  <c r="I91" i="12"/>
  <c r="L65" i="12"/>
  <c r="K65" i="12"/>
  <c r="J65" i="12"/>
  <c r="I65" i="12"/>
  <c r="L89" i="12"/>
  <c r="K89" i="12"/>
  <c r="J89" i="12"/>
  <c r="I89" i="12"/>
  <c r="L93" i="12"/>
  <c r="K93" i="12"/>
  <c r="J93" i="12"/>
  <c r="I93" i="12"/>
  <c r="L36" i="12"/>
  <c r="K36" i="12"/>
  <c r="M36" i="12" s="1"/>
  <c r="N36" i="12" s="1"/>
  <c r="J36" i="12"/>
  <c r="I36" i="12"/>
  <c r="L37" i="12"/>
  <c r="K37" i="12"/>
  <c r="M37" i="12" s="1"/>
  <c r="N37" i="12" s="1"/>
  <c r="J37" i="12"/>
  <c r="I37" i="12"/>
  <c r="L68" i="12"/>
  <c r="K68" i="12"/>
  <c r="M68" i="12" s="1"/>
  <c r="J68" i="12"/>
  <c r="I68" i="12"/>
  <c r="L38" i="12"/>
  <c r="K38" i="12"/>
  <c r="M38" i="12" s="1"/>
  <c r="N38" i="12" s="1"/>
  <c r="J38" i="12"/>
  <c r="I38" i="12"/>
  <c r="L69" i="12"/>
  <c r="K69" i="12"/>
  <c r="J69" i="12"/>
  <c r="I69" i="12"/>
  <c r="L73" i="12"/>
  <c r="K73" i="12"/>
  <c r="J73" i="12"/>
  <c r="I73" i="12"/>
  <c r="L74" i="12"/>
  <c r="K74" i="12"/>
  <c r="J74" i="12"/>
  <c r="I74" i="12"/>
  <c r="L75" i="12"/>
  <c r="K75" i="12"/>
  <c r="J75" i="12"/>
  <c r="I75" i="12"/>
  <c r="L78" i="12"/>
  <c r="K78" i="12"/>
  <c r="J78" i="12"/>
  <c r="I78" i="12"/>
  <c r="L83" i="12"/>
  <c r="K83" i="12"/>
  <c r="J83" i="12"/>
  <c r="I83" i="12"/>
  <c r="L84" i="12"/>
  <c r="K84" i="12"/>
  <c r="J84" i="12"/>
  <c r="I84" i="12"/>
  <c r="L85" i="12"/>
  <c r="K85" i="12"/>
  <c r="J85" i="12"/>
  <c r="I85" i="12"/>
  <c r="L47" i="12"/>
  <c r="K47" i="12"/>
  <c r="M47" i="12" s="1"/>
  <c r="N47" i="12" s="1"/>
  <c r="J47" i="12"/>
  <c r="I47" i="12"/>
  <c r="L48" i="12"/>
  <c r="K48" i="12"/>
  <c r="M48" i="12" s="1"/>
  <c r="N48" i="12" s="1"/>
  <c r="J48" i="12"/>
  <c r="I48" i="12"/>
  <c r="L86" i="12"/>
  <c r="K86" i="12"/>
  <c r="J86" i="12"/>
  <c r="I86" i="12"/>
  <c r="L87" i="12"/>
  <c r="K87" i="12"/>
  <c r="J87" i="12"/>
  <c r="I87" i="12"/>
  <c r="L49" i="12"/>
  <c r="K49" i="12"/>
  <c r="M49" i="12" s="1"/>
  <c r="N49" i="12" s="1"/>
  <c r="J49" i="12"/>
  <c r="I49" i="12"/>
  <c r="L39" i="12"/>
  <c r="K39" i="12"/>
  <c r="M39" i="12" s="1"/>
  <c r="N39" i="12" s="1"/>
  <c r="J39" i="12"/>
  <c r="I39" i="12"/>
  <c r="L70" i="12"/>
  <c r="K70" i="12"/>
  <c r="J70" i="12"/>
  <c r="I70" i="12"/>
  <c r="L71" i="12"/>
  <c r="K71" i="12"/>
  <c r="J71" i="12"/>
  <c r="I71" i="12"/>
  <c r="L72" i="12"/>
  <c r="K72" i="12"/>
  <c r="J72" i="12"/>
  <c r="I72" i="12"/>
  <c r="L76" i="12"/>
  <c r="K76" i="12"/>
  <c r="J76" i="12"/>
  <c r="I76" i="12"/>
  <c r="L77" i="12"/>
  <c r="K77" i="12"/>
  <c r="J77" i="12"/>
  <c r="I77" i="12"/>
  <c r="L79" i="12"/>
  <c r="K79" i="12"/>
  <c r="J79" i="12"/>
  <c r="I79" i="12"/>
  <c r="L80" i="12"/>
  <c r="K80" i="12"/>
  <c r="J80" i="12"/>
  <c r="I80" i="12"/>
  <c r="L81" i="12"/>
  <c r="K81" i="12"/>
  <c r="J81" i="12"/>
  <c r="I81" i="12"/>
  <c r="L82" i="12"/>
  <c r="K82" i="12"/>
  <c r="J82" i="12"/>
  <c r="I82" i="12"/>
  <c r="L88" i="12"/>
  <c r="K88" i="12"/>
  <c r="J88" i="12"/>
  <c r="I88" i="12"/>
  <c r="L98" i="12"/>
  <c r="K98" i="12"/>
  <c r="J98" i="12"/>
  <c r="I98" i="12"/>
  <c r="L99" i="12"/>
  <c r="K99" i="12"/>
  <c r="J99" i="12"/>
  <c r="I99" i="12"/>
  <c r="P9" i="11"/>
  <c r="P10" i="11"/>
  <c r="P11" i="11"/>
  <c r="P12" i="11"/>
  <c r="P14" i="11"/>
  <c r="P16" i="11"/>
  <c r="P17" i="11"/>
  <c r="P15" i="11"/>
  <c r="L2" i="11"/>
  <c r="K2" i="11"/>
  <c r="M2" i="11" s="1"/>
  <c r="N2" i="11" s="1"/>
  <c r="J2" i="11"/>
  <c r="I2" i="11"/>
  <c r="L3" i="11"/>
  <c r="K3" i="11"/>
  <c r="M3" i="11" s="1"/>
  <c r="N3" i="11" s="1"/>
  <c r="J3" i="11"/>
  <c r="I3" i="11"/>
  <c r="L4" i="11"/>
  <c r="K4" i="11"/>
  <c r="M4" i="11" s="1"/>
  <c r="N4" i="11" s="1"/>
  <c r="J4" i="11"/>
  <c r="I4" i="11"/>
  <c r="L5" i="11"/>
  <c r="K5" i="11"/>
  <c r="J5" i="11"/>
  <c r="I5" i="11"/>
  <c r="L6" i="11"/>
  <c r="K6" i="11"/>
  <c r="J6" i="11"/>
  <c r="I6" i="11"/>
  <c r="L7" i="11"/>
  <c r="K7" i="11"/>
  <c r="J7" i="11"/>
  <c r="I7" i="11"/>
  <c r="L15" i="11"/>
  <c r="K15" i="11"/>
  <c r="M15" i="11" s="1"/>
  <c r="N15" i="11" s="1"/>
  <c r="J15" i="11"/>
  <c r="I15" i="11"/>
  <c r="L9" i="11"/>
  <c r="K9" i="11"/>
  <c r="M9" i="11" s="1"/>
  <c r="N9" i="11" s="1"/>
  <c r="J9" i="11"/>
  <c r="I9" i="11"/>
  <c r="L10" i="11"/>
  <c r="K10" i="11"/>
  <c r="M10" i="11" s="1"/>
  <c r="N10" i="11" s="1"/>
  <c r="J10" i="11"/>
  <c r="I10" i="11"/>
  <c r="L11" i="11"/>
  <c r="K11" i="11"/>
  <c r="M11" i="11" s="1"/>
  <c r="N11" i="11" s="1"/>
  <c r="J11" i="11"/>
  <c r="I11" i="11"/>
  <c r="L13" i="11"/>
  <c r="K13" i="11"/>
  <c r="M13" i="11" s="1"/>
  <c r="N13" i="11" s="1"/>
  <c r="J13" i="11"/>
  <c r="I13" i="11"/>
  <c r="L12" i="11"/>
  <c r="K12" i="11"/>
  <c r="M12" i="11" s="1"/>
  <c r="N12" i="11" s="1"/>
  <c r="J12" i="11"/>
  <c r="I12" i="11"/>
  <c r="L14" i="11"/>
  <c r="K14" i="11"/>
  <c r="M14" i="11" s="1"/>
  <c r="N14" i="11" s="1"/>
  <c r="J14" i="11"/>
  <c r="I14" i="11"/>
  <c r="L16" i="11"/>
  <c r="K16" i="11"/>
  <c r="M16" i="11" s="1"/>
  <c r="N16" i="11" s="1"/>
  <c r="J16" i="11"/>
  <c r="I16" i="11"/>
  <c r="L17" i="11"/>
  <c r="K17" i="11"/>
  <c r="M17" i="11" s="1"/>
  <c r="N17" i="11" s="1"/>
  <c r="J17" i="11"/>
  <c r="I17" i="11"/>
  <c r="L18" i="11"/>
  <c r="K18" i="11"/>
  <c r="J18" i="11"/>
  <c r="I18" i="11"/>
  <c r="L19" i="11"/>
  <c r="K19" i="11"/>
  <c r="J19" i="11"/>
  <c r="I19" i="11"/>
  <c r="L8" i="11"/>
  <c r="K8" i="11"/>
  <c r="M8" i="11" s="1"/>
  <c r="N8" i="11" s="1"/>
  <c r="J8" i="11"/>
  <c r="I8" i="11"/>
  <c r="L26" i="11"/>
  <c r="K26" i="11"/>
  <c r="M26" i="11" s="1"/>
  <c r="N26" i="11" s="1"/>
  <c r="J26" i="11"/>
  <c r="I26" i="11"/>
  <c r="L20" i="11"/>
  <c r="K20" i="11"/>
  <c r="M20" i="11" s="1"/>
  <c r="N20" i="11" s="1"/>
  <c r="J20" i="11"/>
  <c r="I20" i="11"/>
  <c r="L22" i="11"/>
  <c r="K22" i="11"/>
  <c r="M22" i="11" s="1"/>
  <c r="N22" i="11" s="1"/>
  <c r="J22" i="11"/>
  <c r="I22" i="11"/>
  <c r="L24" i="11"/>
  <c r="K24" i="11"/>
  <c r="J24" i="11"/>
  <c r="I24" i="11"/>
  <c r="L25" i="11"/>
  <c r="K25" i="11"/>
  <c r="M25" i="11" s="1"/>
  <c r="N25" i="11" s="1"/>
  <c r="J25" i="11"/>
  <c r="I25" i="11"/>
  <c r="L27" i="11"/>
  <c r="K27" i="11"/>
  <c r="M27" i="11" s="1"/>
  <c r="N27" i="11" s="1"/>
  <c r="J27" i="11"/>
  <c r="I27" i="11"/>
  <c r="L21" i="11"/>
  <c r="K21" i="11"/>
  <c r="M21" i="11" s="1"/>
  <c r="N21" i="11" s="1"/>
  <c r="J21" i="11"/>
  <c r="I21" i="11"/>
  <c r="L29" i="11"/>
  <c r="K29" i="11"/>
  <c r="M29" i="11" s="1"/>
  <c r="N29" i="11" s="1"/>
  <c r="J29" i="11"/>
  <c r="I29" i="11"/>
  <c r="L30" i="11"/>
  <c r="K30" i="11"/>
  <c r="M30" i="11" s="1"/>
  <c r="N30" i="11" s="1"/>
  <c r="J30" i="11"/>
  <c r="I30" i="11"/>
  <c r="L31" i="11"/>
  <c r="K31" i="11"/>
  <c r="J31" i="11"/>
  <c r="I31" i="11"/>
  <c r="L28" i="11"/>
  <c r="K28" i="11"/>
  <c r="M28" i="11" s="1"/>
  <c r="N28" i="11" s="1"/>
  <c r="J28" i="11"/>
  <c r="I28" i="11"/>
  <c r="L32" i="11"/>
  <c r="K32" i="11"/>
  <c r="J32" i="11"/>
  <c r="I32" i="11"/>
  <c r="L33" i="11"/>
  <c r="K33" i="11"/>
  <c r="J33" i="11"/>
  <c r="I33" i="11"/>
  <c r="L35" i="11"/>
  <c r="K35" i="11"/>
  <c r="M35" i="11" s="1"/>
  <c r="N35" i="11" s="1"/>
  <c r="J35" i="11"/>
  <c r="I35" i="11"/>
  <c r="L36" i="11"/>
  <c r="K36" i="11"/>
  <c r="M36" i="11" s="1"/>
  <c r="N36" i="11" s="1"/>
  <c r="J36" i="11"/>
  <c r="I36" i="11"/>
  <c r="L37" i="11"/>
  <c r="K37" i="11"/>
  <c r="M37" i="11" s="1"/>
  <c r="N37" i="11" s="1"/>
  <c r="J37" i="11"/>
  <c r="I37" i="11"/>
  <c r="L38" i="11"/>
  <c r="K38" i="11"/>
  <c r="M38" i="11" s="1"/>
  <c r="N38" i="11" s="1"/>
  <c r="J38" i="11"/>
  <c r="I38" i="11"/>
  <c r="L51" i="11"/>
  <c r="K51" i="11"/>
  <c r="M51" i="11" s="1"/>
  <c r="N51" i="11" s="1"/>
  <c r="J51" i="11"/>
  <c r="I51" i="11"/>
  <c r="L39" i="11"/>
  <c r="K39" i="11"/>
  <c r="M39" i="11" s="1"/>
  <c r="N39" i="11" s="1"/>
  <c r="J39" i="11"/>
  <c r="I39" i="11"/>
  <c r="L40" i="11"/>
  <c r="K40" i="11"/>
  <c r="M40" i="11" s="1"/>
  <c r="N40" i="11" s="1"/>
  <c r="J40" i="11"/>
  <c r="I40" i="11"/>
  <c r="L41" i="11"/>
  <c r="K41" i="11"/>
  <c r="M41" i="11" s="1"/>
  <c r="N41" i="11" s="1"/>
  <c r="J41" i="11"/>
  <c r="I41" i="11"/>
  <c r="L43" i="11"/>
  <c r="K43" i="11"/>
  <c r="M43" i="11" s="1"/>
  <c r="N43" i="11" s="1"/>
  <c r="J43" i="11"/>
  <c r="I43" i="11"/>
  <c r="L42" i="11"/>
  <c r="K42" i="11"/>
  <c r="M42" i="11" s="1"/>
  <c r="N42" i="11" s="1"/>
  <c r="J42" i="11"/>
  <c r="I42" i="11"/>
  <c r="L44" i="11"/>
  <c r="K44" i="11"/>
  <c r="J44" i="11"/>
  <c r="I44" i="11"/>
  <c r="L45" i="11"/>
  <c r="K45" i="11"/>
  <c r="J45" i="11"/>
  <c r="I45" i="11"/>
  <c r="L46" i="11"/>
  <c r="K46" i="11"/>
  <c r="M46" i="11" s="1"/>
  <c r="N46" i="11" s="1"/>
  <c r="J46" i="11"/>
  <c r="I46" i="11"/>
  <c r="L68" i="11"/>
  <c r="K68" i="11"/>
  <c r="M68" i="11" s="1"/>
  <c r="J68" i="11"/>
  <c r="P68" i="11" s="1"/>
  <c r="Q68" i="11" s="1"/>
  <c r="I68" i="11"/>
  <c r="L47" i="11"/>
  <c r="K47" i="11"/>
  <c r="M47" i="11" s="1"/>
  <c r="N47" i="11" s="1"/>
  <c r="J47" i="11"/>
  <c r="I47" i="11"/>
  <c r="L48" i="11"/>
  <c r="K48" i="11"/>
  <c r="M48" i="11" s="1"/>
  <c r="N48" i="11" s="1"/>
  <c r="J48" i="11"/>
  <c r="I48" i="11"/>
  <c r="L74" i="11"/>
  <c r="K74" i="11"/>
  <c r="M74" i="11" s="1"/>
  <c r="J74" i="11"/>
  <c r="P74" i="11" s="1"/>
  <c r="Q74" i="11" s="1"/>
  <c r="I74" i="11"/>
  <c r="L52" i="11"/>
  <c r="K52" i="11"/>
  <c r="M52" i="11" s="1"/>
  <c r="N52" i="11" s="1"/>
  <c r="J52" i="11"/>
  <c r="I52" i="11"/>
  <c r="L50" i="11"/>
  <c r="K50" i="11"/>
  <c r="M50" i="11" s="1"/>
  <c r="N50" i="11" s="1"/>
  <c r="J50" i="11"/>
  <c r="I50" i="11"/>
  <c r="L81" i="11"/>
  <c r="K81" i="11"/>
  <c r="M81" i="11" s="1"/>
  <c r="J81" i="11"/>
  <c r="P81" i="11" s="1"/>
  <c r="Q81" i="11" s="1"/>
  <c r="I81" i="11"/>
  <c r="L53" i="11"/>
  <c r="K53" i="11"/>
  <c r="M53" i="11" s="1"/>
  <c r="N53" i="11" s="1"/>
  <c r="J53" i="11"/>
  <c r="I53" i="11"/>
  <c r="L84" i="11"/>
  <c r="K84" i="11"/>
  <c r="M84" i="11" s="1"/>
  <c r="J84" i="11"/>
  <c r="P84" i="11" s="1"/>
  <c r="Q84" i="11" s="1"/>
  <c r="I84" i="11"/>
  <c r="L54" i="11"/>
  <c r="K54" i="11"/>
  <c r="M54" i="11" s="1"/>
  <c r="N54" i="11" s="1"/>
  <c r="J54" i="11"/>
  <c r="I54" i="11"/>
  <c r="L55" i="11"/>
  <c r="K55" i="11"/>
  <c r="M55" i="11" s="1"/>
  <c r="N55" i="11" s="1"/>
  <c r="J55" i="11"/>
  <c r="I55" i="11"/>
  <c r="L56" i="11"/>
  <c r="K56" i="11"/>
  <c r="M56" i="11" s="1"/>
  <c r="N56" i="11" s="1"/>
  <c r="J56" i="11"/>
  <c r="I56" i="11"/>
  <c r="L57" i="11"/>
  <c r="K57" i="11"/>
  <c r="M57" i="11" s="1"/>
  <c r="N57" i="11" s="1"/>
  <c r="J57" i="11"/>
  <c r="I57" i="11"/>
  <c r="L60" i="11"/>
  <c r="K60" i="11"/>
  <c r="J60" i="11"/>
  <c r="I60" i="11"/>
  <c r="L61" i="11"/>
  <c r="K61" i="11"/>
  <c r="J61" i="11"/>
  <c r="I61" i="11"/>
  <c r="L63" i="11"/>
  <c r="K63" i="11"/>
  <c r="J63" i="11"/>
  <c r="I63" i="11"/>
  <c r="L69" i="11"/>
  <c r="K69" i="11"/>
  <c r="M69" i="11" s="1"/>
  <c r="J69" i="11"/>
  <c r="P69" i="11" s="1"/>
  <c r="Q69" i="11" s="1"/>
  <c r="I69" i="11"/>
  <c r="L70" i="11"/>
  <c r="K70" i="11"/>
  <c r="M70" i="11" s="1"/>
  <c r="J70" i="11"/>
  <c r="P70" i="11" s="1"/>
  <c r="Q70" i="11" s="1"/>
  <c r="I70" i="11"/>
  <c r="L71" i="11"/>
  <c r="K71" i="11"/>
  <c r="M71" i="11" s="1"/>
  <c r="J71" i="11"/>
  <c r="P71" i="11" s="1"/>
  <c r="Q71" i="11" s="1"/>
  <c r="I71" i="11"/>
  <c r="L72" i="11"/>
  <c r="K72" i="11"/>
  <c r="M72" i="11" s="1"/>
  <c r="J72" i="11"/>
  <c r="P72" i="11" s="1"/>
  <c r="Q72" i="11" s="1"/>
  <c r="I72" i="11"/>
  <c r="L73" i="11"/>
  <c r="K73" i="11"/>
  <c r="M73" i="11" s="1"/>
  <c r="J73" i="11"/>
  <c r="P73" i="11" s="1"/>
  <c r="Q73" i="11" s="1"/>
  <c r="I73" i="11"/>
  <c r="L91" i="11"/>
  <c r="K91" i="11"/>
  <c r="M91" i="11" s="1"/>
  <c r="N91" i="11" s="1"/>
  <c r="J91" i="11"/>
  <c r="I91" i="11"/>
  <c r="L49" i="11"/>
  <c r="K49" i="11"/>
  <c r="M49" i="11" s="1"/>
  <c r="N49" i="11" s="1"/>
  <c r="J49" i="11"/>
  <c r="I49" i="11"/>
  <c r="L77" i="11"/>
  <c r="K77" i="11"/>
  <c r="M77" i="11" s="1"/>
  <c r="J77" i="11"/>
  <c r="P77" i="11" s="1"/>
  <c r="Q77" i="11" s="1"/>
  <c r="I77" i="11"/>
  <c r="L78" i="11"/>
  <c r="K78" i="11"/>
  <c r="M78" i="11" s="1"/>
  <c r="J78" i="11"/>
  <c r="P78" i="11" s="1"/>
  <c r="Q78" i="11" s="1"/>
  <c r="I78" i="11"/>
  <c r="L75" i="11"/>
  <c r="K75" i="11"/>
  <c r="M75" i="11" s="1"/>
  <c r="J75" i="11"/>
  <c r="P75" i="11" s="1"/>
  <c r="Q75" i="11" s="1"/>
  <c r="I75" i="11"/>
  <c r="L79" i="11"/>
  <c r="K79" i="11"/>
  <c r="M79" i="11" s="1"/>
  <c r="J79" i="11"/>
  <c r="P79" i="11" s="1"/>
  <c r="Q79" i="11" s="1"/>
  <c r="I79" i="11"/>
  <c r="L82" i="11"/>
  <c r="K82" i="11"/>
  <c r="M82" i="11" s="1"/>
  <c r="J82" i="11"/>
  <c r="P82" i="11" s="1"/>
  <c r="Q82" i="11" s="1"/>
  <c r="I82" i="11"/>
  <c r="L83" i="11"/>
  <c r="K83" i="11"/>
  <c r="M83" i="11" s="1"/>
  <c r="J83" i="11"/>
  <c r="P83" i="11" s="1"/>
  <c r="Q83" i="11" s="1"/>
  <c r="I83" i="11"/>
  <c r="L80" i="11"/>
  <c r="K80" i="11"/>
  <c r="M80" i="11" s="1"/>
  <c r="J80" i="11"/>
  <c r="P80" i="11" s="1"/>
  <c r="Q80" i="11" s="1"/>
  <c r="I80" i="11"/>
  <c r="L97" i="11"/>
  <c r="K97" i="11"/>
  <c r="M97" i="11" s="1"/>
  <c r="N97" i="11" s="1"/>
  <c r="J97" i="11"/>
  <c r="I97" i="11"/>
  <c r="L58" i="11"/>
  <c r="K58" i="11"/>
  <c r="M58" i="11" s="1"/>
  <c r="N58" i="11" s="1"/>
  <c r="J58" i="11"/>
  <c r="I58" i="11"/>
  <c r="L87" i="11"/>
  <c r="K87" i="11"/>
  <c r="M87" i="11" s="1"/>
  <c r="N87" i="11" s="1"/>
  <c r="J87" i="11"/>
  <c r="I87" i="11"/>
  <c r="L88" i="11"/>
  <c r="K88" i="11"/>
  <c r="M88" i="11" s="1"/>
  <c r="N88" i="11" s="1"/>
  <c r="J88" i="11"/>
  <c r="I88" i="11"/>
  <c r="L89" i="11"/>
  <c r="K89" i="11"/>
  <c r="M89" i="11" s="1"/>
  <c r="N89" i="11" s="1"/>
  <c r="J89" i="11"/>
  <c r="I89" i="11"/>
  <c r="L90" i="11"/>
  <c r="K90" i="11"/>
  <c r="M90" i="11" s="1"/>
  <c r="N90" i="11" s="1"/>
  <c r="J90" i="11"/>
  <c r="I90" i="11"/>
  <c r="L93" i="11"/>
  <c r="K93" i="11"/>
  <c r="M93" i="11" s="1"/>
  <c r="N93" i="11" s="1"/>
  <c r="J93" i="11"/>
  <c r="I93" i="11"/>
  <c r="L94" i="11"/>
  <c r="K94" i="11"/>
  <c r="M94" i="11" s="1"/>
  <c r="N94" i="11" s="1"/>
  <c r="J94" i="11"/>
  <c r="I94" i="11"/>
  <c r="L95" i="11"/>
  <c r="K95" i="11"/>
  <c r="M95" i="11" s="1"/>
  <c r="N95" i="11" s="1"/>
  <c r="J95" i="11"/>
  <c r="I95" i="11"/>
  <c r="L76" i="11"/>
  <c r="K76" i="11"/>
  <c r="M76" i="11" s="1"/>
  <c r="J76" i="11"/>
  <c r="P76" i="11" s="1"/>
  <c r="Q76" i="11" s="1"/>
  <c r="I76" i="11"/>
  <c r="L92" i="11"/>
  <c r="K92" i="11"/>
  <c r="M92" i="11" s="1"/>
  <c r="N92" i="11" s="1"/>
  <c r="J92" i="11"/>
  <c r="I92" i="11"/>
  <c r="L96" i="11"/>
  <c r="K96" i="11"/>
  <c r="M96" i="11" s="1"/>
  <c r="N96" i="11" s="1"/>
  <c r="J96" i="11"/>
  <c r="I96" i="11"/>
  <c r="L65" i="11"/>
  <c r="K65" i="11"/>
  <c r="J65" i="11"/>
  <c r="I65" i="11"/>
  <c r="L98" i="11"/>
  <c r="K98" i="11"/>
  <c r="J98" i="11"/>
  <c r="I98" i="11"/>
  <c r="L99" i="11"/>
  <c r="K99" i="11"/>
  <c r="J99" i="11"/>
  <c r="I99" i="11"/>
  <c r="L2" i="10"/>
  <c r="K2" i="10"/>
  <c r="J2" i="10"/>
  <c r="I2" i="10"/>
  <c r="L3" i="10"/>
  <c r="K3" i="10"/>
  <c r="J3" i="10"/>
  <c r="I3" i="10"/>
  <c r="L4" i="10"/>
  <c r="K4" i="10"/>
  <c r="J4" i="10"/>
  <c r="I4" i="10"/>
  <c r="L5" i="10"/>
  <c r="K5" i="10"/>
  <c r="J5" i="10"/>
  <c r="I5" i="10"/>
  <c r="L6" i="10"/>
  <c r="K6" i="10"/>
  <c r="J6" i="10"/>
  <c r="I6" i="10"/>
  <c r="L7" i="10"/>
  <c r="K7" i="10"/>
  <c r="J7" i="10"/>
  <c r="I7" i="10"/>
  <c r="L9" i="10"/>
  <c r="K9" i="10"/>
  <c r="J9" i="10"/>
  <c r="I9" i="10"/>
  <c r="L10" i="10"/>
  <c r="K10" i="10"/>
  <c r="J10" i="10"/>
  <c r="I10" i="10"/>
  <c r="L11" i="10"/>
  <c r="K11" i="10"/>
  <c r="J11" i="10"/>
  <c r="I11" i="10"/>
  <c r="L12" i="10"/>
  <c r="K12" i="10"/>
  <c r="J12" i="10"/>
  <c r="I12" i="10"/>
  <c r="L13" i="10"/>
  <c r="K13" i="10"/>
  <c r="J13" i="10"/>
  <c r="I13" i="10"/>
  <c r="L14" i="10"/>
  <c r="K14" i="10"/>
  <c r="J14" i="10"/>
  <c r="I14" i="10"/>
  <c r="L15" i="10"/>
  <c r="K15" i="10"/>
  <c r="J15" i="10"/>
  <c r="I15" i="10"/>
  <c r="L16" i="10"/>
  <c r="K16" i="10"/>
  <c r="J16" i="10"/>
  <c r="I16" i="10"/>
  <c r="L8" i="10"/>
  <c r="K8" i="10"/>
  <c r="M8" i="10" s="1"/>
  <c r="N8" i="10" s="1"/>
  <c r="J8" i="10"/>
  <c r="O8" i="10" s="1"/>
  <c r="P8" i="10" s="1"/>
  <c r="I8" i="10"/>
  <c r="L17" i="10"/>
  <c r="K17" i="10"/>
  <c r="J17" i="10"/>
  <c r="I17" i="10"/>
  <c r="L18" i="10"/>
  <c r="K18" i="10"/>
  <c r="J18" i="10"/>
  <c r="I18" i="10"/>
  <c r="L19" i="10"/>
  <c r="K19" i="10"/>
  <c r="J19" i="10"/>
  <c r="I19" i="10"/>
  <c r="L20" i="10"/>
  <c r="K20" i="10"/>
  <c r="J20" i="10"/>
  <c r="I20" i="10"/>
  <c r="L21" i="10"/>
  <c r="K21" i="10"/>
  <c r="J21" i="10"/>
  <c r="I21" i="10"/>
  <c r="L22" i="10"/>
  <c r="K22" i="10"/>
  <c r="J22" i="10"/>
  <c r="I22" i="10"/>
  <c r="L24" i="10"/>
  <c r="K24" i="10"/>
  <c r="J24" i="10"/>
  <c r="I24" i="10"/>
  <c r="L25" i="10"/>
  <c r="K25" i="10"/>
  <c r="J25" i="10"/>
  <c r="I25" i="10"/>
  <c r="L26" i="10"/>
  <c r="K26" i="10"/>
  <c r="J26" i="10"/>
  <c r="I26" i="10"/>
  <c r="L27" i="10"/>
  <c r="K27" i="10"/>
  <c r="J27" i="10"/>
  <c r="I27" i="10"/>
  <c r="L28" i="10"/>
  <c r="K28" i="10"/>
  <c r="J28" i="10"/>
  <c r="I28" i="10"/>
  <c r="L29" i="10"/>
  <c r="K29" i="10"/>
  <c r="J29" i="10"/>
  <c r="I29" i="10"/>
  <c r="L30" i="10"/>
  <c r="K30" i="10"/>
  <c r="J30" i="10"/>
  <c r="I30" i="10"/>
  <c r="L31" i="10"/>
  <c r="K31" i="10"/>
  <c r="J31" i="10"/>
  <c r="I31" i="10"/>
  <c r="L32" i="10"/>
  <c r="K32" i="10"/>
  <c r="J32" i="10"/>
  <c r="I32" i="10"/>
  <c r="L33" i="10"/>
  <c r="K33" i="10"/>
  <c r="J33" i="10"/>
  <c r="I33" i="10"/>
  <c r="L35" i="10"/>
  <c r="K35" i="10"/>
  <c r="J35" i="10"/>
  <c r="I35" i="10"/>
  <c r="L36" i="10"/>
  <c r="K36" i="10"/>
  <c r="J36" i="10"/>
  <c r="I36" i="10"/>
  <c r="L37" i="10"/>
  <c r="K37" i="10"/>
  <c r="J37" i="10"/>
  <c r="I37" i="10"/>
  <c r="L38" i="10"/>
  <c r="K38" i="10"/>
  <c r="J38" i="10"/>
  <c r="I38" i="10"/>
  <c r="L39" i="10"/>
  <c r="K39" i="10"/>
  <c r="J39" i="10"/>
  <c r="I39" i="10"/>
  <c r="L40" i="10"/>
  <c r="K40" i="10"/>
  <c r="J40" i="10"/>
  <c r="I40" i="10"/>
  <c r="L41" i="10"/>
  <c r="K41" i="10"/>
  <c r="J41" i="10"/>
  <c r="I41" i="10"/>
  <c r="L42" i="10"/>
  <c r="K42" i="10"/>
  <c r="J42" i="10"/>
  <c r="I42" i="10"/>
  <c r="L43" i="10"/>
  <c r="K43" i="10"/>
  <c r="J43" i="10"/>
  <c r="I43" i="10"/>
  <c r="L44" i="10"/>
  <c r="K44" i="10"/>
  <c r="J44" i="10"/>
  <c r="I44" i="10"/>
  <c r="L45" i="10"/>
  <c r="K45" i="10"/>
  <c r="J45" i="10"/>
  <c r="I45" i="10"/>
  <c r="L46" i="10"/>
  <c r="K46" i="10"/>
  <c r="J46" i="10"/>
  <c r="I46" i="10"/>
  <c r="L47" i="10"/>
  <c r="K47" i="10"/>
  <c r="J47" i="10"/>
  <c r="I47" i="10"/>
  <c r="L48" i="10"/>
  <c r="K48" i="10"/>
  <c r="J48" i="10"/>
  <c r="I48" i="10"/>
  <c r="L49" i="10"/>
  <c r="K49" i="10"/>
  <c r="J49" i="10"/>
  <c r="I49" i="10"/>
  <c r="L50" i="10"/>
  <c r="K50" i="10"/>
  <c r="J50" i="10"/>
  <c r="I50" i="10"/>
  <c r="L51" i="10"/>
  <c r="K51" i="10"/>
  <c r="J51" i="10"/>
  <c r="I51" i="10"/>
  <c r="L52" i="10"/>
  <c r="K52" i="10"/>
  <c r="J52" i="10"/>
  <c r="I52" i="10"/>
  <c r="L53" i="10"/>
  <c r="K53" i="10"/>
  <c r="J53" i="10"/>
  <c r="I53" i="10"/>
  <c r="L54" i="10"/>
  <c r="K54" i="10"/>
  <c r="J54" i="10"/>
  <c r="I54" i="10"/>
  <c r="L55" i="10"/>
  <c r="K55" i="10"/>
  <c r="J55" i="10"/>
  <c r="I55" i="10"/>
  <c r="L56" i="10"/>
  <c r="K56" i="10"/>
  <c r="J56" i="10"/>
  <c r="I56" i="10"/>
  <c r="L57" i="10"/>
  <c r="K57" i="10"/>
  <c r="J57" i="10"/>
  <c r="I57" i="10"/>
  <c r="L58" i="10"/>
  <c r="K58" i="10"/>
  <c r="J58" i="10"/>
  <c r="I58" i="10"/>
  <c r="L59" i="10"/>
  <c r="K59" i="10"/>
  <c r="J59" i="10"/>
  <c r="I59" i="10"/>
  <c r="L60" i="10"/>
  <c r="K60" i="10"/>
  <c r="J60" i="10"/>
  <c r="I60" i="10"/>
  <c r="L84" i="10"/>
  <c r="K84" i="10"/>
  <c r="M84" i="10" s="1"/>
  <c r="N84" i="10" s="1"/>
  <c r="J84" i="10"/>
  <c r="O84" i="10" s="1"/>
  <c r="P84" i="10" s="1"/>
  <c r="I84" i="10"/>
  <c r="L62" i="10"/>
  <c r="K62" i="10"/>
  <c r="J62" i="10"/>
  <c r="I62" i="10"/>
  <c r="L63" i="10"/>
  <c r="K63" i="10"/>
  <c r="J63" i="10"/>
  <c r="I63" i="10"/>
  <c r="L65" i="10"/>
  <c r="K65" i="10"/>
  <c r="J65" i="10"/>
  <c r="I65" i="10"/>
  <c r="L67" i="10"/>
  <c r="K67" i="10"/>
  <c r="J67" i="10"/>
  <c r="I67" i="10"/>
  <c r="L68" i="10"/>
  <c r="K68" i="10"/>
  <c r="J68" i="10"/>
  <c r="I68" i="10"/>
  <c r="L69" i="10"/>
  <c r="K69" i="10"/>
  <c r="J69" i="10"/>
  <c r="I69" i="10"/>
  <c r="L70" i="10"/>
  <c r="K70" i="10"/>
  <c r="J70" i="10"/>
  <c r="I70" i="10"/>
  <c r="L71" i="10"/>
  <c r="K71" i="10"/>
  <c r="J71" i="10"/>
  <c r="I71" i="10"/>
  <c r="L72" i="10"/>
  <c r="K72" i="10"/>
  <c r="J72" i="10"/>
  <c r="I72" i="10"/>
  <c r="L73" i="10"/>
  <c r="K73" i="10"/>
  <c r="J73" i="10"/>
  <c r="I73" i="10"/>
  <c r="L74" i="10"/>
  <c r="K74" i="10"/>
  <c r="J74" i="10"/>
  <c r="I74" i="10"/>
  <c r="L75" i="10"/>
  <c r="K75" i="10"/>
  <c r="J75" i="10"/>
  <c r="I75" i="10"/>
  <c r="L76" i="10"/>
  <c r="K76" i="10"/>
  <c r="J76" i="10"/>
  <c r="I76" i="10"/>
  <c r="L77" i="10"/>
  <c r="K77" i="10"/>
  <c r="J77" i="10"/>
  <c r="I77" i="10"/>
  <c r="L78" i="10"/>
  <c r="K78" i="10"/>
  <c r="J78" i="10"/>
  <c r="I78" i="10"/>
  <c r="L79" i="10"/>
  <c r="K79" i="10"/>
  <c r="J79" i="10"/>
  <c r="I79" i="10"/>
  <c r="L80" i="10"/>
  <c r="K80" i="10"/>
  <c r="J80" i="10"/>
  <c r="I80" i="10"/>
  <c r="L85" i="10"/>
  <c r="K85" i="10"/>
  <c r="J85" i="10"/>
  <c r="I85" i="10"/>
  <c r="L86" i="10"/>
  <c r="K86" i="10"/>
  <c r="J86" i="10"/>
  <c r="I86" i="10"/>
  <c r="L87" i="10"/>
  <c r="K87" i="10"/>
  <c r="J87" i="10"/>
  <c r="I87" i="10"/>
  <c r="L88" i="10"/>
  <c r="K88" i="10"/>
  <c r="J88" i="10"/>
  <c r="I88" i="10"/>
  <c r="L89" i="10"/>
  <c r="K89" i="10"/>
  <c r="J89" i="10"/>
  <c r="I89" i="10"/>
  <c r="L90" i="10"/>
  <c r="K90" i="10"/>
  <c r="J90" i="10"/>
  <c r="I90" i="10"/>
  <c r="L91" i="10"/>
  <c r="K91" i="10"/>
  <c r="J91" i="10"/>
  <c r="I91" i="10"/>
  <c r="L92" i="10"/>
  <c r="K92" i="10"/>
  <c r="J92" i="10"/>
  <c r="I92" i="10"/>
  <c r="L93" i="10"/>
  <c r="K93" i="10"/>
  <c r="J93" i="10"/>
  <c r="I93" i="10"/>
  <c r="L94" i="10"/>
  <c r="K94" i="10"/>
  <c r="J94" i="10"/>
  <c r="I94" i="10"/>
  <c r="L83" i="10"/>
  <c r="K83" i="10"/>
  <c r="M83" i="10" s="1"/>
  <c r="N83" i="10" s="1"/>
  <c r="J83" i="10"/>
  <c r="O83" i="10" s="1"/>
  <c r="P83" i="10" s="1"/>
  <c r="I83" i="10"/>
  <c r="L96" i="10"/>
  <c r="K96" i="10"/>
  <c r="J96" i="10"/>
  <c r="I96" i="10"/>
  <c r="L98" i="10"/>
  <c r="K98" i="10"/>
  <c r="J98" i="10"/>
  <c r="I98" i="10"/>
  <c r="L99" i="10"/>
  <c r="K99" i="10"/>
  <c r="J99" i="10"/>
  <c r="I99" i="10"/>
  <c r="L24" i="9"/>
  <c r="K24" i="9"/>
  <c r="J24" i="9"/>
  <c r="I24" i="9"/>
  <c r="L2" i="9"/>
  <c r="K2" i="9"/>
  <c r="M2" i="9" s="1"/>
  <c r="N2" i="9" s="1"/>
  <c r="J2" i="9"/>
  <c r="I2" i="9"/>
  <c r="L3" i="9"/>
  <c r="K3" i="9"/>
  <c r="M3" i="9" s="1"/>
  <c r="N3" i="9" s="1"/>
  <c r="J3" i="9"/>
  <c r="I3" i="9"/>
  <c r="L4" i="9"/>
  <c r="K4" i="9"/>
  <c r="M4" i="9" s="1"/>
  <c r="N4" i="9" s="1"/>
  <c r="J4" i="9"/>
  <c r="I4" i="9"/>
  <c r="L5" i="9"/>
  <c r="K5" i="9"/>
  <c r="J5" i="9"/>
  <c r="I5" i="9"/>
  <c r="L6" i="9"/>
  <c r="K6" i="9"/>
  <c r="J6" i="9"/>
  <c r="I6" i="9"/>
  <c r="L7" i="9"/>
  <c r="K7" i="9"/>
  <c r="J7" i="9"/>
  <c r="I7" i="9"/>
  <c r="L19" i="9"/>
  <c r="K19" i="9"/>
  <c r="M19" i="9" s="1"/>
  <c r="J19" i="9"/>
  <c r="I19" i="9"/>
  <c r="L8" i="9"/>
  <c r="K8" i="9"/>
  <c r="M8" i="9" s="1"/>
  <c r="N8" i="9" s="1"/>
  <c r="J8" i="9"/>
  <c r="I8" i="9"/>
  <c r="L9" i="9"/>
  <c r="K9" i="9"/>
  <c r="M9" i="9" s="1"/>
  <c r="N9" i="9" s="1"/>
  <c r="J9" i="9"/>
  <c r="I9" i="9"/>
  <c r="L21" i="9"/>
  <c r="K21" i="9"/>
  <c r="M21" i="9" s="1"/>
  <c r="J21" i="9"/>
  <c r="I21" i="9"/>
  <c r="L10" i="9"/>
  <c r="K10" i="9"/>
  <c r="M10" i="9" s="1"/>
  <c r="N10" i="9" s="1"/>
  <c r="J10" i="9"/>
  <c r="I10" i="9"/>
  <c r="L11" i="9"/>
  <c r="K11" i="9"/>
  <c r="M11" i="9" s="1"/>
  <c r="N11" i="9" s="1"/>
  <c r="J11" i="9"/>
  <c r="I11" i="9"/>
  <c r="L12" i="9"/>
  <c r="K12" i="9"/>
  <c r="M12" i="9" s="1"/>
  <c r="N12" i="9" s="1"/>
  <c r="J12" i="9"/>
  <c r="I12" i="9"/>
  <c r="L13" i="9"/>
  <c r="K13" i="9"/>
  <c r="M13" i="9" s="1"/>
  <c r="N13" i="9" s="1"/>
  <c r="J13" i="9"/>
  <c r="I13" i="9"/>
  <c r="L14" i="9"/>
  <c r="K14" i="9"/>
  <c r="M14" i="9" s="1"/>
  <c r="N14" i="9" s="1"/>
  <c r="J14" i="9"/>
  <c r="I14" i="9"/>
  <c r="L15" i="9"/>
  <c r="K15" i="9"/>
  <c r="M15" i="9" s="1"/>
  <c r="N15" i="9" s="1"/>
  <c r="J15" i="9"/>
  <c r="I15" i="9"/>
  <c r="L16" i="9"/>
  <c r="K16" i="9"/>
  <c r="M16" i="9" s="1"/>
  <c r="N16" i="9" s="1"/>
  <c r="J16" i="9"/>
  <c r="I16" i="9"/>
  <c r="L17" i="9"/>
  <c r="K17" i="9"/>
  <c r="J17" i="9"/>
  <c r="I17" i="9"/>
  <c r="L18" i="9"/>
  <c r="K18" i="9"/>
  <c r="J18" i="9"/>
  <c r="I18" i="9"/>
  <c r="L25" i="9"/>
  <c r="K25" i="9"/>
  <c r="M25" i="9" s="1"/>
  <c r="N25" i="9" s="1"/>
  <c r="J25" i="9"/>
  <c r="P25" i="9" s="1"/>
  <c r="Q25" i="9" s="1"/>
  <c r="I25" i="9"/>
  <c r="L20" i="9"/>
  <c r="K20" i="9"/>
  <c r="M20" i="9" s="1"/>
  <c r="J20" i="9"/>
  <c r="I20" i="9"/>
  <c r="L26" i="9"/>
  <c r="K26" i="9"/>
  <c r="M26" i="9" s="1"/>
  <c r="N26" i="9" s="1"/>
  <c r="J26" i="9"/>
  <c r="P26" i="9" s="1"/>
  <c r="Q26" i="9" s="1"/>
  <c r="I26" i="9"/>
  <c r="L27" i="9"/>
  <c r="K27" i="9"/>
  <c r="M27" i="9" s="1"/>
  <c r="N27" i="9" s="1"/>
  <c r="J27" i="9"/>
  <c r="P27" i="9" s="1"/>
  <c r="Q27" i="9" s="1"/>
  <c r="I27" i="9"/>
  <c r="L22" i="9"/>
  <c r="K22" i="9"/>
  <c r="M22" i="9" s="1"/>
  <c r="J22" i="9"/>
  <c r="I22" i="9"/>
  <c r="L28" i="9"/>
  <c r="K28" i="9"/>
  <c r="M28" i="9" s="1"/>
  <c r="N28" i="9" s="1"/>
  <c r="J28" i="9"/>
  <c r="P28" i="9" s="1"/>
  <c r="Q28" i="9" s="1"/>
  <c r="I28" i="9"/>
  <c r="L29" i="9"/>
  <c r="K29" i="9"/>
  <c r="M29" i="9" s="1"/>
  <c r="N29" i="9" s="1"/>
  <c r="J29" i="9"/>
  <c r="P29" i="9" s="1"/>
  <c r="Q29" i="9" s="1"/>
  <c r="I29" i="9"/>
  <c r="L30" i="9"/>
  <c r="K30" i="9"/>
  <c r="J30" i="9"/>
  <c r="I30" i="9"/>
  <c r="L31" i="9"/>
  <c r="K31" i="9"/>
  <c r="J31" i="9"/>
  <c r="I31" i="9"/>
  <c r="L32" i="9"/>
  <c r="K32" i="9"/>
  <c r="J32" i="9"/>
  <c r="I32" i="9"/>
  <c r="L33" i="9"/>
  <c r="K33" i="9"/>
  <c r="J33" i="9"/>
  <c r="I33" i="9"/>
  <c r="L35" i="9"/>
  <c r="K35" i="9"/>
  <c r="M35" i="9" s="1"/>
  <c r="N35" i="9" s="1"/>
  <c r="J35" i="9"/>
  <c r="I35" i="9"/>
  <c r="L36" i="9"/>
  <c r="K36" i="9"/>
  <c r="M36" i="9" s="1"/>
  <c r="N36" i="9" s="1"/>
  <c r="J36" i="9"/>
  <c r="I36" i="9"/>
  <c r="L40" i="9"/>
  <c r="K40" i="9"/>
  <c r="M40" i="9" s="1"/>
  <c r="N40" i="9" s="1"/>
  <c r="J40" i="9"/>
  <c r="I40" i="9"/>
  <c r="L37" i="9"/>
  <c r="K37" i="9"/>
  <c r="M37" i="9" s="1"/>
  <c r="N37" i="9" s="1"/>
  <c r="J37" i="9"/>
  <c r="I37" i="9"/>
  <c r="L38" i="9"/>
  <c r="K38" i="9"/>
  <c r="M38" i="9" s="1"/>
  <c r="N38" i="9" s="1"/>
  <c r="J38" i="9"/>
  <c r="I38" i="9"/>
  <c r="L43" i="9"/>
  <c r="K43" i="9"/>
  <c r="M43" i="9" s="1"/>
  <c r="N43" i="9" s="1"/>
  <c r="J43" i="9"/>
  <c r="I43" i="9"/>
  <c r="L41" i="9"/>
  <c r="K41" i="9"/>
  <c r="M41" i="9" s="1"/>
  <c r="N41" i="9" s="1"/>
  <c r="J41" i="9"/>
  <c r="I41" i="9"/>
  <c r="L44" i="9"/>
  <c r="K44" i="9"/>
  <c r="M44" i="9" s="1"/>
  <c r="N44" i="9" s="1"/>
  <c r="J44" i="9"/>
  <c r="I44" i="9"/>
  <c r="L42" i="9"/>
  <c r="K42" i="9"/>
  <c r="M42" i="9" s="1"/>
  <c r="N42" i="9" s="1"/>
  <c r="J42" i="9"/>
  <c r="I42" i="9"/>
  <c r="L60" i="9"/>
  <c r="K60" i="9"/>
  <c r="M60" i="9" s="1"/>
  <c r="N60" i="9" s="1"/>
  <c r="J60" i="9"/>
  <c r="I60" i="9"/>
  <c r="L45" i="9"/>
  <c r="K45" i="9"/>
  <c r="J45" i="9"/>
  <c r="I45" i="9"/>
  <c r="L46" i="9"/>
  <c r="K46" i="9"/>
  <c r="J46" i="9"/>
  <c r="I46" i="9"/>
  <c r="L47" i="9"/>
  <c r="K47" i="9"/>
  <c r="M47" i="9" s="1"/>
  <c r="N47" i="9" s="1"/>
  <c r="J47" i="9"/>
  <c r="I47" i="9"/>
  <c r="L68" i="9"/>
  <c r="K68" i="9"/>
  <c r="M68" i="9" s="1"/>
  <c r="J68" i="9"/>
  <c r="I68" i="9"/>
  <c r="L49" i="9"/>
  <c r="K49" i="9"/>
  <c r="M49" i="9" s="1"/>
  <c r="N49" i="9" s="1"/>
  <c r="J49" i="9"/>
  <c r="I49" i="9"/>
  <c r="L39" i="9"/>
  <c r="K39" i="9"/>
  <c r="M39" i="9" s="1"/>
  <c r="N39" i="9" s="1"/>
  <c r="J39" i="9"/>
  <c r="I39" i="9"/>
  <c r="L50" i="9"/>
  <c r="K50" i="9"/>
  <c r="M50" i="9" s="1"/>
  <c r="N50" i="9" s="1"/>
  <c r="J50" i="9"/>
  <c r="I50" i="9"/>
  <c r="L77" i="9"/>
  <c r="K77" i="9"/>
  <c r="M77" i="9" s="1"/>
  <c r="J77" i="9"/>
  <c r="I77" i="9"/>
  <c r="L52" i="9"/>
  <c r="K52" i="9"/>
  <c r="M52" i="9" s="1"/>
  <c r="N52" i="9" s="1"/>
  <c r="J52" i="9"/>
  <c r="I52" i="9"/>
  <c r="L53" i="9"/>
  <c r="K53" i="9"/>
  <c r="M53" i="9" s="1"/>
  <c r="N53" i="9" s="1"/>
  <c r="J53" i="9"/>
  <c r="I53" i="9"/>
  <c r="L78" i="9"/>
  <c r="K78" i="9"/>
  <c r="M78" i="9" s="1"/>
  <c r="J78" i="9"/>
  <c r="I78" i="9"/>
  <c r="L54" i="9"/>
  <c r="K54" i="9"/>
  <c r="M54" i="9" s="1"/>
  <c r="N54" i="9" s="1"/>
  <c r="J54" i="9"/>
  <c r="I54" i="9"/>
  <c r="L55" i="9"/>
  <c r="K55" i="9"/>
  <c r="M55" i="9" s="1"/>
  <c r="N55" i="9" s="1"/>
  <c r="J55" i="9"/>
  <c r="I55" i="9"/>
  <c r="L56" i="9"/>
  <c r="K56" i="9"/>
  <c r="M56" i="9" s="1"/>
  <c r="N56" i="9" s="1"/>
  <c r="J56" i="9"/>
  <c r="I56" i="9"/>
  <c r="L57" i="9"/>
  <c r="K57" i="9"/>
  <c r="M57" i="9" s="1"/>
  <c r="N57" i="9" s="1"/>
  <c r="J57" i="9"/>
  <c r="I57" i="9"/>
  <c r="L58" i="9"/>
  <c r="K58" i="9"/>
  <c r="M58" i="9" s="1"/>
  <c r="N58" i="9" s="1"/>
  <c r="J58" i="9"/>
  <c r="I58" i="9"/>
  <c r="L59" i="9"/>
  <c r="K59" i="9"/>
  <c r="M59" i="9" s="1"/>
  <c r="N59" i="9" s="1"/>
  <c r="J59" i="9"/>
  <c r="I59" i="9"/>
  <c r="L61" i="9"/>
  <c r="K61" i="9"/>
  <c r="M61" i="9" s="1"/>
  <c r="N61" i="9" s="1"/>
  <c r="J61" i="9"/>
  <c r="I61" i="9"/>
  <c r="L63" i="9"/>
  <c r="K63" i="9"/>
  <c r="J63" i="9"/>
  <c r="I63" i="9"/>
  <c r="L64" i="9"/>
  <c r="K64" i="9"/>
  <c r="J64" i="9"/>
  <c r="I64" i="9"/>
  <c r="L69" i="9"/>
  <c r="K69" i="9"/>
  <c r="M69" i="9" s="1"/>
  <c r="J69" i="9"/>
  <c r="I69" i="9"/>
  <c r="L84" i="9"/>
  <c r="K84" i="9"/>
  <c r="M84" i="9" s="1"/>
  <c r="N84" i="9" s="1"/>
  <c r="J84" i="9"/>
  <c r="P84" i="9" s="1"/>
  <c r="Q84" i="9" s="1"/>
  <c r="I84" i="9"/>
  <c r="L70" i="9"/>
  <c r="K70" i="9"/>
  <c r="M70" i="9" s="1"/>
  <c r="J70" i="9"/>
  <c r="I70" i="9"/>
  <c r="L48" i="9"/>
  <c r="K48" i="9"/>
  <c r="M48" i="9" s="1"/>
  <c r="N48" i="9" s="1"/>
  <c r="J48" i="9"/>
  <c r="I48" i="9"/>
  <c r="L85" i="9"/>
  <c r="K85" i="9"/>
  <c r="M85" i="9" s="1"/>
  <c r="N85" i="9" s="1"/>
  <c r="J85" i="9"/>
  <c r="P85" i="9" s="1"/>
  <c r="Q85" i="9" s="1"/>
  <c r="I85" i="9"/>
  <c r="L86" i="9"/>
  <c r="K86" i="9"/>
  <c r="M86" i="9" s="1"/>
  <c r="N86" i="9" s="1"/>
  <c r="J86" i="9"/>
  <c r="P86" i="9" s="1"/>
  <c r="Q86" i="9" s="1"/>
  <c r="I86" i="9"/>
  <c r="L87" i="9"/>
  <c r="K87" i="9"/>
  <c r="M87" i="9" s="1"/>
  <c r="N87" i="9" s="1"/>
  <c r="J87" i="9"/>
  <c r="P87" i="9" s="1"/>
  <c r="Q87" i="9" s="1"/>
  <c r="I87" i="9"/>
  <c r="L71" i="9"/>
  <c r="K71" i="9"/>
  <c r="M71" i="9" s="1"/>
  <c r="J71" i="9"/>
  <c r="I71" i="9"/>
  <c r="L72" i="9"/>
  <c r="K72" i="9"/>
  <c r="M72" i="9" s="1"/>
  <c r="J72" i="9"/>
  <c r="I72" i="9"/>
  <c r="L73" i="9"/>
  <c r="K73" i="9"/>
  <c r="M73" i="9" s="1"/>
  <c r="J73" i="9"/>
  <c r="I73" i="9"/>
  <c r="L51" i="9"/>
  <c r="K51" i="9"/>
  <c r="M51" i="9" s="1"/>
  <c r="N51" i="9" s="1"/>
  <c r="J51" i="9"/>
  <c r="I51" i="9"/>
  <c r="L88" i="9"/>
  <c r="K88" i="9"/>
  <c r="M88" i="9" s="1"/>
  <c r="N88" i="9" s="1"/>
  <c r="J88" i="9"/>
  <c r="P88" i="9" s="1"/>
  <c r="Q88" i="9" s="1"/>
  <c r="I88" i="9"/>
  <c r="L89" i="9"/>
  <c r="K89" i="9"/>
  <c r="M89" i="9" s="1"/>
  <c r="N89" i="9" s="1"/>
  <c r="J89" i="9"/>
  <c r="P89" i="9" s="1"/>
  <c r="Q89" i="9" s="1"/>
  <c r="I89" i="9"/>
  <c r="L90" i="9"/>
  <c r="K90" i="9"/>
  <c r="M90" i="9" s="1"/>
  <c r="N90" i="9" s="1"/>
  <c r="J90" i="9"/>
  <c r="P90" i="9" s="1"/>
  <c r="Q90" i="9" s="1"/>
  <c r="I90" i="9"/>
  <c r="L91" i="9"/>
  <c r="K91" i="9"/>
  <c r="M91" i="9" s="1"/>
  <c r="N91" i="9" s="1"/>
  <c r="J91" i="9"/>
  <c r="P91" i="9" s="1"/>
  <c r="Q91" i="9" s="1"/>
  <c r="I91" i="9"/>
  <c r="L92" i="9"/>
  <c r="K92" i="9"/>
  <c r="M92" i="9" s="1"/>
  <c r="N92" i="9" s="1"/>
  <c r="J92" i="9"/>
  <c r="P92" i="9" s="1"/>
  <c r="Q92" i="9" s="1"/>
  <c r="I92" i="9"/>
  <c r="L74" i="9"/>
  <c r="K74" i="9"/>
  <c r="M74" i="9" s="1"/>
  <c r="J74" i="9"/>
  <c r="I74" i="9"/>
  <c r="L93" i="9"/>
  <c r="K93" i="9"/>
  <c r="M93" i="9" s="1"/>
  <c r="N93" i="9" s="1"/>
  <c r="J93" i="9"/>
  <c r="P93" i="9" s="1"/>
  <c r="Q93" i="9" s="1"/>
  <c r="I93" i="9"/>
  <c r="L75" i="9"/>
  <c r="K75" i="9"/>
  <c r="M75" i="9" s="1"/>
  <c r="J75" i="9"/>
  <c r="I75" i="9"/>
  <c r="L76" i="9"/>
  <c r="K76" i="9"/>
  <c r="M76" i="9" s="1"/>
  <c r="J76" i="9"/>
  <c r="I76" i="9"/>
  <c r="L79" i="9"/>
  <c r="K79" i="9"/>
  <c r="M79" i="9" s="1"/>
  <c r="J79" i="9"/>
  <c r="I79" i="9"/>
  <c r="L80" i="9"/>
  <c r="K80" i="9"/>
  <c r="M80" i="9" s="1"/>
  <c r="J80" i="9"/>
  <c r="I80" i="9"/>
  <c r="L94" i="9"/>
  <c r="K94" i="9"/>
  <c r="M94" i="9" s="1"/>
  <c r="N94" i="9" s="1"/>
  <c r="J94" i="9"/>
  <c r="P94" i="9" s="1"/>
  <c r="Q94" i="9" s="1"/>
  <c r="I94" i="9"/>
  <c r="L81" i="9"/>
  <c r="K81" i="9"/>
  <c r="J81" i="9"/>
  <c r="I81" i="9"/>
  <c r="L66" i="9"/>
  <c r="K66" i="9"/>
  <c r="J66" i="9"/>
  <c r="I66" i="9"/>
  <c r="L96" i="9"/>
  <c r="K96" i="9"/>
  <c r="J96" i="9"/>
  <c r="I96" i="9"/>
  <c r="L98" i="9"/>
  <c r="K98" i="9"/>
  <c r="J98" i="9"/>
  <c r="I98" i="9"/>
  <c r="L99" i="9"/>
  <c r="K99" i="9"/>
  <c r="J99" i="9"/>
  <c r="I99" i="9"/>
  <c r="L23" i="8"/>
  <c r="K23" i="8"/>
  <c r="M23" i="8" s="1"/>
  <c r="N23" i="8" s="1"/>
  <c r="J23" i="8"/>
  <c r="O23" i="8" s="1"/>
  <c r="P23" i="8" s="1"/>
  <c r="I23" i="8"/>
  <c r="L24" i="8"/>
  <c r="K24" i="8"/>
  <c r="M24" i="8" s="1"/>
  <c r="N24" i="8" s="1"/>
  <c r="J24" i="8"/>
  <c r="O24" i="8" s="1"/>
  <c r="P24" i="8" s="1"/>
  <c r="I24" i="8"/>
  <c r="L25" i="8"/>
  <c r="K25" i="8"/>
  <c r="M25" i="8" s="1"/>
  <c r="N25" i="8" s="1"/>
  <c r="J25" i="8"/>
  <c r="O25" i="8" s="1"/>
  <c r="P25" i="8" s="1"/>
  <c r="I25" i="8"/>
  <c r="L4" i="8"/>
  <c r="K4" i="8"/>
  <c r="M4" i="8" s="1"/>
  <c r="N4" i="8" s="1"/>
  <c r="J4" i="8"/>
  <c r="I4" i="8"/>
  <c r="L26" i="8"/>
  <c r="K26" i="8"/>
  <c r="M26" i="8" s="1"/>
  <c r="N26" i="8" s="1"/>
  <c r="J26" i="8"/>
  <c r="O26" i="8" s="1"/>
  <c r="P26" i="8" s="1"/>
  <c r="I26" i="8"/>
  <c r="L6" i="8"/>
  <c r="K6" i="8"/>
  <c r="J6" i="8"/>
  <c r="I6" i="8"/>
  <c r="L7" i="8"/>
  <c r="K7" i="8"/>
  <c r="J7" i="8"/>
  <c r="I7" i="8"/>
  <c r="L3" i="8"/>
  <c r="K3" i="8"/>
  <c r="M3" i="8" s="1"/>
  <c r="N3" i="8" s="1"/>
  <c r="J3" i="8"/>
  <c r="I3" i="8"/>
  <c r="L11" i="8"/>
  <c r="K11" i="8"/>
  <c r="M11" i="8" s="1"/>
  <c r="N11" i="8" s="1"/>
  <c r="J11" i="8"/>
  <c r="I11" i="8"/>
  <c r="L12" i="8"/>
  <c r="K12" i="8"/>
  <c r="M12" i="8" s="1"/>
  <c r="N12" i="8" s="1"/>
  <c r="J12" i="8"/>
  <c r="I12" i="8"/>
  <c r="L22" i="8"/>
  <c r="K22" i="8"/>
  <c r="M22" i="8" s="1"/>
  <c r="N22" i="8" s="1"/>
  <c r="J22" i="8"/>
  <c r="O22" i="8" s="1"/>
  <c r="P22" i="8" s="1"/>
  <c r="I22" i="8"/>
  <c r="L19" i="8"/>
  <c r="K19" i="8"/>
  <c r="J19" i="8"/>
  <c r="I19" i="8"/>
  <c r="L20" i="8"/>
  <c r="K20" i="8"/>
  <c r="J20" i="8"/>
  <c r="I20" i="8"/>
  <c r="L9" i="8"/>
  <c r="K9" i="8"/>
  <c r="M9" i="8" s="1"/>
  <c r="N9" i="8" s="1"/>
  <c r="J9" i="8"/>
  <c r="I9" i="8"/>
  <c r="L8" i="8"/>
  <c r="K8" i="8"/>
  <c r="M8" i="8" s="1"/>
  <c r="N8" i="8" s="1"/>
  <c r="J8" i="8"/>
  <c r="I8" i="8"/>
  <c r="L2" i="8"/>
  <c r="K2" i="8"/>
  <c r="M2" i="8" s="1"/>
  <c r="N2" i="8" s="1"/>
  <c r="J2" i="8"/>
  <c r="I2" i="8"/>
  <c r="L13" i="8"/>
  <c r="K13" i="8"/>
  <c r="M13" i="8" s="1"/>
  <c r="N13" i="8" s="1"/>
  <c r="J13" i="8"/>
  <c r="I13" i="8"/>
  <c r="L14" i="8"/>
  <c r="K14" i="8"/>
  <c r="M14" i="8" s="1"/>
  <c r="N14" i="8" s="1"/>
  <c r="J14" i="8"/>
  <c r="I14" i="8"/>
  <c r="L16" i="8"/>
  <c r="K16" i="8"/>
  <c r="M16" i="8" s="1"/>
  <c r="N16" i="8" s="1"/>
  <c r="J16" i="8"/>
  <c r="I16" i="8"/>
  <c r="L17" i="8"/>
  <c r="K17" i="8"/>
  <c r="M17" i="8" s="1"/>
  <c r="N17" i="8" s="1"/>
  <c r="J17" i="8"/>
  <c r="I17" i="8"/>
  <c r="L21" i="8"/>
  <c r="K21" i="8"/>
  <c r="M21" i="8" s="1"/>
  <c r="N21" i="8" s="1"/>
  <c r="J21" i="8"/>
  <c r="O21" i="8" s="1"/>
  <c r="P21" i="8" s="1"/>
  <c r="I21" i="8"/>
  <c r="L27" i="8"/>
  <c r="K27" i="8"/>
  <c r="M27" i="8" s="1"/>
  <c r="N27" i="8" s="1"/>
  <c r="J27" i="8"/>
  <c r="O27" i="8" s="1"/>
  <c r="P27" i="8" s="1"/>
  <c r="I27" i="8"/>
  <c r="L28" i="8"/>
  <c r="K28" i="8"/>
  <c r="J28" i="8"/>
  <c r="I28" i="8"/>
  <c r="L18" i="8"/>
  <c r="K18" i="8"/>
  <c r="M18" i="8" s="1"/>
  <c r="N18" i="8" s="1"/>
  <c r="J18" i="8"/>
  <c r="I18" i="8"/>
  <c r="L15" i="8"/>
  <c r="K15" i="8"/>
  <c r="M15" i="8" s="1"/>
  <c r="N15" i="8" s="1"/>
  <c r="J15" i="8"/>
  <c r="I15" i="8"/>
  <c r="L5" i="8"/>
  <c r="K5" i="8"/>
  <c r="J5" i="8"/>
  <c r="I5" i="8"/>
  <c r="L10" i="8"/>
  <c r="K10" i="8"/>
  <c r="M10" i="8" s="1"/>
  <c r="N10" i="8" s="1"/>
  <c r="J10" i="8"/>
  <c r="I10" i="8"/>
  <c r="L31" i="8"/>
  <c r="K31" i="8"/>
  <c r="J31" i="8"/>
  <c r="I31" i="8"/>
  <c r="L32" i="8"/>
  <c r="K32" i="8"/>
  <c r="J32" i="8"/>
  <c r="I32" i="8"/>
  <c r="L33" i="8"/>
  <c r="K33" i="8"/>
  <c r="J33" i="8"/>
  <c r="I33" i="8"/>
  <c r="L72" i="8"/>
  <c r="K72" i="8"/>
  <c r="M72" i="8" s="1"/>
  <c r="N72" i="8" s="1"/>
  <c r="J72" i="8"/>
  <c r="O72" i="8" s="1"/>
  <c r="P72" i="8" s="1"/>
  <c r="I72" i="8"/>
  <c r="L77" i="8"/>
  <c r="K77" i="8"/>
  <c r="M77" i="8" s="1"/>
  <c r="N77" i="8" s="1"/>
  <c r="J77" i="8"/>
  <c r="O77" i="8" s="1"/>
  <c r="P77" i="8" s="1"/>
  <c r="I77" i="8"/>
  <c r="L79" i="8"/>
  <c r="K79" i="8"/>
  <c r="M79" i="8" s="1"/>
  <c r="N79" i="8" s="1"/>
  <c r="J79" i="8"/>
  <c r="O79" i="8" s="1"/>
  <c r="P79" i="8" s="1"/>
  <c r="I79" i="8"/>
  <c r="L80" i="8"/>
  <c r="K80" i="8"/>
  <c r="M80" i="8" s="1"/>
  <c r="N80" i="8" s="1"/>
  <c r="J80" i="8"/>
  <c r="O80" i="8" s="1"/>
  <c r="P80" i="8" s="1"/>
  <c r="I80" i="8"/>
  <c r="L56" i="8"/>
  <c r="K56" i="8"/>
  <c r="M56" i="8" s="1"/>
  <c r="N56" i="8" s="1"/>
  <c r="J56" i="8"/>
  <c r="I56" i="8"/>
  <c r="L52" i="8"/>
  <c r="K52" i="8"/>
  <c r="M52" i="8" s="1"/>
  <c r="N52" i="8" s="1"/>
  <c r="J52" i="8"/>
  <c r="I52" i="8"/>
  <c r="L88" i="8"/>
  <c r="K88" i="8"/>
  <c r="M88" i="8" s="1"/>
  <c r="N88" i="8" s="1"/>
  <c r="J88" i="8"/>
  <c r="O88" i="8" s="1"/>
  <c r="P88" i="8" s="1"/>
  <c r="I88" i="8"/>
  <c r="L57" i="8"/>
  <c r="K57" i="8"/>
  <c r="M57" i="8" s="1"/>
  <c r="N57" i="8" s="1"/>
  <c r="J57" i="8"/>
  <c r="I57" i="8"/>
  <c r="L42" i="8"/>
  <c r="K42" i="8"/>
  <c r="M42" i="8" s="1"/>
  <c r="N42" i="8" s="1"/>
  <c r="J42" i="8"/>
  <c r="I42" i="8"/>
  <c r="L43" i="8"/>
  <c r="K43" i="8"/>
  <c r="M43" i="8" s="1"/>
  <c r="N43" i="8" s="1"/>
  <c r="J43" i="8"/>
  <c r="I43" i="8"/>
  <c r="L45" i="8"/>
  <c r="K45" i="8"/>
  <c r="J45" i="8"/>
  <c r="I45" i="8"/>
  <c r="L46" i="8"/>
  <c r="K46" i="8"/>
  <c r="J46" i="8"/>
  <c r="I46" i="8"/>
  <c r="L73" i="8"/>
  <c r="K73" i="8"/>
  <c r="M73" i="8" s="1"/>
  <c r="N73" i="8" s="1"/>
  <c r="J73" i="8"/>
  <c r="O73" i="8" s="1"/>
  <c r="P73" i="8" s="1"/>
  <c r="I73" i="8"/>
  <c r="L54" i="8"/>
  <c r="K54" i="8"/>
  <c r="M54" i="8" s="1"/>
  <c r="N54" i="8" s="1"/>
  <c r="J54" i="8"/>
  <c r="I54" i="8"/>
  <c r="L84" i="8"/>
  <c r="K84" i="8"/>
  <c r="M84" i="8" s="1"/>
  <c r="N84" i="8" s="1"/>
  <c r="J84" i="8"/>
  <c r="O84" i="8" s="1"/>
  <c r="P84" i="8" s="1"/>
  <c r="I84" i="8"/>
  <c r="L38" i="8"/>
  <c r="K38" i="8"/>
  <c r="M38" i="8" s="1"/>
  <c r="N38" i="8" s="1"/>
  <c r="J38" i="8"/>
  <c r="I38" i="8"/>
  <c r="L39" i="8"/>
  <c r="K39" i="8"/>
  <c r="M39" i="8" s="1"/>
  <c r="N39" i="8" s="1"/>
  <c r="J39" i="8"/>
  <c r="I39" i="8"/>
  <c r="L50" i="8"/>
  <c r="K50" i="8"/>
  <c r="M50" i="8" s="1"/>
  <c r="N50" i="8" s="1"/>
  <c r="J50" i="8"/>
  <c r="I50" i="8"/>
  <c r="L53" i="8"/>
  <c r="K53" i="8"/>
  <c r="M53" i="8" s="1"/>
  <c r="N53" i="8" s="1"/>
  <c r="J53" i="8"/>
  <c r="I53" i="8"/>
  <c r="L40" i="8"/>
  <c r="K40" i="8"/>
  <c r="M40" i="8" s="1"/>
  <c r="N40" i="8" s="1"/>
  <c r="J40" i="8"/>
  <c r="I40" i="8"/>
  <c r="L41" i="8"/>
  <c r="K41" i="8"/>
  <c r="M41" i="8" s="1"/>
  <c r="N41" i="8" s="1"/>
  <c r="J41" i="8"/>
  <c r="I41" i="8"/>
  <c r="L93" i="8"/>
  <c r="K93" i="8"/>
  <c r="J93" i="8"/>
  <c r="I93" i="8"/>
  <c r="L90" i="8"/>
  <c r="K90" i="8"/>
  <c r="M90" i="8" s="1"/>
  <c r="N90" i="8" s="1"/>
  <c r="J90" i="8"/>
  <c r="O90" i="8" s="1"/>
  <c r="P90" i="8" s="1"/>
  <c r="I90" i="8"/>
  <c r="L75" i="8"/>
  <c r="K75" i="8"/>
  <c r="M75" i="8" s="1"/>
  <c r="N75" i="8" s="1"/>
  <c r="J75" i="8"/>
  <c r="O75" i="8" s="1"/>
  <c r="P75" i="8" s="1"/>
  <c r="I75" i="8"/>
  <c r="L44" i="8"/>
  <c r="K44" i="8"/>
  <c r="J44" i="8"/>
  <c r="I44" i="8"/>
  <c r="L61" i="8"/>
  <c r="K61" i="8"/>
  <c r="M61" i="8" s="1"/>
  <c r="N61" i="8" s="1"/>
  <c r="J61" i="8"/>
  <c r="I61" i="8"/>
  <c r="L49" i="8"/>
  <c r="K49" i="8"/>
  <c r="M49" i="8" s="1"/>
  <c r="N49" i="8" s="1"/>
  <c r="J49" i="8"/>
  <c r="I49" i="8"/>
  <c r="L89" i="8"/>
  <c r="K89" i="8"/>
  <c r="M89" i="8" s="1"/>
  <c r="N89" i="8" s="1"/>
  <c r="J89" i="8"/>
  <c r="O89" i="8" s="1"/>
  <c r="P89" i="8" s="1"/>
  <c r="I89" i="8"/>
  <c r="L59" i="8"/>
  <c r="K59" i="8"/>
  <c r="M59" i="8" s="1"/>
  <c r="N59" i="8" s="1"/>
  <c r="J59" i="8"/>
  <c r="I59" i="8"/>
  <c r="L62" i="8"/>
  <c r="K62" i="8"/>
  <c r="M62" i="8" s="1"/>
  <c r="N62" i="8" s="1"/>
  <c r="J62" i="8"/>
  <c r="I62" i="8"/>
  <c r="L48" i="8"/>
  <c r="K48" i="8"/>
  <c r="M48" i="8" s="1"/>
  <c r="N48" i="8" s="1"/>
  <c r="J48" i="8"/>
  <c r="I48" i="8"/>
  <c r="L76" i="8"/>
  <c r="K76" i="8"/>
  <c r="M76" i="8" s="1"/>
  <c r="N76" i="8" s="1"/>
  <c r="J76" i="8"/>
  <c r="O76" i="8" s="1"/>
  <c r="P76" i="8" s="1"/>
  <c r="I76" i="8"/>
  <c r="L86" i="8"/>
  <c r="K86" i="8"/>
  <c r="M86" i="8" s="1"/>
  <c r="N86" i="8" s="1"/>
  <c r="J86" i="8"/>
  <c r="O86" i="8" s="1"/>
  <c r="P86" i="8" s="1"/>
  <c r="I86" i="8"/>
  <c r="L78" i="8"/>
  <c r="K78" i="8"/>
  <c r="M78" i="8" s="1"/>
  <c r="N78" i="8" s="1"/>
  <c r="J78" i="8"/>
  <c r="O78" i="8" s="1"/>
  <c r="P78" i="8" s="1"/>
  <c r="I78" i="8"/>
  <c r="L94" i="8"/>
  <c r="K94" i="8"/>
  <c r="J94" i="8"/>
  <c r="I94" i="8"/>
  <c r="L36" i="8"/>
  <c r="K36" i="8"/>
  <c r="M36" i="8" s="1"/>
  <c r="N36" i="8" s="1"/>
  <c r="J36" i="8"/>
  <c r="I36" i="8"/>
  <c r="L35" i="8"/>
  <c r="K35" i="8"/>
  <c r="M35" i="8" s="1"/>
  <c r="N35" i="8" s="1"/>
  <c r="J35" i="8"/>
  <c r="I35" i="8"/>
  <c r="L37" i="8"/>
  <c r="K37" i="8"/>
  <c r="M37" i="8" s="1"/>
  <c r="N37" i="8" s="1"/>
  <c r="J37" i="8"/>
  <c r="I37" i="8"/>
  <c r="L51" i="8"/>
  <c r="K51" i="8"/>
  <c r="M51" i="8" s="1"/>
  <c r="N51" i="8" s="1"/>
  <c r="J51" i="8"/>
  <c r="I51" i="8"/>
  <c r="L55" i="8"/>
  <c r="K55" i="8"/>
  <c r="M55" i="8" s="1"/>
  <c r="N55" i="8" s="1"/>
  <c r="J55" i="8"/>
  <c r="I55" i="8"/>
  <c r="L58" i="8"/>
  <c r="K58" i="8"/>
  <c r="M58" i="8" s="1"/>
  <c r="N58" i="8" s="1"/>
  <c r="J58" i="8"/>
  <c r="I58" i="8"/>
  <c r="L60" i="8"/>
  <c r="K60" i="8"/>
  <c r="M60" i="8" s="1"/>
  <c r="N60" i="8" s="1"/>
  <c r="J60" i="8"/>
  <c r="I60" i="8"/>
  <c r="L47" i="8"/>
  <c r="K47" i="8"/>
  <c r="M47" i="8" s="1"/>
  <c r="N47" i="8" s="1"/>
  <c r="J47" i="8"/>
  <c r="I47" i="8"/>
  <c r="L70" i="8"/>
  <c r="K70" i="8"/>
  <c r="M70" i="8" s="1"/>
  <c r="N70" i="8" s="1"/>
  <c r="J70" i="8"/>
  <c r="O70" i="8" s="1"/>
  <c r="P70" i="8" s="1"/>
  <c r="I70" i="8"/>
  <c r="L71" i="8"/>
  <c r="K71" i="8"/>
  <c r="M71" i="8" s="1"/>
  <c r="N71" i="8" s="1"/>
  <c r="J71" i="8"/>
  <c r="O71" i="8" s="1"/>
  <c r="P71" i="8" s="1"/>
  <c r="I71" i="8"/>
  <c r="L81" i="8"/>
  <c r="K81" i="8"/>
  <c r="M81" i="8" s="1"/>
  <c r="N81" i="8" s="1"/>
  <c r="J81" i="8"/>
  <c r="O81" i="8" s="1"/>
  <c r="P81" i="8" s="1"/>
  <c r="I81" i="8"/>
  <c r="L82" i="8"/>
  <c r="K82" i="8"/>
  <c r="M82" i="8" s="1"/>
  <c r="N82" i="8" s="1"/>
  <c r="J82" i="8"/>
  <c r="O82" i="8" s="1"/>
  <c r="P82" i="8" s="1"/>
  <c r="I82" i="8"/>
  <c r="L83" i="8"/>
  <c r="K83" i="8"/>
  <c r="M83" i="8" s="1"/>
  <c r="N83" i="8" s="1"/>
  <c r="J83" i="8"/>
  <c r="O83" i="8" s="1"/>
  <c r="P83" i="8" s="1"/>
  <c r="I83" i="8"/>
  <c r="L85" i="8"/>
  <c r="K85" i="8"/>
  <c r="M85" i="8" s="1"/>
  <c r="N85" i="8" s="1"/>
  <c r="J85" i="8"/>
  <c r="O85" i="8" s="1"/>
  <c r="P85" i="8" s="1"/>
  <c r="I85" i="8"/>
  <c r="L91" i="8"/>
  <c r="K91" i="8"/>
  <c r="J91" i="8"/>
  <c r="I91" i="8"/>
  <c r="L87" i="8"/>
  <c r="K87" i="8"/>
  <c r="M87" i="8" s="1"/>
  <c r="N87" i="8" s="1"/>
  <c r="J87" i="8"/>
  <c r="O87" i="8" s="1"/>
  <c r="P87" i="8" s="1"/>
  <c r="I87" i="8"/>
  <c r="L68" i="8"/>
  <c r="K68" i="8"/>
  <c r="M68" i="8" s="1"/>
  <c r="N68" i="8" s="1"/>
  <c r="J68" i="8"/>
  <c r="O68" i="8" s="1"/>
  <c r="P68" i="8" s="1"/>
  <c r="I68" i="8"/>
  <c r="L69" i="8"/>
  <c r="K69" i="8"/>
  <c r="M69" i="8" s="1"/>
  <c r="N69" i="8" s="1"/>
  <c r="J69" i="8"/>
  <c r="O69" i="8" s="1"/>
  <c r="P69" i="8" s="1"/>
  <c r="I69" i="8"/>
  <c r="L74" i="8"/>
  <c r="K74" i="8"/>
  <c r="M74" i="8" s="1"/>
  <c r="N74" i="8" s="1"/>
  <c r="J74" i="8"/>
  <c r="O74" i="8" s="1"/>
  <c r="P74" i="8" s="1"/>
  <c r="I74" i="8"/>
  <c r="L64" i="8"/>
  <c r="K64" i="8"/>
  <c r="J64" i="8"/>
  <c r="I64" i="8"/>
  <c r="L65" i="8"/>
  <c r="K65" i="8"/>
  <c r="J65" i="8"/>
  <c r="I65" i="8"/>
  <c r="L96" i="8"/>
  <c r="K96" i="8"/>
  <c r="J96" i="8"/>
  <c r="I96" i="8"/>
  <c r="L98" i="8"/>
  <c r="K98" i="8"/>
  <c r="J98" i="8"/>
  <c r="I98" i="8"/>
  <c r="L99" i="8"/>
  <c r="K99" i="8"/>
  <c r="J99" i="8"/>
  <c r="I99" i="8"/>
  <c r="O51" i="7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N69" i="24" l="1"/>
  <c r="M69" i="24"/>
  <c r="N80" i="24"/>
  <c r="M80" i="24"/>
  <c r="N79" i="24"/>
  <c r="M79" i="24"/>
  <c r="N78" i="24"/>
  <c r="M78" i="24"/>
  <c r="N77" i="24"/>
  <c r="M77" i="24"/>
  <c r="N76" i="24"/>
  <c r="M76" i="24"/>
  <c r="N75" i="24"/>
  <c r="M75" i="24"/>
  <c r="N73" i="24"/>
  <c r="M73" i="24"/>
  <c r="N72" i="24"/>
  <c r="M72" i="24"/>
  <c r="N70" i="24"/>
  <c r="M70" i="24"/>
  <c r="N68" i="24"/>
  <c r="M68" i="24"/>
  <c r="N83" i="24"/>
  <c r="M83" i="24"/>
  <c r="N82" i="24"/>
  <c r="M82" i="24"/>
  <c r="N81" i="24"/>
  <c r="M81" i="24"/>
  <c r="N74" i="24"/>
  <c r="M74" i="24"/>
  <c r="N71" i="24"/>
  <c r="M71" i="24"/>
  <c r="N66" i="24"/>
  <c r="M66" i="24"/>
  <c r="N61" i="24"/>
  <c r="M61" i="24"/>
  <c r="N60" i="24"/>
  <c r="M60" i="24"/>
  <c r="N58" i="24"/>
  <c r="M58" i="24"/>
  <c r="N51" i="24"/>
  <c r="M51" i="24"/>
  <c r="N53" i="24"/>
  <c r="M53" i="24"/>
  <c r="N52" i="24"/>
  <c r="M52" i="24"/>
  <c r="N50" i="24"/>
  <c r="M50" i="24"/>
  <c r="N46" i="24"/>
  <c r="M46" i="24"/>
  <c r="N45" i="24"/>
  <c r="M45" i="24"/>
  <c r="N44" i="24"/>
  <c r="M44" i="24"/>
  <c r="N65" i="24"/>
  <c r="M65" i="24"/>
  <c r="N64" i="24"/>
  <c r="M64" i="24"/>
  <c r="N62" i="24"/>
  <c r="M62" i="24"/>
  <c r="N59" i="24"/>
  <c r="M59" i="24"/>
  <c r="N57" i="24"/>
  <c r="M57" i="24"/>
  <c r="N56" i="24"/>
  <c r="M56" i="24"/>
  <c r="N55" i="24"/>
  <c r="M55" i="24"/>
  <c r="N48" i="24"/>
  <c r="M48" i="24"/>
  <c r="N47" i="24"/>
  <c r="M47" i="24"/>
  <c r="N54" i="24"/>
  <c r="M54" i="24"/>
  <c r="N63" i="24"/>
  <c r="M63" i="24"/>
  <c r="N49" i="24"/>
  <c r="M49" i="24"/>
  <c r="N42" i="24"/>
  <c r="M42" i="24"/>
  <c r="N35" i="24"/>
  <c r="M35" i="24"/>
  <c r="N41" i="24"/>
  <c r="M41" i="24"/>
  <c r="N40" i="24"/>
  <c r="M40" i="24"/>
  <c r="N37" i="24"/>
  <c r="M37" i="24"/>
  <c r="N36" i="24"/>
  <c r="M36" i="24"/>
  <c r="N39" i="24"/>
  <c r="M39" i="24"/>
  <c r="N25" i="24"/>
  <c r="M25" i="24"/>
  <c r="N24" i="24"/>
  <c r="M24" i="24"/>
  <c r="N23" i="24"/>
  <c r="M23" i="24"/>
  <c r="N22" i="24"/>
  <c r="M22" i="24"/>
  <c r="N10" i="24"/>
  <c r="M10" i="24"/>
  <c r="N15" i="24"/>
  <c r="M15" i="24"/>
  <c r="N14" i="24"/>
  <c r="M14" i="24"/>
  <c r="N13" i="24"/>
  <c r="M13" i="24"/>
  <c r="N12" i="24"/>
  <c r="M12" i="24"/>
  <c r="N9" i="24"/>
  <c r="M9" i="24"/>
  <c r="N8" i="24"/>
  <c r="M8" i="24"/>
  <c r="N7" i="24"/>
  <c r="M7" i="24"/>
  <c r="N19" i="24"/>
  <c r="M19" i="24"/>
  <c r="N18" i="24"/>
  <c r="M18" i="24"/>
  <c r="N17" i="24"/>
  <c r="M17" i="24"/>
  <c r="N16" i="24"/>
  <c r="M16" i="24"/>
  <c r="N11" i="24"/>
  <c r="M11" i="24"/>
  <c r="N4" i="24"/>
  <c r="M4" i="24"/>
  <c r="M38" i="24"/>
  <c r="N3" i="24"/>
  <c r="M3" i="24"/>
  <c r="N2" i="24"/>
  <c r="M2" i="24"/>
  <c r="N43" i="23"/>
  <c r="M43" i="23"/>
  <c r="N42" i="23"/>
  <c r="M42" i="23"/>
  <c r="N41" i="23"/>
  <c r="M41" i="23"/>
  <c r="N40" i="23"/>
  <c r="M40" i="23"/>
  <c r="N39" i="23"/>
  <c r="M39" i="23"/>
  <c r="N38" i="23"/>
  <c r="M38" i="23"/>
  <c r="N37" i="23"/>
  <c r="M37" i="23"/>
  <c r="N36" i="23"/>
  <c r="M36" i="23"/>
  <c r="N35" i="23"/>
  <c r="M35" i="23"/>
  <c r="N3" i="23"/>
  <c r="M3" i="23"/>
  <c r="N2" i="23"/>
  <c r="M2" i="23"/>
  <c r="M92" i="22"/>
  <c r="N92" i="22"/>
  <c r="N83" i="22"/>
  <c r="M83" i="22"/>
  <c r="N88" i="22"/>
  <c r="M88" i="22"/>
  <c r="R82" i="22"/>
  <c r="Q82" i="22"/>
  <c r="N90" i="22"/>
  <c r="M90" i="22"/>
  <c r="N82" i="22"/>
  <c r="M82" i="22"/>
  <c r="N86" i="22"/>
  <c r="M86" i="22"/>
  <c r="N85" i="22"/>
  <c r="M85" i="22"/>
  <c r="N87" i="22"/>
  <c r="M87" i="22"/>
  <c r="R81" i="22"/>
  <c r="Q81" i="22"/>
  <c r="N84" i="22"/>
  <c r="M84" i="22"/>
  <c r="N91" i="22"/>
  <c r="M91" i="22"/>
  <c r="N81" i="22"/>
  <c r="M81" i="22"/>
  <c r="N69" i="22"/>
  <c r="M69" i="22"/>
  <c r="N74" i="22"/>
  <c r="M74" i="22"/>
  <c r="O68" i="22"/>
  <c r="Q68" i="22"/>
  <c r="Q69" i="22"/>
  <c r="O69" i="22"/>
  <c r="N68" i="22"/>
  <c r="M68" i="22"/>
  <c r="N71" i="22"/>
  <c r="M71" i="22"/>
  <c r="Q71" i="22"/>
  <c r="O71" i="22"/>
  <c r="Q70" i="22"/>
  <c r="O70" i="22"/>
  <c r="Q73" i="22"/>
  <c r="O73" i="22"/>
  <c r="Q78" i="22"/>
  <c r="O78" i="22"/>
  <c r="Q75" i="22"/>
  <c r="O75" i="22"/>
  <c r="M75" i="22"/>
  <c r="N75" i="22"/>
  <c r="Q77" i="22"/>
  <c r="O77" i="22"/>
  <c r="M70" i="22"/>
  <c r="N70" i="22"/>
  <c r="Q74" i="22"/>
  <c r="O74" i="22"/>
  <c r="O76" i="22"/>
  <c r="Q76" i="22"/>
  <c r="N78" i="22"/>
  <c r="M78" i="22"/>
  <c r="N77" i="22"/>
  <c r="M77" i="22"/>
  <c r="N53" i="22"/>
  <c r="M53" i="22"/>
  <c r="N50" i="22"/>
  <c r="M50" i="22"/>
  <c r="M61" i="22"/>
  <c r="N61" i="22"/>
  <c r="M57" i="22"/>
  <c r="N57" i="22"/>
  <c r="N51" i="22"/>
  <c r="M51" i="22"/>
  <c r="N54" i="22"/>
  <c r="M54" i="22"/>
  <c r="N56" i="22"/>
  <c r="M56" i="22"/>
  <c r="N55" i="22"/>
  <c r="M55" i="22"/>
  <c r="N52" i="22"/>
  <c r="M52" i="22"/>
  <c r="N59" i="22"/>
  <c r="M59" i="22"/>
  <c r="N62" i="22"/>
  <c r="M62" i="22"/>
  <c r="N49" i="22"/>
  <c r="M49" i="22"/>
  <c r="N58" i="22"/>
  <c r="M58" i="22"/>
  <c r="N37" i="22"/>
  <c r="M37" i="22"/>
  <c r="N38" i="22"/>
  <c r="M38" i="22"/>
  <c r="N45" i="22"/>
  <c r="M45" i="22"/>
  <c r="N46" i="22"/>
  <c r="M46" i="22"/>
  <c r="N44" i="22"/>
  <c r="M44" i="22"/>
  <c r="N41" i="22"/>
  <c r="M41" i="22"/>
  <c r="N40" i="22"/>
  <c r="M40" i="22"/>
  <c r="N35" i="22"/>
  <c r="M35" i="22"/>
  <c r="N36" i="22"/>
  <c r="M36" i="22"/>
  <c r="N39" i="22"/>
  <c r="M39" i="22"/>
  <c r="N43" i="22"/>
  <c r="M43" i="22"/>
  <c r="R24" i="22"/>
  <c r="Q24" i="22"/>
  <c r="N24" i="22"/>
  <c r="M24" i="22"/>
  <c r="N26" i="22"/>
  <c r="M26" i="22"/>
  <c r="M25" i="22"/>
  <c r="N25" i="22"/>
  <c r="N28" i="22"/>
  <c r="M28" i="22"/>
  <c r="N27" i="22"/>
  <c r="M27" i="22"/>
  <c r="N29" i="22"/>
  <c r="M29" i="22"/>
  <c r="N17" i="22"/>
  <c r="M17" i="22"/>
  <c r="Q17" i="22"/>
  <c r="O17" i="22"/>
  <c r="N18" i="22"/>
  <c r="M18" i="22"/>
  <c r="Q18" i="22"/>
  <c r="O18" i="22"/>
  <c r="N19" i="22"/>
  <c r="M19" i="22"/>
  <c r="O19" i="22"/>
  <c r="Q19" i="22"/>
  <c r="N21" i="22"/>
  <c r="M21" i="22"/>
  <c r="Q20" i="22"/>
  <c r="O20" i="22"/>
  <c r="Q21" i="22"/>
  <c r="O21" i="22"/>
  <c r="M20" i="22"/>
  <c r="N20" i="22"/>
  <c r="N9" i="22"/>
  <c r="M9" i="22"/>
  <c r="N10" i="22"/>
  <c r="M10" i="22"/>
  <c r="N13" i="22"/>
  <c r="M13" i="22"/>
  <c r="N14" i="22"/>
  <c r="M14" i="22"/>
  <c r="N11" i="22"/>
  <c r="M11" i="22"/>
  <c r="N8" i="22"/>
  <c r="M8" i="22"/>
  <c r="N5" i="22"/>
  <c r="M5" i="22"/>
  <c r="N2" i="22"/>
  <c r="M2" i="22"/>
  <c r="N4" i="22"/>
  <c r="M4" i="22"/>
  <c r="M3" i="22"/>
  <c r="M42" i="22"/>
  <c r="M60" i="22"/>
  <c r="M12" i="22"/>
  <c r="N48" i="21"/>
  <c r="M48" i="21"/>
  <c r="N46" i="21"/>
  <c r="M46" i="21"/>
  <c r="P43" i="21"/>
  <c r="O43" i="21"/>
  <c r="P50" i="21"/>
  <c r="O50" i="21"/>
  <c r="P45" i="21"/>
  <c r="O45" i="21"/>
  <c r="N43" i="21"/>
  <c r="M43" i="21"/>
  <c r="N50" i="21"/>
  <c r="M50" i="21"/>
  <c r="M45" i="21"/>
  <c r="N45" i="21"/>
  <c r="P44" i="21"/>
  <c r="O44" i="21"/>
  <c r="M44" i="21"/>
  <c r="N44" i="21"/>
  <c r="P48" i="21"/>
  <c r="O48" i="21"/>
  <c r="P46" i="21"/>
  <c r="O46" i="21"/>
  <c r="N5" i="21"/>
  <c r="M5" i="21"/>
  <c r="N6" i="21"/>
  <c r="M6" i="21"/>
  <c r="P49" i="21"/>
  <c r="O49" i="21"/>
  <c r="N49" i="21"/>
  <c r="M49" i="21"/>
  <c r="P47" i="21"/>
  <c r="O47" i="21"/>
  <c r="N47" i="21"/>
  <c r="M47" i="21"/>
  <c r="N39" i="21"/>
  <c r="M39" i="21"/>
  <c r="N40" i="21"/>
  <c r="M40" i="21"/>
  <c r="N38" i="21"/>
  <c r="M38" i="21"/>
  <c r="N37" i="21"/>
  <c r="M37" i="21"/>
  <c r="N36" i="21"/>
  <c r="M36" i="21"/>
  <c r="N35" i="21"/>
  <c r="M35" i="21"/>
  <c r="P9" i="21"/>
  <c r="O9" i="21"/>
  <c r="N9" i="21"/>
  <c r="M9" i="21"/>
  <c r="P8" i="21"/>
  <c r="O8" i="21"/>
  <c r="N8" i="21"/>
  <c r="M8" i="21"/>
  <c r="P7" i="21"/>
  <c r="O7" i="21"/>
  <c r="N7" i="21"/>
  <c r="M7" i="21"/>
  <c r="N2" i="21"/>
  <c r="M2" i="21"/>
  <c r="P77" i="20"/>
  <c r="O77" i="20"/>
  <c r="N77" i="20"/>
  <c r="M77" i="20"/>
  <c r="N55" i="20"/>
  <c r="M55" i="20"/>
  <c r="N4" i="20"/>
  <c r="M4" i="20"/>
  <c r="P73" i="20"/>
  <c r="O73" i="20"/>
  <c r="N73" i="20"/>
  <c r="M73" i="20"/>
  <c r="P72" i="20"/>
  <c r="O72" i="20"/>
  <c r="N72" i="20"/>
  <c r="M72" i="20"/>
  <c r="P71" i="20"/>
  <c r="O71" i="20"/>
  <c r="N71" i="20"/>
  <c r="M71" i="20"/>
  <c r="P70" i="20"/>
  <c r="O70" i="20"/>
  <c r="N70" i="20"/>
  <c r="M70" i="20"/>
  <c r="P69" i="20"/>
  <c r="O69" i="20"/>
  <c r="N69" i="20"/>
  <c r="M69" i="20"/>
  <c r="P68" i="20"/>
  <c r="O68" i="20"/>
  <c r="N68" i="20"/>
  <c r="M68" i="20"/>
  <c r="P76" i="20"/>
  <c r="O76" i="20"/>
  <c r="N76" i="20"/>
  <c r="M76" i="20"/>
  <c r="P75" i="20"/>
  <c r="O75" i="20"/>
  <c r="N75" i="20"/>
  <c r="M75" i="20"/>
  <c r="P74" i="20"/>
  <c r="O74" i="20"/>
  <c r="N74" i="20"/>
  <c r="M74" i="20"/>
  <c r="N52" i="20"/>
  <c r="M52" i="20"/>
  <c r="N51" i="20"/>
  <c r="M51" i="20"/>
  <c r="N54" i="20"/>
  <c r="M54" i="20"/>
  <c r="N53" i="20"/>
  <c r="M53" i="20"/>
  <c r="N50" i="20"/>
  <c r="M50" i="20"/>
  <c r="N56" i="20"/>
  <c r="M56" i="20"/>
  <c r="N39" i="20"/>
  <c r="M39" i="20"/>
  <c r="N38" i="20"/>
  <c r="M38" i="20"/>
  <c r="N37" i="20"/>
  <c r="M37" i="20"/>
  <c r="N36" i="20"/>
  <c r="M36" i="20"/>
  <c r="N35" i="20"/>
  <c r="M35" i="20"/>
  <c r="P20" i="20"/>
  <c r="O20" i="20"/>
  <c r="N20" i="20"/>
  <c r="M20" i="20"/>
  <c r="P18" i="20"/>
  <c r="O18" i="20"/>
  <c r="N18" i="20"/>
  <c r="M18" i="20"/>
  <c r="P22" i="20"/>
  <c r="O22" i="20"/>
  <c r="N22" i="20"/>
  <c r="M22" i="20"/>
  <c r="P21" i="20"/>
  <c r="O21" i="20"/>
  <c r="N21" i="20"/>
  <c r="M21" i="20"/>
  <c r="P19" i="20"/>
  <c r="O19" i="20"/>
  <c r="N19" i="20"/>
  <c r="M19" i="20"/>
  <c r="N11" i="20"/>
  <c r="M11" i="20"/>
  <c r="N10" i="20"/>
  <c r="M10" i="20"/>
  <c r="N9" i="20"/>
  <c r="M9" i="20"/>
  <c r="N8" i="20"/>
  <c r="M8" i="20"/>
  <c r="N3" i="20"/>
  <c r="M3" i="20"/>
  <c r="N2" i="20"/>
  <c r="M2" i="20"/>
  <c r="N7" i="20"/>
  <c r="M7" i="20"/>
  <c r="T59" i="19"/>
  <c r="S59" i="19"/>
  <c r="N59" i="19"/>
  <c r="M59" i="19"/>
  <c r="T58" i="19"/>
  <c r="S58" i="19"/>
  <c r="N58" i="19"/>
  <c r="M58" i="19"/>
  <c r="T57" i="19"/>
  <c r="S57" i="19"/>
  <c r="N57" i="19"/>
  <c r="M57" i="19"/>
  <c r="T56" i="19"/>
  <c r="S56" i="19"/>
  <c r="N56" i="19"/>
  <c r="M56" i="19"/>
  <c r="T55" i="19"/>
  <c r="S55" i="19"/>
  <c r="N55" i="19"/>
  <c r="M55" i="19"/>
  <c r="T54" i="19"/>
  <c r="S54" i="19"/>
  <c r="N54" i="19"/>
  <c r="M54" i="19"/>
  <c r="T53" i="19"/>
  <c r="S53" i="19"/>
  <c r="N53" i="19"/>
  <c r="M53" i="19"/>
  <c r="T52" i="19"/>
  <c r="S52" i="19"/>
  <c r="N52" i="19"/>
  <c r="M52" i="19"/>
  <c r="T51" i="19"/>
  <c r="S51" i="19"/>
  <c r="N51" i="19"/>
  <c r="M51" i="19"/>
  <c r="T50" i="19"/>
  <c r="S50" i="19"/>
  <c r="N50" i="19"/>
  <c r="M50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39" i="19"/>
  <c r="M39" i="19"/>
  <c r="N38" i="19"/>
  <c r="M38" i="19"/>
  <c r="N37" i="19"/>
  <c r="M37" i="19"/>
  <c r="N36" i="19"/>
  <c r="M36" i="19"/>
  <c r="N35" i="19"/>
  <c r="M35" i="19"/>
  <c r="S18" i="19"/>
  <c r="R18" i="19"/>
  <c r="N18" i="19"/>
  <c r="M18" i="19"/>
  <c r="S17" i="19"/>
  <c r="R17" i="19"/>
  <c r="N17" i="19"/>
  <c r="M17" i="19"/>
  <c r="S16" i="19"/>
  <c r="R16" i="19"/>
  <c r="N16" i="19"/>
  <c r="M16" i="19"/>
  <c r="S15" i="19"/>
  <c r="R15" i="19"/>
  <c r="N15" i="19"/>
  <c r="M15" i="19"/>
  <c r="S14" i="19"/>
  <c r="R14" i="19"/>
  <c r="N14" i="19"/>
  <c r="M14" i="19"/>
  <c r="N11" i="19"/>
  <c r="M11" i="19"/>
  <c r="N10" i="19"/>
  <c r="M10" i="19"/>
  <c r="N9" i="19"/>
  <c r="M9" i="19"/>
  <c r="N8" i="19"/>
  <c r="M8" i="19"/>
  <c r="N7" i="19"/>
  <c r="M7" i="19"/>
  <c r="N4" i="19"/>
  <c r="M4" i="19"/>
  <c r="N3" i="19"/>
  <c r="M3" i="19"/>
  <c r="N2" i="19"/>
  <c r="M2" i="19"/>
  <c r="M69" i="18"/>
  <c r="T59" i="17"/>
  <c r="S59" i="17"/>
  <c r="N59" i="17"/>
  <c r="M59" i="17"/>
  <c r="T58" i="17"/>
  <c r="S58" i="17"/>
  <c r="N58" i="17"/>
  <c r="M58" i="17"/>
  <c r="T55" i="17"/>
  <c r="S55" i="17"/>
  <c r="N55" i="17"/>
  <c r="M55" i="17"/>
  <c r="T57" i="17"/>
  <c r="S57" i="17"/>
  <c r="N57" i="17"/>
  <c r="M57" i="17"/>
  <c r="T53" i="17"/>
  <c r="S53" i="17"/>
  <c r="N53" i="17"/>
  <c r="M53" i="17"/>
  <c r="T52" i="17"/>
  <c r="S52" i="17"/>
  <c r="N52" i="17"/>
  <c r="M52" i="17"/>
  <c r="T51" i="17"/>
  <c r="S51" i="17"/>
  <c r="N51" i="17"/>
  <c r="M51" i="17"/>
  <c r="T50" i="17"/>
  <c r="S50" i="17"/>
  <c r="T56" i="17"/>
  <c r="S56" i="17"/>
  <c r="N56" i="17"/>
  <c r="M56" i="17"/>
  <c r="T54" i="17"/>
  <c r="S54" i="17"/>
  <c r="N54" i="17"/>
  <c r="M54" i="17"/>
  <c r="M45" i="17"/>
  <c r="M44" i="17"/>
  <c r="M47" i="17"/>
  <c r="M46" i="17"/>
  <c r="M43" i="17"/>
  <c r="M42" i="17"/>
  <c r="N39" i="17"/>
  <c r="M39" i="17"/>
  <c r="N38" i="17"/>
  <c r="M38" i="17"/>
  <c r="N37" i="17"/>
  <c r="M37" i="17"/>
  <c r="N36" i="17"/>
  <c r="M36" i="17"/>
  <c r="N35" i="17"/>
  <c r="M35" i="17"/>
  <c r="S18" i="17"/>
  <c r="R18" i="17"/>
  <c r="N18" i="17"/>
  <c r="M18" i="17"/>
  <c r="S15" i="17"/>
  <c r="R15" i="17"/>
  <c r="N15" i="17"/>
  <c r="M15" i="17"/>
  <c r="N8" i="17"/>
  <c r="M8" i="17"/>
  <c r="N11" i="17"/>
  <c r="M11" i="17"/>
  <c r="N4" i="17"/>
  <c r="M4" i="17"/>
  <c r="N3" i="17"/>
  <c r="M3" i="17"/>
  <c r="N2" i="17"/>
  <c r="M2" i="17"/>
  <c r="N9" i="17"/>
  <c r="M9" i="17"/>
  <c r="N7" i="17"/>
  <c r="M7" i="17"/>
  <c r="S16" i="17"/>
  <c r="R16" i="17"/>
  <c r="N16" i="17"/>
  <c r="M16" i="17"/>
  <c r="N10" i="17"/>
  <c r="M10" i="17"/>
  <c r="S17" i="17"/>
  <c r="R17" i="17"/>
  <c r="N17" i="17"/>
  <c r="M17" i="17"/>
  <c r="S14" i="17"/>
  <c r="R14" i="17"/>
  <c r="N14" i="17"/>
  <c r="M14" i="17"/>
  <c r="M50" i="17"/>
  <c r="P76" i="16"/>
  <c r="O76" i="16"/>
  <c r="N76" i="16"/>
  <c r="M76" i="16"/>
  <c r="P75" i="16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O4" i="16"/>
  <c r="M4" i="16"/>
  <c r="O68" i="16"/>
  <c r="M68" i="16"/>
  <c r="O6" i="16"/>
  <c r="M6" i="16"/>
  <c r="O5" i="16"/>
  <c r="M5" i="16"/>
  <c r="O3" i="16"/>
  <c r="M3" i="16"/>
  <c r="O2" i="16"/>
  <c r="M2" i="16"/>
  <c r="M10" i="16"/>
  <c r="M21" i="13"/>
  <c r="N21" i="13" s="1"/>
  <c r="N68" i="12"/>
  <c r="O76" i="11"/>
  <c r="N76" i="11"/>
  <c r="O80" i="11"/>
  <c r="N80" i="11"/>
  <c r="O83" i="11"/>
  <c r="N83" i="11"/>
  <c r="O82" i="11"/>
  <c r="N82" i="11"/>
  <c r="O79" i="11"/>
  <c r="N79" i="11"/>
  <c r="O75" i="11"/>
  <c r="N75" i="11"/>
  <c r="O78" i="11"/>
  <c r="N78" i="11"/>
  <c r="O77" i="11"/>
  <c r="N77" i="11"/>
  <c r="O73" i="11"/>
  <c r="N73" i="11"/>
  <c r="O72" i="11"/>
  <c r="N72" i="11"/>
  <c r="O71" i="11"/>
  <c r="N71" i="11"/>
  <c r="O70" i="11"/>
  <c r="N70" i="11"/>
  <c r="O69" i="11"/>
  <c r="N69" i="11"/>
  <c r="O84" i="11"/>
  <c r="N84" i="11"/>
  <c r="O81" i="11"/>
  <c r="N81" i="11"/>
  <c r="O74" i="11"/>
  <c r="N74" i="11"/>
  <c r="N68" i="11"/>
  <c r="O68" i="11"/>
  <c r="P21" i="11"/>
  <c r="O21" i="11"/>
  <c r="P22" i="11"/>
  <c r="O22" i="11"/>
  <c r="P20" i="11"/>
  <c r="O20" i="11"/>
  <c r="P80" i="9"/>
  <c r="N80" i="9"/>
  <c r="P79" i="9"/>
  <c r="N79" i="9"/>
  <c r="P76" i="9"/>
  <c r="N76" i="9"/>
  <c r="P75" i="9"/>
  <c r="N75" i="9"/>
  <c r="P74" i="9"/>
  <c r="N74" i="9"/>
  <c r="P73" i="9"/>
  <c r="N73" i="9"/>
  <c r="P72" i="9"/>
  <c r="N72" i="9"/>
  <c r="P71" i="9"/>
  <c r="N71" i="9"/>
  <c r="P70" i="9"/>
  <c r="N70" i="9"/>
  <c r="P69" i="9"/>
  <c r="N69" i="9"/>
  <c r="P78" i="9"/>
  <c r="N78" i="9"/>
  <c r="P77" i="9"/>
  <c r="N77" i="9"/>
  <c r="N68" i="9"/>
  <c r="P68" i="9"/>
  <c r="P22" i="9"/>
  <c r="N22" i="9"/>
  <c r="P20" i="9"/>
  <c r="N20" i="9"/>
  <c r="P19" i="9"/>
  <c r="N19" i="9"/>
  <c r="N21" i="9"/>
  <c r="P21" i="9"/>
  <c r="O4" i="4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<sst xmlns="http://schemas.openxmlformats.org/spreadsheetml/2006/main" count="5241" uniqueCount="389">
  <si>
    <t>WO 3/12/2024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</si>
  <si>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</si>
  <si>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</si>
  <si>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</si>
  <si>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</si>
  <si>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</si>
  <si>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</si>
  <si>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</si>
  <si>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</si>
  <si>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</si>
  <si>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</si>
  <si>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</si>
  <si>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</si>
  <si>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800 T</t>
  </si>
  <si>
    <t>1st 200</t>
  </si>
  <si>
    <t>2nd 200</t>
  </si>
  <si>
    <t>3rd 200</t>
  </si>
  <si>
    <t>4th 200</t>
  </si>
  <si>
    <t>.......</t>
  </si>
  <si>
    <t>........</t>
  </si>
  <si>
    <t>…......</t>
  </si>
  <si>
    <t>G</t>
  </si>
  <si>
    <t>A: 800 T, 2 x (4 x 200, 30s Rest), 5-7m Rest</t>
  </si>
  <si>
    <t>Phelan, Erin</t>
  </si>
  <si>
    <t>A</t>
  </si>
  <si>
    <t>Johnson, Ella</t>
  </si>
  <si>
    <t>Meyer, Haley</t>
  </si>
  <si>
    <t>400 R</t>
  </si>
  <si>
    <t>Brown, Lexi</t>
  </si>
  <si>
    <t>End on 400s</t>
  </si>
  <si>
    <t>B</t>
  </si>
  <si>
    <t>Fisher, Aubrie</t>
  </si>
  <si>
    <t>Morey, Jenna</t>
  </si>
  <si>
    <t>Bloomquist, Ashley</t>
  </si>
  <si>
    <t>C</t>
  </si>
  <si>
    <t>B: Broken 1200 (800 T, 400 FBC), 4m Rest, 6 x 400 R (2m Rest), Broken 1200 (800 T, 400 FBC)</t>
  </si>
  <si>
    <t>Prier, Maddy</t>
  </si>
  <si>
    <t>Peterson, Lily</t>
  </si>
  <si>
    <t>Kramer, Karle</t>
  </si>
  <si>
    <t>Richter, Emily</t>
  </si>
  <si>
    <t>Trygstad, Cali</t>
  </si>
  <si>
    <t>Bainbridge, Rylie</t>
  </si>
  <si>
    <t>Spredemann, Allie</t>
  </si>
  <si>
    <t>Parrack, Ryleigh</t>
  </si>
  <si>
    <t>Kounkel, Allie</t>
  </si>
  <si>
    <t>C: Broken 1200 (800 T, 400 FBC), 4m Rest, 6 x 400 R (2m Rest), Broken 1200 (800 T, 400 FBC). 400s #2,4,6 over hurdles</t>
  </si>
  <si>
    <t>400 I</t>
  </si>
  <si>
    <t>Carlson, Addy</t>
  </si>
  <si>
    <t>D</t>
  </si>
  <si>
    <t>Giardina, Kelly</t>
  </si>
  <si>
    <t>Engel, Morgan</t>
  </si>
  <si>
    <t>Collet, Caroline</t>
  </si>
  <si>
    <t>Meyer, Ellie</t>
  </si>
  <si>
    <t>XT</t>
  </si>
  <si>
    <t>D: 800 T, 60s Rest, 12-15 x 400 I, 20-30s Rest</t>
  </si>
  <si>
    <t>Hostager, Shaelyn</t>
  </si>
  <si>
    <t>Anderson, Jade</t>
  </si>
  <si>
    <t>N</t>
  </si>
  <si>
    <t>1k T</t>
  </si>
  <si>
    <t>….....</t>
  </si>
  <si>
    <t>A: 1k T, 2 x (4 x 200, 30s Rest), 5-7m Rest</t>
  </si>
  <si>
    <t>Cruise, Carter</t>
  </si>
  <si>
    <t>Housman, Aiden</t>
  </si>
  <si>
    <t>Martin, Rylan</t>
  </si>
  <si>
    <t>Schmidt, Wyatt</t>
  </si>
  <si>
    <t>Bailey, Seth</t>
  </si>
  <si>
    <t>Rader, Brendan</t>
  </si>
  <si>
    <t>Keay, Jacob</t>
  </si>
  <si>
    <t>Fenstermaker, Chris</t>
  </si>
  <si>
    <t>B: Broken 1600 (1k T, 600 FBC), 4m Rest, 8 x 400 R (2m Rest), Broken 1600 (1k T, 600 FBC)</t>
  </si>
  <si>
    <t xml:space="preserve">Collet, Christopher </t>
  </si>
  <si>
    <t>Kinzer, Jack</t>
  </si>
  <si>
    <t>Sobaski, Lance</t>
  </si>
  <si>
    <t>Schmitz, Sam</t>
  </si>
  <si>
    <t>Edney, Hutton</t>
  </si>
  <si>
    <t>Lursen, Aaron</t>
  </si>
  <si>
    <t>Erb, Shane</t>
  </si>
  <si>
    <t>Kinzer, Nathan</t>
  </si>
  <si>
    <t>Pehl, Clay</t>
  </si>
  <si>
    <t>C: Broken 1600 (1k T, 600 FBC), 4m Rest, 8 x 400 R (2m Rest), Broken 1600 (1k T, 600 FBC). 400 #2,4,6 over hurdles</t>
  </si>
  <si>
    <t xml:space="preserve">Lancial, Connor </t>
  </si>
  <si>
    <t>Hubka, Garrison</t>
  </si>
  <si>
    <t>Julian, Ander</t>
  </si>
  <si>
    <t>Pries, Owen</t>
  </si>
  <si>
    <t>Sattler, Conner</t>
  </si>
  <si>
    <t>Fricke, Dawson</t>
  </si>
  <si>
    <t>Taylor, Zion</t>
  </si>
  <si>
    <t>Greenwell, Colin</t>
  </si>
  <si>
    <t>Rygh, Carson</t>
  </si>
  <si>
    <t>D: 1k T, 45s Rest, 12-15 x 400 I, 20-30s Rest</t>
  </si>
  <si>
    <t>Regennitter, Jakob</t>
  </si>
  <si>
    <t>Kilker, Camden</t>
  </si>
  <si>
    <t>Burger, Braden</t>
  </si>
  <si>
    <t>Stiles, Caleb</t>
  </si>
  <si>
    <t>Meyer, Jonathan</t>
  </si>
  <si>
    <t>E: Mileage w/ Strides</t>
  </si>
  <si>
    <t>Green, Jacob</t>
  </si>
  <si>
    <t>Schermerhorn, Tyler</t>
  </si>
  <si>
    <t>Larson, Eli</t>
  </si>
  <si>
    <t>Hammerand, Isaiah</t>
  </si>
  <si>
    <t>Goodenbour, Michael</t>
  </si>
  <si>
    <t>Barry, Ian</t>
  </si>
  <si>
    <t>Horstman, Alex</t>
  </si>
  <si>
    <t>Noreen, Cam</t>
  </si>
  <si>
    <t>Roy, Gavin</t>
  </si>
  <si>
    <t>Neubauer, Ryan</t>
  </si>
  <si>
    <t>Hoopes, Paul</t>
  </si>
  <si>
    <t>Poock, Andrew</t>
  </si>
  <si>
    <t>Bankston, Cooper</t>
  </si>
  <si>
    <t>Coulter, Derek</t>
  </si>
  <si>
    <t>Meyers, Arthur</t>
  </si>
  <si>
    <t xml:space="preserve">Knutson, Nathaniel </t>
  </si>
  <si>
    <t>VanderWilt, Jacob</t>
  </si>
  <si>
    <t>Cortez, Bert</t>
  </si>
  <si>
    <t>E</t>
  </si>
  <si>
    <t>Meyers, Jack</t>
  </si>
  <si>
    <t>WO 3/8/2024</t>
  </si>
  <si>
    <t>R (200)</t>
  </si>
  <si>
    <t>300 R</t>
  </si>
  <si>
    <t>200 @ 8</t>
  </si>
  <si>
    <t>......</t>
  </si>
  <si>
    <t>A: 800 T, 60s Rest, 6 x 300 R (80s Rest), 3 x 200 @ 800 (2-3m Rest)</t>
  </si>
  <si>
    <t>Goal Pace</t>
  </si>
  <si>
    <t>BCD: 18-30m T</t>
  </si>
  <si>
    <t>Boge, Lilly</t>
  </si>
  <si>
    <t>A: 800 T, 45s Rest, 7 x 300 R (80s Rest), 3 x 200 @ 800 (2-3m Rest)</t>
  </si>
  <si>
    <t>BCD: 22-35m T</t>
  </si>
  <si>
    <t>WO 3/5/2024</t>
  </si>
  <si>
    <t>…</t>
  </si>
  <si>
    <t>....</t>
  </si>
  <si>
    <t>.....</t>
  </si>
  <si>
    <t>A: 800 T, 60s Rest, strides, 6-8 x Flying 30 (4m Rest), Light Strides                                                             A*: 800 T, 60s Rest, 300, 200, 100 (Full Rest), Hard Strides</t>
  </si>
  <si>
    <t>A*</t>
  </si>
  <si>
    <t>200 R</t>
  </si>
  <si>
    <t>B*</t>
  </si>
  <si>
    <t>B: 800 T, 60s Rest, 16-20 x 200 R (60s Rest), strides                            B*: 800 T, 60s Rest, 10-12 x 200 R (60s Rest)</t>
  </si>
  <si>
    <t>CV (400)</t>
  </si>
  <si>
    <t>600 CV</t>
  </si>
  <si>
    <t>400 T</t>
  </si>
  <si>
    <t>400 VO2</t>
  </si>
  <si>
    <t>Broken 8</t>
  </si>
  <si>
    <t>C: 4 x (600 CV, 90s Rest, Broken 800 (400 T, 400 VO2)) 2m Rest, strides</t>
  </si>
  <si>
    <t>I (400)</t>
  </si>
  <si>
    <t>600 I</t>
  </si>
  <si>
    <t>800 CV</t>
  </si>
  <si>
    <t>D*</t>
  </si>
  <si>
    <t>D: 3 x (800 T, 60s Rest, 600 I, 90s Rest, 800 T) 60s Rest, strides                                     D*: 800 T, 60s Rest, 3 x 800 CV (90s Rest), 2 x 400 VO2 (2m Rest), 3 x 150</t>
  </si>
  <si>
    <t>A: 800 T, 60s Rest, strides, 8-10 x Flying 30 (4m Rest), Light Strides                                                             A*: 800 T, 60s Rest, 300, 200, 100 (Full Rest), Hard Strides</t>
  </si>
  <si>
    <t>B: 800 T, 45s Rest, 16-20 x 200 R (60s Rest), strides                            B*: 800 T, 45s Rest, 12-16 x 200 R (60s Rest)</t>
  </si>
  <si>
    <t>C: 4 x (800 CV, 80s Rest, Broken 800 (400 T, 400 VO2)) 2m Rest, strides</t>
  </si>
  <si>
    <t>D: 3 x (1k T, 45s Rest, 800 I, 80s Rest, 1k T) 45s Rest, strides                                     D*: 1k T, 45s Rest, 3 x 1k CV (80s Rest), 2 x 400 VO2 (2m Rest), 3 x 150</t>
  </si>
  <si>
    <t>800 I</t>
  </si>
  <si>
    <t>1k CV</t>
  </si>
  <si>
    <t>w/ Shae</t>
  </si>
  <si>
    <t>WO 3/1/2024</t>
  </si>
  <si>
    <t>A: 1k T, 60s Rest, 10 x 200 R (60s plank hold rest), hard strides</t>
  </si>
  <si>
    <t>200</t>
  </si>
  <si>
    <t>B: 1k T, 60s Rest, 4 x Broken 800 (600 CV, 200 Fast), 2.5-3m Rest</t>
  </si>
  <si>
    <t>T</t>
  </si>
  <si>
    <t>CD: 2 x (2k T campus loop, 4 x Chud Hill), strides</t>
  </si>
  <si>
    <t>T: 20-25 Tempo, 3 x 20s surges                                                B*: 1k T, 60s Rest, 6 x 400 R (2m Rest), 4 x 200 (2m Rest), strides</t>
  </si>
  <si>
    <t>A: 1k T, 45s Rest, 10 x 200 R (60s plank hold rest), hard strides</t>
  </si>
  <si>
    <t>B: 1k T, 45s Rest, 6 x Broken 800 (600 CV, 200 Fast), 2.5-3m Rest</t>
  </si>
  <si>
    <t>T: 20-25 Tempo, 3 x 20s surges</t>
  </si>
  <si>
    <t>WO 2/27/2024</t>
  </si>
  <si>
    <t>A: 1k T, 60s Rest, 4 x 200 R (60s Rest), 1 x 300 FBC, strides</t>
  </si>
  <si>
    <t>B: 1k T, 6 x 300 R (60s Rest), 300 FBC 3 x 150</t>
  </si>
  <si>
    <t>CD: 800 T, 60s Rest, 3 x 800 CV (90s Rest), 4 x 200 R (60s Rest)</t>
  </si>
  <si>
    <t>C*</t>
  </si>
  <si>
    <t>*: see men's sheet</t>
  </si>
  <si>
    <t>A: 1k T, 45s Rest, 4 x 200 R (60s Rest), 1 x 300 FBC, strides</t>
  </si>
  <si>
    <t>B: 1k T, 45s Rest, 6 x 300 R (60s Rest), 300 FBC, 3 x 150</t>
  </si>
  <si>
    <t>CD: 1k T, 45s Rest, 3 x 1k CV (90s Rest), 4 x 200 R (60s Rest)</t>
  </si>
  <si>
    <t>A*: 6 x (2on, 2off, 4 x 30s on, 2 off)</t>
  </si>
  <si>
    <t>B*: 4 x (3on, 2 off, 2 on, 3 off)</t>
  </si>
  <si>
    <t>CD*: 5,4,3,2,1,4,3,2,1 (Rest to 6)</t>
  </si>
  <si>
    <t>WO 2/23/2024</t>
  </si>
  <si>
    <t>.</t>
  </si>
  <si>
    <t>..</t>
  </si>
  <si>
    <t>...</t>
  </si>
  <si>
    <t>BC: 20-30m Tempo, 3 x 20s surges</t>
  </si>
  <si>
    <t>D: 10 T, 20m Carpenter (10 x 1 on, 1 off), strides</t>
  </si>
  <si>
    <t>A: 6 x Crane Hill w/ Death Loops (2m Rest), 3m Rest, 20m Carpenter (10 x 1 on, 1 off)</t>
  </si>
  <si>
    <t>BD: 25-35m Tempo, 3 x 20s surges</t>
  </si>
  <si>
    <t>C: 2 x 2mile T (60s Rest), 1mile T, strides</t>
  </si>
  <si>
    <t>C*: 800 T, 45s Rest, 16 x 200 R</t>
  </si>
  <si>
    <t>XT: Wisconsin</t>
  </si>
  <si>
    <t>WO 2/20/2024</t>
  </si>
  <si>
    <t>A: 800 T, 60s Rest, 3 x 200 R (60s Rest), 350, 4-5m Rest, 150, 4-5m Rest, 80, light strides</t>
  </si>
  <si>
    <t>B: 800 T, 60s Rest, 12-16 x 200 R (60s Rest)                                              Friday Racers add 3 x 150</t>
  </si>
  <si>
    <t>C: 800 T, 60s Rest, 800 I, 60s Rest, 400 VO2, 2.5-3m Rest, 800 CV, 90s Rest, 4 x 200 R (60s Rest), 3 x 150</t>
  </si>
  <si>
    <t>D: 800 T, 60s Rest, 800 I, 60s Rest, 400 VO2, 2.5-3m Rest, 800 CV, 90s Rest, 800 I, 60s Rest, 400 VO2, 2.5-3m Rest, 4 x 200 R (60s Rest), 3 x 150</t>
  </si>
  <si>
    <t>A: 800 T, 45s Rest, 3 x 200 R (60s Rest), 350, 4-5m Rest, 150, 4-5m Rest, 80, light strides</t>
  </si>
  <si>
    <t>B: 1k T, 60s Rest, 16-20 x 200 R (60s Rest)                                              Friday Racers add 3 x 150</t>
  </si>
  <si>
    <t>1k I</t>
  </si>
  <si>
    <t>VO2 (400)</t>
  </si>
  <si>
    <t>600 VO2</t>
  </si>
  <si>
    <t>C: 1k T, 45s Rest, 1k I, 60s Rest, 600 VO2, 2.5-3m Rest, 1k CV, 80s Rest, 4 x 200 R (60s Rest), 3 x 150</t>
  </si>
  <si>
    <t>D: 1k T, 45s Rest, 1k I, 60s Rest, 600 VO2, 2.5-3m Rest, 1k CV, 80s Rest, 1k I, 60s Rest, 600 VO2, 2.5-3m Rest, 4 x 200 R (60s Rest), 3 x 150</t>
  </si>
  <si>
    <t>WO 2/16/2024</t>
  </si>
  <si>
    <t>1600 T</t>
  </si>
  <si>
    <t>1600 T, 60s Rest, 800 CV, 90s Rest, 400 I, 2m Rest, 3 x 200 R (60s Rest), 400 I, 2m Rest, 800 CV, 90s Rest, 6 x 400 (I,I,I,VO2,VO2,VO2), 2m Rest</t>
  </si>
  <si>
    <t>800 VO2</t>
  </si>
  <si>
    <t>Lexi: 1k T, 60s Rest, 4 x 200 R (60s Rest), 3 x 800 VO2 (2m Rest), 4 x 200 R (60s Rest), strides</t>
  </si>
  <si>
    <t>VO2 (200)</t>
  </si>
  <si>
    <t>300 VO2</t>
  </si>
  <si>
    <t>1600 T, 60s Rest, 1k CV, 90s Rest, 800 I, 2m Rest, 2 x 200 R (60s Rest), 800 I, 2m Rest, 1k CV, 90s Rest, 6 x 400 (I,I,I,VO2,VO2,VO2), 2m Rest</t>
  </si>
  <si>
    <t>Bert: 1k T, 60s Rest, 4 x 200 R (60s Rest), 3 x 800 VO2 (2m Rest), 4 x 200 R (60s Rest), strides</t>
  </si>
  <si>
    <t>WO 2/13/2024</t>
  </si>
  <si>
    <t>…....</t>
  </si>
  <si>
    <t>A: 800 T, 60s Rest, 4 x 200 R (60s Rest), 400 FBC (6-8m Rest). 4 x 300 VO2 (100jog)</t>
  </si>
  <si>
    <t>B: 800 T, 60s Rest 2 x (3 x 400 R (60s Rest), 300 FBC) 4-5m Rest, 3 x 200 R (60s Rest), 150 FBC</t>
  </si>
  <si>
    <t>C: 800 T, 60s Rest, 800 I (2m Rest), 800 T (60s Rest), 800 CV (90s Rest), 600 I (2m Rest), 4 x 200 R (60s Rest)</t>
  </si>
  <si>
    <t>D: 6 (1), 90s (3), 90s (3), 5 (1), 1 (2), 1, 4 (1), 30s (1), 30s (1); 3 x 150</t>
  </si>
  <si>
    <t>A: 800 T, 45s Rest, 4 x 200 R (60s Rest), 400 FBC (6-8m Rest). 4 x 300 VO2 (100jog); strides</t>
  </si>
  <si>
    <t>B: 800 T, 45s Rest 2 x (3 x 400 R (60s Rest), 300 FBC) 4-5m Rest, 3 x 200 R (60s Rest), 150 FBC                              B*: Just the first two sets</t>
  </si>
  <si>
    <t>C: 800 T, 45s Rest, 800 I (2m Rest), 800 T (45s Rest), 800 CV (80s Rest), 600 I (2m Rest), 4 x 200 R (60s Rest)</t>
  </si>
  <si>
    <t>D: 6 (1), 2 (4), 2 (4), 5 (1), 90s (3), 90s (3), 4 (1), 1 (2), 1; 3 x 150</t>
  </si>
  <si>
    <t>XT: Carpenter 30 x 1 on, 1 off</t>
  </si>
  <si>
    <t>WO 2/9/2024</t>
  </si>
  <si>
    <t>A: 1k T, 60s Rest, 2 x (400 R, 60s Rest, 200 R, 60s Rest, 600 VO2, 2m Rest, 150 FBC) 3m Rest</t>
  </si>
  <si>
    <t>B: 1k T, 60s Rest, 3 x (400 R, 60s Rest, 200 R, 60s Rest, 600 VO2, 2m Rest, 150 FBC) 3m Rest</t>
  </si>
  <si>
    <t>CD: 6 x Crane Hill (3m Rest), 15-20 T, strides</t>
  </si>
  <si>
    <t>A: 1k T, 45s Rest, 2 x (400 R, 60s Rest, 200 R, 60s Rest, 600 VO2, 2m Rest, 150 FBC) 3m Rest</t>
  </si>
  <si>
    <t>B: 1k T, 45s Rest, 3 x (400 R, 60s Rest, 200 R, 60s Rest, 600 VO2, 2m Rest, 150 FBC) 3m Rest</t>
  </si>
  <si>
    <t>CD: 6 x Crane Hill (3m Rest), 20-25 T, strides</t>
  </si>
  <si>
    <t>WO 2/6/2024</t>
  </si>
  <si>
    <t>A: 1k T, strides, 6-8 x Flying 30 (4m Rest), Light Strides</t>
  </si>
  <si>
    <t>M</t>
  </si>
  <si>
    <t>B: 5m T, 90s Rest, 12-16 x 200 R (60s Rest)</t>
  </si>
  <si>
    <t>C*: 1k T, 60s Rest, 3 x 400 R (60s Rest), 200 FBC, 5-6m Rest, 2 x 400 R (60s Rest), 200 FBC, light strides</t>
  </si>
  <si>
    <t>600 T</t>
  </si>
  <si>
    <t>C: 2 x (600 T, 60s Rest, 3 x 600 CV, 90s Rest)</t>
  </si>
  <si>
    <t>B: 5m T, 90s Rest, 16-20 x 200 R (60s Rest);                                 B*: 5m T, 90s Rest, 12-14 x 200 R (60s Rest)</t>
  </si>
  <si>
    <t>C*: 1k T, 45s Rest, 3 x 400 R (60s Rest), 300 FBC, 5-6m Rest, 2 x 400 R (60s Rest), 300 FBC, light strides</t>
  </si>
  <si>
    <t>D: 6 x 3 on, 2 off</t>
  </si>
  <si>
    <t>C: 2 x (800 T, 45s Rest, 3 x 800 CV, 80s Rest)</t>
  </si>
  <si>
    <t>C+: 2 x (600 T, 60s Rest, 3 x 600 CV, 90s Rest), 600 T, 45s Rest, 600 I                                                       with Shae</t>
  </si>
  <si>
    <t>M: Mileage</t>
  </si>
  <si>
    <t>C+</t>
  </si>
  <si>
    <t>WO 1/30/2024</t>
  </si>
  <si>
    <t>AB: 1k T, 60s Rest, 16-20 x 200 R (60s Rest)</t>
  </si>
  <si>
    <t>AB*: 1k T, 60s Rest, 12-16 x 200 R (60s Rest)</t>
  </si>
  <si>
    <t>CD: 1k T, 60s Rest, 12-15 x 400 I (60s Rest). 2m Rest after 5th and 8th</t>
  </si>
  <si>
    <t>D or D*</t>
  </si>
  <si>
    <t>CD*: 1k T, 60s Rest, 9-11 x 400 I (60s Rest). 2m Rest after 5th and 8th</t>
  </si>
  <si>
    <t>AB: 1k T, 45s Rest, 16-20 x 200 R (60s Rest)</t>
  </si>
  <si>
    <t>AB*: 1k T, 45s Rest, 12-16 x 200 R (60s Rest)</t>
  </si>
  <si>
    <t>CD: 1k T, 45s Rest, 12-15 x 400 I (45s Rest). 2m Rest after 5th and 8th</t>
  </si>
  <si>
    <t>CD*: 1k T, 45s Rest, 9-11 x 400 I (45s Rest). 2m Rest after 5th and 8th</t>
  </si>
  <si>
    <t>D+: with Shae</t>
  </si>
  <si>
    <t>D+</t>
  </si>
  <si>
    <t>WO 1/23/2024</t>
  </si>
  <si>
    <t>A: 1k T, 60s Rest, 3 x 300 R (90s Rest), 350 (4-5m Rest), 250 (4-5m Rest), 150 (4-5m Rest), 2 x 150</t>
  </si>
  <si>
    <t>B: 1k T, 60s Rest, 2 x 600 VO2 (90s Rest), 3 x 300 R (60s Rest), 400 FBC, 2 x 150</t>
  </si>
  <si>
    <t>C: 1k T, 60s Rest, 600 CV, 90s Rest, 400 VO2, 2m Rest, 2 x 600 CV, 90s Rest, 400 VO2, 2m Rest, 600 CV, 90s Rest, 400 VO2, 2m Rest, 3 x 300 R (60s Rest) 3 x 150</t>
  </si>
  <si>
    <t>D: 1k T, 60s Rest, 12-15 x 400 I (rest to start)</t>
  </si>
  <si>
    <t>A: 1k T, 45s Rest, 3 x 300 R (90s Rest), 350 (4-5m Rest), 250 (4-5m Rest), 150 (4-5m Rest), 2 x 150</t>
  </si>
  <si>
    <t>B: 1k T, 45s Rest, 2 x 600 VO2 (80s Rest), 3 x 300 R (60s Rest), 400 FBC, 2 x 150</t>
  </si>
  <si>
    <t>C: 1k T, 45s Rest, 800 CV, 80s Rest, 600 VO2, 2m Rest, 800 T, 45s Rest, 800 CV, 80s Rest, 600 VO2, 2m Rest, 800 T, 80s Rest, 400 VO2, 2m Rest, 3 x 300 R (60s Rest) 3 x 150</t>
  </si>
  <si>
    <t xml:space="preserve">1k T </t>
  </si>
  <si>
    <t>If Outside (men &amp; women) CD: 5m T, 60s Rest, 7 x 3 on, 2 off</t>
  </si>
  <si>
    <t>WO 1/19/2024</t>
  </si>
  <si>
    <t>2 x (800,600,400,200)</t>
  </si>
  <si>
    <t>WO 1/16/2024</t>
  </si>
  <si>
    <t>1k T, 3-4 x 600, 400, strides</t>
  </si>
  <si>
    <t>10 x 3 on, 2 off</t>
  </si>
  <si>
    <t>A: 800 T (60s Rest), 2 x (4 x 200, 30s Rest) 8m Rest, Hard Strides</t>
  </si>
  <si>
    <t>B: 800 T (60s Rest), 16-20 x 200 R (60s Rest). Last 4 Chasers                                    B*: 12-16</t>
  </si>
  <si>
    <t>C: 1k T (60s Rest), 6 x 200 R (60s Rest), 600 T (60s Rest), 600 VO2 (2m Rest), 3 x 200 R (60s Rest), 2 x 150</t>
  </si>
  <si>
    <t>D: 1k T (60s Rest), 400 I (2m Rest), 1k CV (90s Rest), 400 T (60s Rest), 1k I (2m Rest), 400 CV (90s Rest), 3 x 200 R (60s Rest), 2 x 150</t>
  </si>
  <si>
    <t>A: 800 T (45s Rest), 2 x (4 x 200, 30s Rest) 8m Rest, Hard Strides</t>
  </si>
  <si>
    <t>B: 800 T (45s Rest), 16-20 x 200 R (60s Rest). Last 4 Chasers                                    B*: 12-16</t>
  </si>
  <si>
    <t>C: 1200 T (45s Rest), 8 x 200 R (60s Rest), 800 T (60s Rest), 800 VO2 (2m Rest), 3 x 200 R (60s Rest), 2 x 150</t>
  </si>
  <si>
    <t>D: 1200 T (45s Rest), 400 I (2m Rest), 1200 CV (90s Rest), 400 T (45s Rest), 1200 I (2m Rest), 400 CV (90s Rest), 3 x 200 R (60s Rest), 2 x 150</t>
  </si>
  <si>
    <t>1200 T</t>
  </si>
  <si>
    <t>1200 CV</t>
  </si>
  <si>
    <t>1200 I</t>
  </si>
  <si>
    <t>WO 1/9/2024</t>
  </si>
  <si>
    <t>…..</t>
  </si>
  <si>
    <t>…...</t>
  </si>
  <si>
    <t>A: 800 T (60s Rest), 5 x 400 R (2m Rest), 2 x 100 Fly (2m Rest), 1 x 400 FBC, Light Strides</t>
  </si>
  <si>
    <t>B: 800 T (60s Rest), 6 x 400 R (2m Rest), 2 x 100 Fly (2m Rest), 2 x 400 R (2m Rest)</t>
  </si>
  <si>
    <t>CD: 1200 T (60s Rest), 2 x (600 CV, 90s Rest, 600 CV, 90s Rest, 400 VO2) 2m Rest; 1200 T (60s Rest), 4 x 200 FBC (200m jog Rest)</t>
  </si>
  <si>
    <t>XT: O Captain My Captain</t>
  </si>
  <si>
    <t>A: 800 T (45s Rest), 5 x 400 R (2m Rest), 2 x 100 Fly (2m Rest), 1 x 400 FBC, Light Strides</t>
  </si>
  <si>
    <t>B: 800 T (45s Rest), 6 x 400 R (2m Rest), 2 x 100 Fly (2m Rest), 2 x 400 R (2m Rest)</t>
  </si>
  <si>
    <t>CD: 1600 T (45s Rest), 2 x (600 CV, 80s Rest, 600 CV, 80s Rest, 400 VO2) 2m Rest; 1600 T (45s Rest), 4 x 200 FBC (200m jog Rest)</t>
  </si>
  <si>
    <t>WO 1/6/2024</t>
  </si>
  <si>
    <t>400: 3 x (600 T, 60s Rest, 400 VO2) 2m Rest. 6 x 200 R, 60s Rest</t>
  </si>
  <si>
    <t>*12 x 200</t>
  </si>
  <si>
    <t>800: 2 x (600 T, 60s Rest, 400 VO2) 2m Rest. 6 x 200 R, 60s Rest. 3 x 150</t>
  </si>
  <si>
    <t>Mile/1200: 4,3,2,1,2 Rest to 5</t>
  </si>
  <si>
    <t>Chapman texted or emailed</t>
  </si>
  <si>
    <t>400: 3 x (600 T, 45s Rest, 400 VO2) 2m Rest. 10 x 200 R, 60s Rest</t>
  </si>
  <si>
    <t>800: 2 x (600 T, 45s Rest, 400 VO2) 2m Rest. 10 x 200 R, 60s Rest. 3 x 150</t>
  </si>
  <si>
    <t>….</t>
  </si>
  <si>
    <t>WO 1/5/2024</t>
  </si>
  <si>
    <t>5m T, 2 x (3,2,1,2) Rest to 5</t>
  </si>
  <si>
    <t>30m Carpenter</t>
  </si>
  <si>
    <t>40m Carpenter Run</t>
  </si>
  <si>
    <t>30m Carpenter Run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</si>
  <si>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</si>
  <si>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</si>
  <si>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</si>
  <si>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</si>
  <si>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</si>
  <si>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</si>
  <si>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</si>
  <si>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</si>
  <si>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</si>
  <si>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</si>
  <si>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</si>
  <si>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</si>
  <si>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</si>
  <si>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</si>
  <si>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</si>
  <si>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</si>
  <si>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</si>
  <si>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</si>
  <si>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</si>
  <si>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</si>
  <si>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</si>
  <si>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</si>
  <si>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</si>
  <si>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</si>
  <si>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</si>
  <si>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</si>
  <si>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</si>
  <si>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</si>
  <si>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</si>
  <si>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</si>
  <si>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</si>
  <si>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</si>
  <si>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</si>
  <si>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</si>
  <si>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</si>
  <si>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</si>
  <si>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</si>
  <si>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</si>
  <si>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</si>
  <si>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</si>
  <si>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</si>
  <si>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</si>
  <si>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</si>
  <si>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</si>
  <si>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</si>
  <si>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</si>
  <si>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</si>
  <si>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</si>
  <si>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</si>
  <si>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</si>
  <si>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</si>
  <si>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</si>
  <si>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</si>
  <si>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</si>
  <si>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</si>
  <si>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</si>
  <si>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</si>
  <si>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</si>
  <si>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</si>
  <si>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</si>
  <si>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</si>
  <si>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</si>
  <si>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</si>
  <si>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</si>
  <si>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</si>
  <si>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</si>
  <si>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</si>
  <si>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</si>
  <si>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</si>
  <si>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</si>
  <si>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</si>
  <si>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</si>
  <si>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</si>
  <si>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</si>
  <si>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</si>
  <si>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</si>
  <si>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</si>
  <si>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</si>
  <si>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</si>
  <si>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</si>
  <si>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A: 800 T, 60s Rest, 300 VO2, 3 x 300 R (60s Rest), 600 (300 R, 300 FBC), 300 VO2, 3 x 300 R (60s Rest). Strides</t>
  </si>
  <si>
    <t>B: 800 T, 60s Rest, 300 VO2, 3 x 300 R (60s Rest), 600 (300 R, 300 FBC), 300 VO2, 3 x 300 R (60s Rest), 1200 CV. Strides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</si>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</sst>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[$-F400]h:mm:ss\ AM/PM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3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47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1" fillId="2" borderId="0" xfId="0" quotePrefix="1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5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042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638824D-41B0-4231-81E7-36A362CC0F73}" name="Table146101214242232343638404448505248111315171921232527293133353941434547" displayName="Table146101214242232343638404448505248111315171921232527293133353941434547" ref="A1:V33" totalsRowShown="0" headerRowDxfId="1041" dataDxfId="1040" tableBorderDxfId="103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6B4C0DCB-CF69-4F78-81F3-F6BA818B8DF2}" name="WO 3/12/2024" dataDxfId="1038"/>
    <tableColumn id="4" xr3:uid="{4FA0DB89-EB04-4365-A6B6-E7C1A0FBBA7C}" name="5k" dataDxfId="1037"/>
    <tableColumn id="5" xr3:uid="{F81F45E7-4720-4030-B39B-341349B17600}" name="Mile" dataDxfId="1036"/>
    <tableColumn id="6" xr3:uid="{4ED4D46D-A674-4CE2-87CE-56EB997ACDC6}" name="3k" dataDxfId="1035">
      <calculatedColumnFormula>B2*E2</calculatedColumnFormula>
    </tableColumn>
    <tableColumn id="7" xr3:uid="{C9FE0444-0B3C-4A1B-810F-43140FB356DC}" name="Percent" dataDxfId="1034"/>
    <tableColumn id="8" xr3:uid="{35BB22F3-CF1E-4BE8-9147-4AA156DD87F1}" name="R" dataDxfId="1033">
      <calculatedColumnFormula>C2/4</calculatedColumnFormula>
    </tableColumn>
    <tableColumn id="10" xr3:uid="{832D2C41-B80D-4387-B150-16E27E8BB2AE}" name="VO2" dataDxfId="1032">
      <calculatedColumnFormula>D2/7.5</calculatedColumnFormula>
    </tableColumn>
    <tableColumn id="9" xr3:uid="{5044D8EC-9413-49C3-99A2-980FCC956370}" name="I" dataDxfId="1031">
      <calculatedColumnFormula>B2/12.5</calculatedColumnFormula>
    </tableColumn>
    <tableColumn id="11" xr3:uid="{7428DDFB-8491-4777-AB29-28D666CC10F9}" name="10k" dataDxfId="1030">
      <calculatedColumnFormula>G2/0.93</calculatedColumnFormula>
    </tableColumn>
    <tableColumn id="12" xr3:uid="{EB6B83D6-F8D0-4ECC-93DC-44683540F1AF}" name="CV" dataDxfId="1029">
      <calculatedColumnFormula>G2/0.92</calculatedColumnFormula>
    </tableColumn>
    <tableColumn id="13" xr3:uid="{80FBE978-2D25-4CE7-915D-44CDBB786538}" name="Thresh" dataDxfId="1028">
      <calculatedColumnFormula>G2/0.88</calculatedColumnFormula>
    </tableColumn>
    <tableColumn id="14" xr3:uid="{C8EAF872-81A4-40E8-ABC0-BCD7B7BB0FF1}" name="Thresh L" dataDxfId="1027">
      <calculatedColumnFormula>G2/0.84</calculatedColumnFormula>
    </tableColumn>
    <tableColumn id="21" xr3:uid="{FA4789E9-2FBB-4D89-9F2F-F474CD90B205}" name="T (400)" dataDxfId="1026">
      <calculatedColumnFormula>Table146101214242232343638404448505248111315171921232527293133353941434547[[#This Row],[Thresh]]</calculatedColumnFormula>
    </tableColumn>
    <tableColumn id="20" xr3:uid="{566E9976-7C15-427A-8059-8D8213046723}" name="800 T" dataDxfId="1025">
      <calculatedColumnFormula>Table146101214242232343638404448505248111315171921232527293133353941434547[[#This Row],[T (400)]]*2</calculatedColumnFormula>
    </tableColumn>
    <tableColumn id="19" xr3:uid="{4DDA2534-4119-46FA-9763-25285FF8B41B}" name="1st 200" dataDxfId="1024">
      <calculatedColumnFormula>Table146101214242232343638404448505248111315171921232527293133353941434547[[#This Row],[CV]]</calculatedColumnFormula>
    </tableColumn>
    <tableColumn id="18" xr3:uid="{6072362C-6BDC-4704-8DA1-B49AB361A00C}" name="2nd 200" dataDxfId="1023">
      <calculatedColumnFormula>Table146101214242232343638404448505248111315171921232527293133353941434547[[#This Row],[1st 200]]*2</calculatedColumnFormula>
    </tableColumn>
    <tableColumn id="17" xr3:uid="{61E1EA94-5A2E-416B-8842-1CC0D02C8A46}" name="3rd 200" dataDxfId="1022">
      <calculatedColumnFormula>Table146101214242232343638404448505248111315171921232527293133353941434547[[#This Row],[I]]</calculatedColumnFormula>
    </tableColumn>
    <tableColumn id="15" xr3:uid="{B6A6D426-FBD5-4432-839B-25A8BB73A017}" name="4th 200" dataDxfId="1021">
      <calculatedColumnFormula>Table146101214242232343638404448505248111315171921232527293133353941434547[[#This Row],[3rd 200]]*2</calculatedColumnFormula>
    </tableColumn>
    <tableColumn id="16" xr3:uid="{2DE729F1-779C-4C9D-837B-538F1B476E46}" name="......." dataDxfId="1020">
      <calculatedColumnFormula>Table146101214242232343638404448505248111315171921232527293133353941434547[[#This Row],[VO2]]</calculatedColumnFormula>
    </tableColumn>
    <tableColumn id="22" xr3:uid="{7A3546F6-9BB1-4255-8527-2E09CDABEB2E}" name="........" dataDxfId="1019"/>
    <tableColumn id="23" xr3:uid="{F71652D8-C85B-4372-AFB1-63A7E7CAAF0D}" name="…......" dataDxfId="1018"/>
    <tableColumn id="24" xr3:uid="{38C8E119-476C-4144-BF60-D4537869AF2E}" name="G" dataDxfId="101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16660C2-D37B-4955-8501-ACAA015B0442}" name="Table2571113152523333537394145495153591214161820222426283032343640" displayName="Table2571113152523333537394145495153591214161820222426283032343640" ref="A34:V99" totalsRowShown="0" headerRowDxfId="832" tableBorderDxfId="83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1F4D58F-40A7-4473-BEC9-F98FCF2C5DBD}" name="WO 2/27/2024" dataDxfId="830"/>
    <tableColumn id="2" xr3:uid="{52CF30C0-C704-43E3-A121-4888A862E091}" name="5k" dataDxfId="829"/>
    <tableColumn id="3" xr3:uid="{348CDF3B-C978-4D23-ACCA-41D986A628DB}" name="Mile" dataDxfId="828"/>
    <tableColumn id="4" xr3:uid="{A7816C0D-6614-4F85-B14B-F89F51259CE8}" name="3k" dataDxfId="827">
      <calculatedColumnFormula>B35*E35</calculatedColumnFormula>
    </tableColumn>
    <tableColumn id="5" xr3:uid="{AA0CE1FF-02E6-4B50-92CB-0342EEBEFBAD}" name="Percent" dataDxfId="826"/>
    <tableColumn id="6" xr3:uid="{35009B5C-E4A6-437E-B923-883366C87B8E}" name="R" dataDxfId="825">
      <calculatedColumnFormula>C35/4</calculatedColumnFormula>
    </tableColumn>
    <tableColumn id="7" xr3:uid="{3FDFC6BB-BEF1-43E4-B5EF-E840EF10C977}" name="VO2" dataDxfId="824">
      <calculatedColumnFormula>D35/7.5</calculatedColumnFormula>
    </tableColumn>
    <tableColumn id="8" xr3:uid="{2C5B24FE-4A85-47C3-9C21-5BD830AEFBF9}" name="I" dataDxfId="823">
      <calculatedColumnFormula>B35/12.5</calculatedColumnFormula>
    </tableColumn>
    <tableColumn id="9" xr3:uid="{938AC17B-7857-4B2C-A41C-1FE0FEEF85B4}" name="10k" dataDxfId="822">
      <calculatedColumnFormula>G35/0.93</calculatedColumnFormula>
    </tableColumn>
    <tableColumn id="10" xr3:uid="{4EE86004-EE20-4BDB-A947-61E7B73D17F3}" name="CV" dataDxfId="821">
      <calculatedColumnFormula>G35/0.92</calculatedColumnFormula>
    </tableColumn>
    <tableColumn id="11" xr3:uid="{1A4766C0-AC38-4D6C-ADD1-BA229E5E17BA}" name="Thresh" dataDxfId="820">
      <calculatedColumnFormula>G35/0.88</calculatedColumnFormula>
    </tableColumn>
    <tableColumn id="12" xr3:uid="{2EDF8007-E6BB-462B-82A7-D88CAF208EC2}" name="Thresh L" dataDxfId="819">
      <calculatedColumnFormula>G35/0.84</calculatedColumnFormula>
    </tableColumn>
    <tableColumn id="13" xr3:uid="{89D5B7A3-72A8-44CF-AFC2-F3D90D2E9EF3}" name="T (400)" dataDxfId="818"/>
    <tableColumn id="14" xr3:uid="{43C3D036-075B-4D51-BA77-E44005EC20E7}" name="1k T"/>
    <tableColumn id="15" xr3:uid="{E31D6B9C-6F5A-43D1-A7F5-1BA7A1848B28}" name="200 R"/>
    <tableColumn id="16" xr3:uid="{C80AA9DF-2F0A-463A-8EB2-AAE06A8D8318}" name="...." dataDxfId="817">
      <calculatedColumnFormula>Table2571113152523333537394145495153591214161820222426283032343640[[#This Row],[200 R]]*1.5</calculatedColumnFormula>
    </tableColumn>
    <tableColumn id="18" xr3:uid="{FC5B1067-6284-460C-AAD9-5B36C360C71B}" name="....." dataDxfId="816">
      <calculatedColumnFormula>Table2571113152523333537394145495153591214161820222426283032343640[[#This Row],[VO2]]/2</calculatedColumnFormula>
    </tableColumn>
    <tableColumn id="19" xr3:uid="{B2B93EB1-0A36-40A8-B87B-EC7A080FD9CA}" name="......" dataDxfId="815">
      <calculatedColumnFormula>Table2571113152523333537394145495153591214161820222426283032343640[[#This Row],[I]]</calculatedColumnFormula>
    </tableColumn>
    <tableColumn id="24" xr3:uid="{5DBCE0F9-F9DF-49DD-AF8E-7158FC4FDBF5}" name="…....." dataDxfId="814">
      <calculatedColumnFormula>Table2571113152523333537394145495153591214161820222426283032343640[[#This Row],[......]]*1.5</calculatedColumnFormula>
    </tableColumn>
    <tableColumn id="20" xr3:uid="{8DE7F246-C887-40A0-8ADF-3AF633114906}" name="........"/>
    <tableColumn id="21" xr3:uid="{6C330FCB-37DE-4CC4-A9F4-A6E2C72174F4}" name="…......" dataDxfId="813"/>
    <tableColumn id="22" xr3:uid="{153299FE-ED55-4B4E-BE22-3A9530940FA8}" name="G" dataDxfId="812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CC07BE2-E53B-4161-8B87-66429CFB9C06}" name="Table14610121424223234363840444850524811131517192123252729313335" displayName="Table14610121424223234363840444850524811131517192123252729313335" ref="A1:V33" totalsRowShown="0" headerRowDxfId="811" dataDxfId="810" tableBorderDxfId="80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746889A-30D2-4804-A92E-E6541987C322}" name="WO 2/23/2024" dataDxfId="808"/>
    <tableColumn id="4" xr3:uid="{FEA3ACCA-96FA-4E1A-843E-30B2D5C7C29C}" name="5k" dataDxfId="807"/>
    <tableColumn id="5" xr3:uid="{4D570EF0-834E-4D0F-BAC8-22454DEFA950}" name="Mile" dataDxfId="806"/>
    <tableColumn id="6" xr3:uid="{0361A213-F9FF-4A7F-93D7-2FE7C8ABA80F}" name="3k" dataDxfId="805">
      <calculatedColumnFormula>B2*E2</calculatedColumnFormula>
    </tableColumn>
    <tableColumn id="7" xr3:uid="{A8E07FD0-CBE9-4A7D-8745-6F6689B7BB77}" name="Percent" dataDxfId="804"/>
    <tableColumn id="8" xr3:uid="{91A028F2-D582-409C-AA1F-4301C0147D69}" name="R" dataDxfId="803">
      <calculatedColumnFormula>C2/4</calculatedColumnFormula>
    </tableColumn>
    <tableColumn id="10" xr3:uid="{EB1190B5-F025-42CD-A622-CACE6A21E8C6}" name="VO2" dataDxfId="802">
      <calculatedColumnFormula>D2/7.5</calculatedColumnFormula>
    </tableColumn>
    <tableColumn id="9" xr3:uid="{287752A4-9C98-43C5-8B5B-7FFA073AD2FF}" name="I" dataDxfId="801">
      <calculatedColumnFormula>B2/12.5</calculatedColumnFormula>
    </tableColumn>
    <tableColumn id="11" xr3:uid="{809C937F-A7CA-40FC-A863-54299D03E273}" name="10k" dataDxfId="800">
      <calculatedColumnFormula>G2/0.93</calculatedColumnFormula>
    </tableColumn>
    <tableColumn id="12" xr3:uid="{9577A5C3-573E-4FBE-91D4-80A779426305}" name="CV" dataDxfId="799">
      <calculatedColumnFormula>G2/0.92</calculatedColumnFormula>
    </tableColumn>
    <tableColumn id="13" xr3:uid="{CCF2346D-4150-4B62-BE6E-4FE1549383F0}" name="Thresh" dataDxfId="798">
      <calculatedColumnFormula>G2/0.88</calculatedColumnFormula>
    </tableColumn>
    <tableColumn id="14" xr3:uid="{70A8FB8C-F827-40E8-8802-37520D8747B9}" name="Thresh L" dataDxfId="797">
      <calculatedColumnFormula>G2/0.84</calculatedColumnFormula>
    </tableColumn>
    <tableColumn id="21" xr3:uid="{DE649B54-0BCC-49F7-AB19-824D9AAF6B64}" name="." dataDxfId="796">
      <calculatedColumnFormula>Table14610121424223234363840444850524811131517192123252729313335[[#This Row],[Thresh]]</calculatedColumnFormula>
    </tableColumn>
    <tableColumn id="20" xr3:uid="{D6CAEEB3-F61A-4ACF-8C46-0856C34D827F}" name=".." dataDxfId="795">
      <calculatedColumnFormula>Table14610121424223234363840444850524811131517192123252729313335[[#This Row],[.]]*2</calculatedColumnFormula>
    </tableColumn>
    <tableColumn id="19" xr3:uid="{0264BB96-3708-45F2-B517-FAB7AC43CED7}" name="..." dataDxfId="794">
      <calculatedColumnFormula>Table14610121424223234363840444850524811131517192123252729313335[[#This Row],[CV]]</calculatedColumnFormula>
    </tableColumn>
    <tableColumn id="18" xr3:uid="{2CAF91F0-C2DD-45E2-B329-06E72919D777}" name="...." dataDxfId="793">
      <calculatedColumnFormula>Table14610121424223234363840444850524811131517192123252729313335[[#This Row],[...]]*2</calculatedColumnFormula>
    </tableColumn>
    <tableColumn id="17" xr3:uid="{5F5001B4-9DFA-433F-832B-B61F3FA8BCC4}" name="....." dataDxfId="792">
      <calculatedColumnFormula>Table14610121424223234363840444850524811131517192123252729313335[[#This Row],[I]]</calculatedColumnFormula>
    </tableColumn>
    <tableColumn id="15" xr3:uid="{DE296395-A594-4A5B-84D7-BE6A05E839F8}" name="......" dataDxfId="791">
      <calculatedColumnFormula>Table14610121424223234363840444850524811131517192123252729313335[[#This Row],[.....]]*2</calculatedColumnFormula>
    </tableColumn>
    <tableColumn id="16" xr3:uid="{AABDC1BB-7CC9-4791-B036-A7A14DB4F8C5}" name="......." dataDxfId="790">
      <calculatedColumnFormula>Table14610121424223234363840444850524811131517192123252729313335[[#This Row],[VO2]]</calculatedColumnFormula>
    </tableColumn>
    <tableColumn id="22" xr3:uid="{AEDC4F51-4A0B-4C37-8BFC-DB48E29FD10B}" name="........" dataDxfId="789"/>
    <tableColumn id="23" xr3:uid="{9E0B25CB-6DE3-4A13-9093-81946757E832}" name="…......" dataDxfId="788"/>
    <tableColumn id="24" xr3:uid="{356862FB-33A7-4102-820D-50FC2B11DE10}" name="G" dataDxfId="78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6A95F6-743C-42D1-A1F6-15A5371DC86E}" name="Table25711131525233335373941454951535912141618202224262830323436" displayName="Table25711131525233335373941454951535912141618202224262830323436" ref="A34:V99" totalsRowShown="0" headerRowDxfId="786" tableBorderDxfId="78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236663A-682A-43FA-8AB2-2F098AC02FEC}" name="WO 2/23/2024" dataDxfId="784"/>
    <tableColumn id="2" xr3:uid="{9F0C6D98-30DF-487F-AB61-E25A8890783E}" name="5k" dataDxfId="783"/>
    <tableColumn id="3" xr3:uid="{827D102F-2F66-468B-BD2B-4D66F93D75D3}" name="Mile" dataDxfId="782"/>
    <tableColumn id="4" xr3:uid="{F9FA389E-7474-4195-B009-24FAA82B5F63}" name="3k" dataDxfId="781">
      <calculatedColumnFormula>B35*E35</calculatedColumnFormula>
    </tableColumn>
    <tableColumn id="5" xr3:uid="{9D0B920B-C6E7-4463-9907-933B94A0196A}" name="Percent" dataDxfId="780"/>
    <tableColumn id="6" xr3:uid="{93D0C646-0267-41C9-8646-6E48637CF5D3}" name="R" dataDxfId="779">
      <calculatedColumnFormula>C35/4</calculatedColumnFormula>
    </tableColumn>
    <tableColumn id="7" xr3:uid="{2A2E93AD-3692-4EE1-B3C6-F4CFEBE80860}" name="VO2" dataDxfId="778">
      <calculatedColumnFormula>D35/7.5</calculatedColumnFormula>
    </tableColumn>
    <tableColumn id="8" xr3:uid="{063379FD-A2A5-4226-BA0E-5CCE902F5C5B}" name="I" dataDxfId="777">
      <calculatedColumnFormula>B35/12.5</calculatedColumnFormula>
    </tableColumn>
    <tableColumn id="9" xr3:uid="{0C85C695-22F0-4FA5-A1C1-6990C50D63C4}" name="10k" dataDxfId="776">
      <calculatedColumnFormula>G35/0.93</calculatedColumnFormula>
    </tableColumn>
    <tableColumn id="10" xr3:uid="{CD13E339-A8CC-4394-92C2-42D09E88D1D5}" name="CV" dataDxfId="775">
      <calculatedColumnFormula>G35/0.92</calculatedColumnFormula>
    </tableColumn>
    <tableColumn id="11" xr3:uid="{3EEF5BD0-5A76-46B3-A687-2EFE16DB0102}" name="Thresh" dataDxfId="774">
      <calculatedColumnFormula>G35/0.88</calculatedColumnFormula>
    </tableColumn>
    <tableColumn id="12" xr3:uid="{06972572-E8F2-4CB7-833E-439EBBBC513E}" name="Thresh L" dataDxfId="773">
      <calculatedColumnFormula>G35/0.84</calculatedColumnFormula>
    </tableColumn>
    <tableColumn id="13" xr3:uid="{D5A323DC-CE36-41B3-AC0F-08BF7240A863}" name="." dataDxfId="772"/>
    <tableColumn id="14" xr3:uid="{8AF53452-F9A6-4D2C-95EE-D2E81BCBF7F0}" name=".."/>
    <tableColumn id="15" xr3:uid="{064516E4-31AE-4E53-BF47-99E42C691FF8}" name="..."/>
    <tableColumn id="16" xr3:uid="{04BBA742-51DB-4C34-A4BD-44A5DBB2EBB9}" name="...." dataDxfId="771">
      <calculatedColumnFormula>Table25711131525233335373941454951535912141618202224262830323436[[#This Row],[...]]*1.5</calculatedColumnFormula>
    </tableColumn>
    <tableColumn id="18" xr3:uid="{35AA3ED2-3A4E-4402-80AA-244D53A5ACD8}" name="....." dataDxfId="770">
      <calculatedColumnFormula>Table25711131525233335373941454951535912141618202224262830323436[[#This Row],[VO2]]/2</calculatedColumnFormula>
    </tableColumn>
    <tableColumn id="19" xr3:uid="{820D209F-F64F-4AA1-BEA7-DC3A83F1F1C6}" name="......" dataDxfId="769">
      <calculatedColumnFormula>Table25711131525233335373941454951535912141618202224262830323436[[#This Row],[I]]</calculatedColumnFormula>
    </tableColumn>
    <tableColumn id="24" xr3:uid="{09D14742-5177-4A04-B2AF-C82A58F68720}" name="…....." dataDxfId="768">
      <calculatedColumnFormula>Table25711131525233335373941454951535912141618202224262830323436[[#This Row],[......]]*1.5</calculatedColumnFormula>
    </tableColumn>
    <tableColumn id="20" xr3:uid="{397D3A31-4AAB-4CEB-8758-D71C246C5CAA}" name="........"/>
    <tableColumn id="21" xr3:uid="{A69C5CA9-BE80-46C9-9F77-DDCF7E51EC09}" name="…......" dataDxfId="767"/>
    <tableColumn id="22" xr3:uid="{61EB4D17-FF35-439B-A24F-842086B884BB}" name="G" dataDxfId="766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A5A9FF0-0716-4DC1-BEDA-024F5F77AE42}" name="Table14610121424223234363840444850524811131517192123252729313337" displayName="Table14610121424223234363840444850524811131517192123252729313337" ref="A1:V33" totalsRowShown="0" headerRowDxfId="765" dataDxfId="764" tableBorderDxfId="76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9B16297-A715-4296-8A93-5B0CBC7FF43F}" name="WO 2/20/2024" dataDxfId="762"/>
    <tableColumn id="4" xr3:uid="{CD7E6895-2342-4F0D-95C5-DCC104D34A49}" name="5k" dataDxfId="761"/>
    <tableColumn id="5" xr3:uid="{41005785-8D3F-46B2-BAF7-888397919988}" name="Mile" dataDxfId="760"/>
    <tableColumn id="6" xr3:uid="{51A029F1-06C9-4C9D-9CEF-EE1A40CF306E}" name="3k" dataDxfId="759">
      <calculatedColumnFormula>B2*E2</calculatedColumnFormula>
    </tableColumn>
    <tableColumn id="7" xr3:uid="{49890159-7066-4273-806D-CA729F25B117}" name="Percent" dataDxfId="758"/>
    <tableColumn id="8" xr3:uid="{D2F70221-C79F-49F8-92B6-58D08C64780A}" name="R" dataDxfId="757">
      <calculatedColumnFormula>C2/4</calculatedColumnFormula>
    </tableColumn>
    <tableColumn id="10" xr3:uid="{D8FCB634-6589-4926-B238-6589600E5A65}" name="VO2" dataDxfId="756">
      <calculatedColumnFormula>D2/7.5</calculatedColumnFormula>
    </tableColumn>
    <tableColumn id="9" xr3:uid="{8C198900-3E5F-4EF3-B85C-15364361302C}" name="I" dataDxfId="755">
      <calculatedColumnFormula>B2/12.5</calculatedColumnFormula>
    </tableColumn>
    <tableColumn id="11" xr3:uid="{09AF5DF4-1175-49D3-9E0F-A175E014828F}" name="10k" dataDxfId="754">
      <calculatedColumnFormula>G2/0.93</calculatedColumnFormula>
    </tableColumn>
    <tableColumn id="12" xr3:uid="{33A6A62C-62E2-4D9C-87C9-DDD8642B0D4C}" name="CV" dataDxfId="753">
      <calculatedColumnFormula>G2/0.92</calculatedColumnFormula>
    </tableColumn>
    <tableColumn id="13" xr3:uid="{7E256054-1DD2-49C9-8D50-3955C60A63D9}" name="Thresh" dataDxfId="752">
      <calculatedColumnFormula>G2/0.88</calculatedColumnFormula>
    </tableColumn>
    <tableColumn id="14" xr3:uid="{24B63885-2376-4610-A62C-7B1F12BE7AC7}" name="Thresh L" dataDxfId="751">
      <calculatedColumnFormula>G2/0.84</calculatedColumnFormula>
    </tableColumn>
    <tableColumn id="21" xr3:uid="{99C25D33-C945-4980-9D07-94464E684C61}" name="T (400)" dataDxfId="750">
      <calculatedColumnFormula>Table14610121424223234363840444850524811131517192123252729313337[[#This Row],[Thresh]]</calculatedColumnFormula>
    </tableColumn>
    <tableColumn id="20" xr3:uid="{1316E16B-1A29-4DD1-95BA-789AB24F8CB6}" name="800 T" dataDxfId="749">
      <calculatedColumnFormula>Table14610121424223234363840444850524811131517192123252729313337[[#This Row],[T (400)]]*2</calculatedColumnFormula>
    </tableColumn>
    <tableColumn id="19" xr3:uid="{AB8FAA42-C9C8-4D9B-9833-24F1F7C276E3}" name="200 R" dataDxfId="748">
      <calculatedColumnFormula>Table14610121424223234363840444850524811131517192123252729313337[[#This Row],[CV]]</calculatedColumnFormula>
    </tableColumn>
    <tableColumn id="18" xr3:uid="{4218FFF7-1DDF-4506-AABA-9F0B12689CA6}" name="...." dataDxfId="747">
      <calculatedColumnFormula>Table14610121424223234363840444850524811131517192123252729313337[[#This Row],[200 R]]*2</calculatedColumnFormula>
    </tableColumn>
    <tableColumn id="17" xr3:uid="{C28AD320-790A-45C4-B9FA-E3D4808FBA33}" name="....." dataDxfId="746">
      <calculatedColumnFormula>Table14610121424223234363840444850524811131517192123252729313337[[#This Row],[I]]</calculatedColumnFormula>
    </tableColumn>
    <tableColumn id="15" xr3:uid="{721ADCFD-152A-455E-A1C3-7CB634F48E42}" name="......" dataDxfId="745">
      <calculatedColumnFormula>Table14610121424223234363840444850524811131517192123252729313337[[#This Row],[.....]]*2</calculatedColumnFormula>
    </tableColumn>
    <tableColumn id="16" xr3:uid="{DBE2D343-7720-4E31-91B5-A23BAA4749F0}" name="......." dataDxfId="744">
      <calculatedColumnFormula>Table14610121424223234363840444850524811131517192123252729313337[[#This Row],[VO2]]</calculatedColumnFormula>
    </tableColumn>
    <tableColumn id="22" xr3:uid="{BB4F682C-6CE0-48A0-B11D-111D4AD9CD79}" name="........" dataDxfId="743"/>
    <tableColumn id="23" xr3:uid="{5F780AFD-7FC5-4C64-88C5-74D02ED06058}" name="…......" dataDxfId="742"/>
    <tableColumn id="24" xr3:uid="{464F122C-1DAA-4571-BAF8-EA367F6C2065}" name="G" dataDxfId="74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9EC6CE5-C387-4DC6-8A56-C03E35D593E8}" name="Table25711131525233335373941454951535912141618202224262830323438" displayName="Table25711131525233335373941454951535912141618202224262830323438" ref="A34:V99" totalsRowShown="0" headerRowDxfId="740" tableBorderDxfId="73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6D8F9D3-E21E-4715-9917-F261AF6DF363}" name="WO 2/20/2024" dataDxfId="738"/>
    <tableColumn id="2" xr3:uid="{201D7C10-F352-4BFD-B45C-A3980FD5FE17}" name="5k" dataDxfId="737"/>
    <tableColumn id="3" xr3:uid="{81DA1CCF-20C1-4AFC-9837-EE6D5353ACAA}" name="Mile" dataDxfId="736"/>
    <tableColumn id="4" xr3:uid="{C0B1CE81-2E7D-445C-841E-D75656E77780}" name="3k" dataDxfId="735">
      <calculatedColumnFormula>B35*E35</calculatedColumnFormula>
    </tableColumn>
    <tableColumn id="5" xr3:uid="{3A391A22-A92A-42A1-8152-97FAF3B9424B}" name="Percent" dataDxfId="734"/>
    <tableColumn id="6" xr3:uid="{B0D17418-63E6-48BA-8A0C-03C5C5484246}" name="R" dataDxfId="733">
      <calculatedColumnFormula>C35/4</calculatedColumnFormula>
    </tableColumn>
    <tableColumn id="7" xr3:uid="{BC078D06-B46B-4446-929F-CD94D9030CF8}" name="VO2" dataDxfId="732">
      <calculatedColumnFormula>D35/7.5</calculatedColumnFormula>
    </tableColumn>
    <tableColumn id="8" xr3:uid="{6B62E66A-97B9-4A56-8208-BD3D0E620421}" name="I" dataDxfId="731">
      <calculatedColumnFormula>B35/12.5</calculatedColumnFormula>
    </tableColumn>
    <tableColumn id="9" xr3:uid="{A91D25E4-9718-4D69-A44C-DE497B5654D2}" name="10k" dataDxfId="730">
      <calculatedColumnFormula>G35/0.93</calculatedColumnFormula>
    </tableColumn>
    <tableColumn id="10" xr3:uid="{F9827ECE-9B60-4AE5-A746-1BB508E25793}" name="CV" dataDxfId="729">
      <calculatedColumnFormula>G35/0.92</calculatedColumnFormula>
    </tableColumn>
    <tableColumn id="11" xr3:uid="{A06B83C3-3477-4076-BC95-A72BDB7B7707}" name="Thresh" dataDxfId="728">
      <calculatedColumnFormula>G35/0.88</calculatedColumnFormula>
    </tableColumn>
    <tableColumn id="12" xr3:uid="{F037C83B-FF3E-4A83-9B2B-A5D9370C92A8}" name="Thresh L" dataDxfId="727">
      <calculatedColumnFormula>G35/0.84</calculatedColumnFormula>
    </tableColumn>
    <tableColumn id="13" xr3:uid="{773D5757-8592-4E7F-B4FF-26FC82E70C0B}" name="T (400)" dataDxfId="726"/>
    <tableColumn id="14" xr3:uid="{1BCC3036-C13F-4711-B077-3511648C1664}" name="800 T"/>
    <tableColumn id="15" xr3:uid="{99CDFB9D-0212-4524-8315-72D513C8B2A5}" name="200 R"/>
    <tableColumn id="16" xr3:uid="{0857C8C9-F75F-435A-8ABA-AA4453184711}" name="...." dataDxfId="725">
      <calculatedColumnFormula>Table25711131525233335373941454951535912141618202224262830323438[[#This Row],[200 R]]*1.5</calculatedColumnFormula>
    </tableColumn>
    <tableColumn id="18" xr3:uid="{CBEB37CD-7F7B-4A73-BBD9-478DE0A64882}" name="....." dataDxfId="724">
      <calculatedColumnFormula>Table25711131525233335373941454951535912141618202224262830323438[[#This Row],[VO2]]/2</calculatedColumnFormula>
    </tableColumn>
    <tableColumn id="19" xr3:uid="{810883FB-A59A-4C26-9337-4661279B08F4}" name="......" dataDxfId="723">
      <calculatedColumnFormula>Table25711131525233335373941454951535912141618202224262830323438[[#This Row],[I]]</calculatedColumnFormula>
    </tableColumn>
    <tableColumn id="24" xr3:uid="{816C7B83-CCA1-46A7-966E-2CAF23F45DD4}" name="…....." dataDxfId="722">
      <calculatedColumnFormula>Table25711131525233335373941454951535912141618202224262830323438[[#This Row],[......]]*1.5</calculatedColumnFormula>
    </tableColumn>
    <tableColumn id="20" xr3:uid="{CAEBB1FA-1C2E-4434-BFD8-97AB473AF86D}" name="........"/>
    <tableColumn id="21" xr3:uid="{1B36CB37-034D-45DD-859C-B6A0521A987D}" name="…......" dataDxfId="721"/>
    <tableColumn id="22" xr3:uid="{9B87F8F9-50B0-41E2-924C-B92F7854E682}" name="G" dataDxfId="720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D511B1-9310-4D29-B66F-EEBE02AD310F}" name="Table146101214242232343638404448505248111315171921232527293133" displayName="Table146101214242232343638404448505248111315171921232527293133" ref="A1:V33" totalsRowShown="0" headerRowDxfId="719" dataDxfId="718" tableBorderDxfId="71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34DB387-25A6-41BE-9B70-37C3CE978FC0}" name="WO 2/20/2024" dataDxfId="716"/>
    <tableColumn id="4" xr3:uid="{F2C460AC-A18C-4673-8235-C82E1D0DD054}" name="5k" dataDxfId="715"/>
    <tableColumn id="5" xr3:uid="{14B0BEEA-9537-4CAB-8353-041351B030DC}" name="Mile" dataDxfId="714"/>
    <tableColumn id="6" xr3:uid="{231E8B5B-AFD4-42B6-BC5F-458549B579F9}" name="3k" dataDxfId="713">
      <calculatedColumnFormula>B2*E2</calculatedColumnFormula>
    </tableColumn>
    <tableColumn id="7" xr3:uid="{00149CFD-8BA1-41BE-B7DD-1CD88D9646CF}" name="Percent" dataDxfId="712"/>
    <tableColumn id="8" xr3:uid="{629EFF7B-6B3E-43EA-8365-4B534141288B}" name="R" dataDxfId="711">
      <calculatedColumnFormula>C2/4</calculatedColumnFormula>
    </tableColumn>
    <tableColumn id="10" xr3:uid="{A6878269-9A08-488B-867A-50E3E3AEF521}" name="VO2" dataDxfId="710">
      <calculatedColumnFormula>D2/7.5</calculatedColumnFormula>
    </tableColumn>
    <tableColumn id="9" xr3:uid="{E80BD942-C46F-4A62-8234-B8FE51DF857A}" name="I" dataDxfId="709">
      <calculatedColumnFormula>B2/12.5</calculatedColumnFormula>
    </tableColumn>
    <tableColumn id="11" xr3:uid="{1CB601DA-04FE-4A3C-B227-40D5974BF85A}" name="10k" dataDxfId="708">
      <calculatedColumnFormula>G2/0.93</calculatedColumnFormula>
    </tableColumn>
    <tableColumn id="12" xr3:uid="{9D030AD5-B855-4CFB-A250-EF7946948A17}" name="CV" dataDxfId="707">
      <calculatedColumnFormula>G2/0.92</calculatedColumnFormula>
    </tableColumn>
    <tableColumn id="13" xr3:uid="{38B92C4B-75E0-480A-BE97-13678EE51C0C}" name="Thresh" dataDxfId="706">
      <calculatedColumnFormula>G2/0.88</calculatedColumnFormula>
    </tableColumn>
    <tableColumn id="14" xr3:uid="{A8985704-D7AB-4558-9019-90B623B4ED92}" name="Thresh L" dataDxfId="705">
      <calculatedColumnFormula>G2/0.84</calculatedColumnFormula>
    </tableColumn>
    <tableColumn id="21" xr3:uid="{1A73CC17-BB46-4836-82B9-5CF2DBF945EA}" name="T (400)" dataDxfId="704">
      <calculatedColumnFormula>Table146101214242232343638404448505248111315171921232527293133[[#This Row],[Thresh]]</calculatedColumnFormula>
    </tableColumn>
    <tableColumn id="20" xr3:uid="{4431BC8D-1250-41ED-AB40-605631435C1F}" name="800 T" dataDxfId="703">
      <calculatedColumnFormula>Table146101214242232343638404448505248111315171921232527293133[[#This Row],[T (400)]]*2</calculatedColumnFormula>
    </tableColumn>
    <tableColumn id="19" xr3:uid="{35466D4E-F1AA-46C4-900F-04D7996F3277}" name="200 R" dataDxfId="702">
      <calculatedColumnFormula>Table146101214242232343638404448505248111315171921232527293133[[#This Row],[CV]]</calculatedColumnFormula>
    </tableColumn>
    <tableColumn id="18" xr3:uid="{AE9588E9-41A6-4769-837D-A9816CF66351}" name="...." dataDxfId="701">
      <calculatedColumnFormula>Table146101214242232343638404448505248111315171921232527293133[[#This Row],[200 R]]*2</calculatedColumnFormula>
    </tableColumn>
    <tableColumn id="17" xr3:uid="{4BDF8361-3C0F-4519-97AE-AFBFCA23A535}" name="....." dataDxfId="700">
      <calculatedColumnFormula>Table146101214242232343638404448505248111315171921232527293133[[#This Row],[I]]</calculatedColumnFormula>
    </tableColumn>
    <tableColumn id="15" xr3:uid="{C6438817-1DB6-49E0-8ACF-40937E2398EF}" name="......" dataDxfId="699">
      <calculatedColumnFormula>Table146101214242232343638404448505248111315171921232527293133[[#This Row],[.....]]*2</calculatedColumnFormula>
    </tableColumn>
    <tableColumn id="16" xr3:uid="{2D4AF686-A717-48C5-BB37-262DDE752F36}" name="......." dataDxfId="698">
      <calculatedColumnFormula>Table146101214242232343638404448505248111315171921232527293133[[#This Row],[VO2]]</calculatedColumnFormula>
    </tableColumn>
    <tableColumn id="22" xr3:uid="{03C828F7-5A88-4F3C-AE46-5ED227B09197}" name="........" dataDxfId="697"/>
    <tableColumn id="23" xr3:uid="{77B2B60E-3110-4561-841D-60053DA18B8A}" name="…......" dataDxfId="696"/>
    <tableColumn id="24" xr3:uid="{CC9E1EB5-499D-4EA6-B376-8424B2395263}" name="G" dataDxfId="69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040A43-CCEF-4AD5-8E3E-2440049E81B1}" name="Table257111315252333353739414549515359121416182022242628303234" displayName="Table257111315252333353739414549515359121416182022242628303234" ref="A34:V99" totalsRowShown="0" headerRowDxfId="694" tableBorderDxfId="69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2B72D4C-C31D-4A54-B063-9B8D0598C16A}" name="WO 2/20/2024" dataDxfId="692"/>
    <tableColumn id="2" xr3:uid="{A1CFAA58-DB55-4DD5-BD02-78468F144757}" name="5k" dataDxfId="691"/>
    <tableColumn id="3" xr3:uid="{F0D9D998-5376-4672-B4E5-3007FCB9677B}" name="Mile" dataDxfId="690"/>
    <tableColumn id="4" xr3:uid="{9F8989A7-4DAB-4476-AFE5-DF32F0AAC9E3}" name="3k" dataDxfId="689">
      <calculatedColumnFormula>B35*E35</calculatedColumnFormula>
    </tableColumn>
    <tableColumn id="5" xr3:uid="{7B6EF21E-540B-46A7-A4CC-1E80931A3DFA}" name="Percent" dataDxfId="688"/>
    <tableColumn id="6" xr3:uid="{0694B868-E58E-4D47-B445-88B7AD0E79B9}" name="R" dataDxfId="687">
      <calculatedColumnFormula>C35/4</calculatedColumnFormula>
    </tableColumn>
    <tableColumn id="7" xr3:uid="{EBC42018-CBF1-45ED-B49E-395578CD3C43}" name="VO2" dataDxfId="686">
      <calculatedColumnFormula>D35/7.5</calculatedColumnFormula>
    </tableColumn>
    <tableColumn id="8" xr3:uid="{9A2BAB83-C727-46FC-A99B-3BBB768FB020}" name="I" dataDxfId="685">
      <calculatedColumnFormula>B35/12.5</calculatedColumnFormula>
    </tableColumn>
    <tableColumn id="9" xr3:uid="{052B72C4-711C-4C55-AC11-C33582CD3355}" name="10k" dataDxfId="684">
      <calculatedColumnFormula>G35/0.93</calculatedColumnFormula>
    </tableColumn>
    <tableColumn id="10" xr3:uid="{0C5D5F80-2B32-4DD8-A811-C7922B444518}" name="CV" dataDxfId="683">
      <calculatedColumnFormula>G35/0.92</calculatedColumnFormula>
    </tableColumn>
    <tableColumn id="11" xr3:uid="{CC53A4DB-EB31-4EA1-B8B0-08C5547F78CE}" name="Thresh" dataDxfId="682">
      <calculatedColumnFormula>G35/0.88</calculatedColumnFormula>
    </tableColumn>
    <tableColumn id="12" xr3:uid="{47057220-7BF9-4DEC-AF06-70008314F13C}" name="Thresh L" dataDxfId="681">
      <calculatedColumnFormula>G35/0.84</calculatedColumnFormula>
    </tableColumn>
    <tableColumn id="13" xr3:uid="{89C2A04C-7EB4-49DC-8D50-AE03EB08C7DE}" name="T (400)" dataDxfId="680"/>
    <tableColumn id="14" xr3:uid="{0965D94D-34ED-4913-902F-FD62AE45CE3C}" name="800 T"/>
    <tableColumn id="15" xr3:uid="{C5BE9150-0F58-4361-A2A4-24D631353DA7}" name="200 R"/>
    <tableColumn id="16" xr3:uid="{A1ACA883-65EE-470F-AD39-1E93C5D1688F}" name="...." dataDxfId="679">
      <calculatedColumnFormula>Table257111315252333353739414549515359121416182022242628303234[[#This Row],[200 R]]*1.5</calculatedColumnFormula>
    </tableColumn>
    <tableColumn id="18" xr3:uid="{29569712-4660-4378-B390-A32BE84D1E1E}" name="....." dataDxfId="678">
      <calculatedColumnFormula>Table257111315252333353739414549515359121416182022242628303234[[#This Row],[VO2]]/2</calculatedColumnFormula>
    </tableColumn>
    <tableColumn id="19" xr3:uid="{5D848A0D-C0DA-4859-9369-54DFB99FA61B}" name="......" dataDxfId="677">
      <calculatedColumnFormula>Table257111315252333353739414549515359121416182022242628303234[[#This Row],[I]]</calculatedColumnFormula>
    </tableColumn>
    <tableColumn id="24" xr3:uid="{26B7F8D7-1CE5-4BE5-97D8-F6E36CD54EB5}" name="…....." dataDxfId="676">
      <calculatedColumnFormula>Table257111315252333353739414549515359121416182022242628303234[[#This Row],[......]]*1.5</calculatedColumnFormula>
    </tableColumn>
    <tableColumn id="20" xr3:uid="{3252A5B0-427B-4EBD-941E-0799A9324101}" name="........"/>
    <tableColumn id="21" xr3:uid="{6EE71345-9126-4F96-A975-D63B79B55B17}" name="…......" dataDxfId="675"/>
    <tableColumn id="22" xr3:uid="{4FE5F369-8DCB-4799-BC4C-B106090360F9}" name="G" dataDxfId="674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AAD28D7-394D-4FB2-B11E-D3B5F1922AB7}" name="Table1461012142422323436384044485052481113151719212325272931" displayName="Table1461012142422323436384044485052481113151719212325272931" ref="A1:V33" totalsRowShown="0" headerRowDxfId="673" dataDxfId="672" tableBorderDxfId="67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B86E1A7-C88E-40DE-BA45-303CED33CD8D}" name="WO 2/16/2024" dataDxfId="670"/>
    <tableColumn id="4" xr3:uid="{5566D18F-DF06-44C2-A5CB-094EB7D00633}" name="5k" dataDxfId="669"/>
    <tableColumn id="5" xr3:uid="{99DEE449-56F8-4B6B-A175-3855DE5B8317}" name="Mile" dataDxfId="668"/>
    <tableColumn id="6" xr3:uid="{9F24271B-B182-4DBA-B280-E8F731E6E366}" name="3k" dataDxfId="667">
      <calculatedColumnFormula>B2*E2</calculatedColumnFormula>
    </tableColumn>
    <tableColumn id="7" xr3:uid="{86B3ECBC-483B-44A5-A402-A466101F6A9F}" name="Percent" dataDxfId="666"/>
    <tableColumn id="8" xr3:uid="{C5E45FED-5A06-4CF4-8AED-5AA0CE4C9E0C}" name="R" dataDxfId="665">
      <calculatedColumnFormula>C2/4</calculatedColumnFormula>
    </tableColumn>
    <tableColumn id="10" xr3:uid="{A8F9F889-2AA6-4B4E-95FE-B2E7340EDC4E}" name="VO2" dataDxfId="664">
      <calculatedColumnFormula>D2/7.5</calculatedColumnFormula>
    </tableColumn>
    <tableColumn id="9" xr3:uid="{80336E62-D65A-4ACD-B580-637B3A1BCC66}" name="I" dataDxfId="663">
      <calculatedColumnFormula>B2/12.5</calculatedColumnFormula>
    </tableColumn>
    <tableColumn id="11" xr3:uid="{DC49B2FB-8AAE-42D5-B7C4-922DD03C6E3D}" name="10k" dataDxfId="662">
      <calculatedColumnFormula>G2/0.93</calculatedColumnFormula>
    </tableColumn>
    <tableColumn id="12" xr3:uid="{D919ADC0-8869-4849-BB19-084E8432F67F}" name="CV" dataDxfId="661">
      <calculatedColumnFormula>G2/0.92</calculatedColumnFormula>
    </tableColumn>
    <tableColumn id="13" xr3:uid="{41FAFE46-2D40-4B9C-97B7-6BC22B8B1186}" name="Thresh" dataDxfId="660">
      <calculatedColumnFormula>G2/0.88</calculatedColumnFormula>
    </tableColumn>
    <tableColumn id="14" xr3:uid="{0A4625E6-25FC-4BC9-B4D8-452A7FFFA6B9}" name="Thresh L" dataDxfId="659">
      <calculatedColumnFormula>G2/0.84</calculatedColumnFormula>
    </tableColumn>
    <tableColumn id="21" xr3:uid="{4164E10A-76A7-4E7D-95B9-51FAB6210FA0}" name="T (400)" dataDxfId="658">
      <calculatedColumnFormula>Table1461012142422323436384044485052481113151719212325272931[[#This Row],[Thresh]]</calculatedColumnFormula>
    </tableColumn>
    <tableColumn id="20" xr3:uid="{48791CED-E782-4C08-BE07-0F7764683478}" name="1600 T" dataDxfId="657">
      <calculatedColumnFormula>Table1461012142422323436384044485052481113151719212325272931[[#This Row],[T (400)]]*2</calculatedColumnFormula>
    </tableColumn>
    <tableColumn id="19" xr3:uid="{5D3DF465-950F-4E4C-9C21-B1A1D48C9D73}" name="CV (400)" dataDxfId="656">
      <calculatedColumnFormula>Table1461012142422323436384044485052481113151719212325272931[[#This Row],[CV]]</calculatedColumnFormula>
    </tableColumn>
    <tableColumn id="18" xr3:uid="{990CAE81-CAA1-4C05-9598-BE091851FE52}" name="800 CV" dataDxfId="655">
      <calculatedColumnFormula>Table1461012142422323436384044485052481113151719212325272931[[#This Row],[CV (400)]]*2</calculatedColumnFormula>
    </tableColumn>
    <tableColumn id="17" xr3:uid="{130CEE07-7ED2-4766-B903-4E889A2F11F1}" name="I (400)" dataDxfId="654">
      <calculatedColumnFormula>Table1461012142422323436384044485052481113151719212325272931[[#This Row],[I]]</calculatedColumnFormula>
    </tableColumn>
    <tableColumn id="15" xr3:uid="{939482D6-5409-4AFC-BD46-DC27E008A0C6}" name="200 R" dataDxfId="653">
      <calculatedColumnFormula>Table1461012142422323436384044485052481113151719212325272931[[#This Row],[I (400)]]*2</calculatedColumnFormula>
    </tableColumn>
    <tableColumn id="16" xr3:uid="{38E0FDDD-153B-4613-A8D4-CD3497A8485E}" name="400 VO2" dataDxfId="652">
      <calculatedColumnFormula>Table1461012142422323436384044485052481113151719212325272931[[#This Row],[VO2]]</calculatedColumnFormula>
    </tableColumn>
    <tableColumn id="22" xr3:uid="{6280B194-083A-4FA0-AC59-BB499179D7F8}" name="........" dataDxfId="651"/>
    <tableColumn id="23" xr3:uid="{AD7A649D-910F-4783-94A2-6C9BBAE8921B}" name="…......" dataDxfId="650"/>
    <tableColumn id="24" xr3:uid="{C3A09084-E1A3-4372-9ED5-C4086BC74896}" name="G" dataDxfId="649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8F979F7-56CA-4E8A-BC12-5E5B838FE2B6}" name="Table2571113152523333537394145495153591214161820222426283032" displayName="Table2571113152523333537394145495153591214161820222426283032" ref="A34:V99" totalsRowShown="0" headerRowDxfId="648" tableBorderDxfId="64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ED18057B-3879-44CB-AE06-E230CEC60897}" name="WO 2/16/2024" dataDxfId="646"/>
    <tableColumn id="2" xr3:uid="{F2D1C26E-8337-4568-81D4-458E49BA959B}" name="5k" dataDxfId="645"/>
    <tableColumn id="3" xr3:uid="{9137074D-6163-4331-BA80-F208C36BC3D2}" name="Mile" dataDxfId="644"/>
    <tableColumn id="4" xr3:uid="{E6260497-5D6D-4D0A-890C-57F1B778D3A8}" name="3k" dataDxfId="643">
      <calculatedColumnFormula>B35*E35</calculatedColumnFormula>
    </tableColumn>
    <tableColumn id="5" xr3:uid="{8E3804D1-1793-44EE-9B1D-DA07A5F255D2}" name="Percent" dataDxfId="642"/>
    <tableColumn id="6" xr3:uid="{10BA281C-B6C3-4678-955B-0C4A41B1749B}" name="R" dataDxfId="641">
      <calculatedColumnFormula>C35/4</calculatedColumnFormula>
    </tableColumn>
    <tableColumn id="7" xr3:uid="{DBD77D87-DDFC-4243-94FC-39E14A77A9FE}" name="VO2" dataDxfId="640">
      <calculatedColumnFormula>D35/7.5</calculatedColumnFormula>
    </tableColumn>
    <tableColumn id="8" xr3:uid="{7C0C462C-6503-4294-BCEE-FF3FB647737D}" name="I" dataDxfId="639">
      <calculatedColumnFormula>B35/12.5</calculatedColumnFormula>
    </tableColumn>
    <tableColumn id="9" xr3:uid="{CEA8F5E9-0D6E-4CC0-8575-59555EDF6BD0}" name="10k" dataDxfId="638">
      <calculatedColumnFormula>G35/0.93</calculatedColumnFormula>
    </tableColumn>
    <tableColumn id="10" xr3:uid="{FAD7DC5F-0B6C-4AC0-AF54-97DD840B2E96}" name="CV" dataDxfId="637">
      <calculatedColumnFormula>G35/0.92</calculatedColumnFormula>
    </tableColumn>
    <tableColumn id="11" xr3:uid="{8BE4CBDD-B51F-4CD0-9FA1-C13EAF512ED2}" name="Thresh" dataDxfId="636">
      <calculatedColumnFormula>G35/0.88</calculatedColumnFormula>
    </tableColumn>
    <tableColumn id="12" xr3:uid="{2AF7397F-EAAC-4D2C-9D33-1BFC76366571}" name="Thresh L" dataDxfId="635">
      <calculatedColumnFormula>G35/0.84</calculatedColumnFormula>
    </tableColumn>
    <tableColumn id="13" xr3:uid="{6F7FA84B-6006-464B-917A-977FE771DCC6}" name="T (400)" dataDxfId="634"/>
    <tableColumn id="14" xr3:uid="{579507FF-C46E-4233-8DA9-20AFE79C9D1D}" name="800 T"/>
    <tableColumn id="15" xr3:uid="{39DD96E6-B298-43BE-9FB5-FBB2067CB4EB}" name="200 R"/>
    <tableColumn id="16" xr3:uid="{D983E34A-A6E7-4031-A5FC-5B5C757E6BED}" name="VO2 (200)" dataDxfId="633">
      <calculatedColumnFormula>Table2571113152523333537394145495153591214161820222426283032[[#This Row],[200 R]]*1.5</calculatedColumnFormula>
    </tableColumn>
    <tableColumn id="18" xr3:uid="{F58D05D4-BFB5-48A5-88B7-41CDEA4E4A07}" name="300 VO2" dataDxfId="632">
      <calculatedColumnFormula>Table2571113152523333537394145495153591214161820222426283032[[#This Row],[VO2]]/2</calculatedColumnFormula>
    </tableColumn>
    <tableColumn id="19" xr3:uid="{C2A7D5B3-9698-4368-A306-36B3D986E778}" name="......" dataDxfId="631">
      <calculatedColumnFormula>Table2571113152523333537394145495153591214161820222426283032[[#This Row],[I]]</calculatedColumnFormula>
    </tableColumn>
    <tableColumn id="24" xr3:uid="{15D5E97A-7AD8-4C2B-8012-46B6EC42CE43}" name="…....." dataDxfId="630">
      <calculatedColumnFormula>Table2571113152523333537394145495153591214161820222426283032[[#This Row],[......]]*1.5</calculatedColumnFormula>
    </tableColumn>
    <tableColumn id="20" xr3:uid="{862990CF-BE3D-4C64-80B1-73238C9BD3E9}" name="........"/>
    <tableColumn id="21" xr3:uid="{9BC5D163-72EC-488F-AA6D-D6FC8F588F8C}" name="…......" dataDxfId="629"/>
    <tableColumn id="22" xr3:uid="{585C0D03-147A-4D49-8D2C-56F736900796}" name="G" dataDxfId="628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236D8B-FF9E-4DD3-AFA3-4C363BA717E0}" name="Table14610121424223234363840444850524811131517192123252729" displayName="Table14610121424223234363840444850524811131517192123252729" ref="A1:V33" totalsRowShown="0" headerRowDxfId="627" dataDxfId="626" tableBorderDxfId="62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07646FD-5E1F-4C55-8F4C-9DBCA5581E39}" name="WO 2/13/2024" dataDxfId="624"/>
    <tableColumn id="4" xr3:uid="{14934ECA-C7C8-4CAF-BD62-BEA417D2616E}" name="5k" dataDxfId="623"/>
    <tableColumn id="5" xr3:uid="{797AA6D1-10EE-42E5-B3A7-3FE26891B953}" name="Mile" dataDxfId="622"/>
    <tableColumn id="6" xr3:uid="{2EE2F836-D619-4C32-B89C-73D87D1954D4}" name="3k" dataDxfId="621">
      <calculatedColumnFormula>B2*E2</calculatedColumnFormula>
    </tableColumn>
    <tableColumn id="7" xr3:uid="{D69274E4-0F51-40D0-8859-9827DB903D0C}" name="Percent" dataDxfId="620"/>
    <tableColumn id="8" xr3:uid="{A754214C-1257-4BFC-9394-77CB0495FE98}" name="R" dataDxfId="619">
      <calculatedColumnFormula>C2/4</calculatedColumnFormula>
    </tableColumn>
    <tableColumn id="10" xr3:uid="{FF158B53-9DF7-41CC-83A3-C4DC52A55D84}" name="VO2" dataDxfId="618">
      <calculatedColumnFormula>D2/7.5</calculatedColumnFormula>
    </tableColumn>
    <tableColumn id="9" xr3:uid="{DB484EEB-5A6B-416C-87A2-0077525B2868}" name="I" dataDxfId="617">
      <calculatedColumnFormula>B2/12.5</calculatedColumnFormula>
    </tableColumn>
    <tableColumn id="11" xr3:uid="{5B9D8082-106A-41F0-9B9B-E31FE314E0B4}" name="10k" dataDxfId="616">
      <calculatedColumnFormula>G2/0.93</calculatedColumnFormula>
    </tableColumn>
    <tableColumn id="12" xr3:uid="{7DA2F626-770A-484C-A9A5-FE7581D61D19}" name="CV" dataDxfId="615">
      <calculatedColumnFormula>G2/0.92</calculatedColumnFormula>
    </tableColumn>
    <tableColumn id="13" xr3:uid="{62D5B401-D7E7-47B6-8FCC-D23F393511A5}" name="Thresh" dataDxfId="614">
      <calculatedColumnFormula>G2/0.88</calculatedColumnFormula>
    </tableColumn>
    <tableColumn id="14" xr3:uid="{1FFFA5E3-BAE6-4CC2-9EB1-155BCAF00D7A}" name="Thresh L" dataDxfId="613">
      <calculatedColumnFormula>G2/0.84</calculatedColumnFormula>
    </tableColumn>
    <tableColumn id="21" xr3:uid="{7BEF86FB-8C71-4B30-A759-879F98F5BFB3}" name="T (400)" dataDxfId="612">
      <calculatedColumnFormula>Table14610121424223234363840444850524811131517192123252729[[#This Row],[Thresh]]</calculatedColumnFormula>
    </tableColumn>
    <tableColumn id="20" xr3:uid="{907C886F-052F-4795-BFBE-A7EE00819169}" name="800 T" dataDxfId="611">
      <calculatedColumnFormula>Table14610121424223234363840444850524811131517192123252729[[#This Row],[T (400)]]*2</calculatedColumnFormula>
    </tableColumn>
    <tableColumn id="19" xr3:uid="{68C0EA57-67B7-43AC-87C4-60C385DB4AF2}" name="200 R" dataDxfId="610">
      <calculatedColumnFormula>Table14610121424223234363840444850524811131517192123252729[[#This Row],[CV]]</calculatedColumnFormula>
    </tableColumn>
    <tableColumn id="18" xr3:uid="{9E5E42D8-8D37-4BC0-9BE7-D7A6EA90EB18}" name="VO2 (200)" dataDxfId="609">
      <calculatedColumnFormula>Table14610121424223234363840444850524811131517192123252729[[#This Row],[200 R]]*2</calculatedColumnFormula>
    </tableColumn>
    <tableColumn id="17" xr3:uid="{940BBF80-D703-40F5-80FE-248E34242CA2}" name="300 VO2" dataDxfId="608">
      <calculatedColumnFormula>Table14610121424223234363840444850524811131517192123252729[[#This Row],[I]]</calculatedColumnFormula>
    </tableColumn>
    <tableColumn id="15" xr3:uid="{2B53B120-3F5D-4C1F-A1C1-A7A498B58469}" name="......" dataDxfId="607">
      <calculatedColumnFormula>Table14610121424223234363840444850524811131517192123252729[[#This Row],[300 VO2]]*2</calculatedColumnFormula>
    </tableColumn>
    <tableColumn id="16" xr3:uid="{D0CC824C-82E1-4BBE-8E28-F21A3D794252}" name="…...." dataDxfId="606">
      <calculatedColumnFormula>Table14610121424223234363840444850524811131517192123252729[[#This Row],[VO2]]</calculatedColumnFormula>
    </tableColumn>
    <tableColumn id="22" xr3:uid="{C0975207-73BC-4AE6-BEF9-7AE712218738}" name="........" dataDxfId="605"/>
    <tableColumn id="23" xr3:uid="{08AE05F8-568F-439A-B20F-CB4FAF4EDF6A}" name="…......" dataDxfId="604"/>
    <tableColumn id="24" xr3:uid="{E110514C-1B18-40E0-A71D-78E80D14EB2E}" name="G" dataDxfId="60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35F2F17-4DD9-48CF-9B54-554F9F433E64}" name="Table257111315252333353739414549515359121416182022242628303234364042444648" displayName="Table257111315252333353739414549515359121416182022242628303234364042444648" ref="A34:V99" totalsRowShown="0" headerRowDxfId="1016" tableBorderDxfId="101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08B57C1-7D73-427E-85B1-30868E0C4654}" name="WO 3/12/2024" dataDxfId="1014"/>
    <tableColumn id="2" xr3:uid="{81537339-4BC1-43C7-8380-F73E8223FEEC}" name="5k" dataDxfId="1013"/>
    <tableColumn id="3" xr3:uid="{E883D45F-AFA7-4E43-AD1C-DB3E370F6333}" name="Mile" dataDxfId="1012"/>
    <tableColumn id="4" xr3:uid="{52B733F9-EABC-4461-9C35-B2CE2047CF6E}" name="3k" dataDxfId="1011">
      <calculatedColumnFormula>B35*E35</calculatedColumnFormula>
    </tableColumn>
    <tableColumn id="5" xr3:uid="{5FBADD4F-C362-41DC-844F-650D03D63ED9}" name="Percent" dataDxfId="1010"/>
    <tableColumn id="6" xr3:uid="{A48C89BF-4BF4-4F89-85A1-6B781DC2C5A5}" name="R" dataDxfId="1009">
      <calculatedColumnFormula>C35/4</calculatedColumnFormula>
    </tableColumn>
    <tableColumn id="7" xr3:uid="{FD28F019-2C14-48AB-9377-F73C55B40414}" name="VO2" dataDxfId="1008">
      <calculatedColumnFormula>D35/7.5</calculatedColumnFormula>
    </tableColumn>
    <tableColumn id="8" xr3:uid="{3EECC6B9-ED70-4B3D-962B-64A4BDB39877}" name="I" dataDxfId="1007">
      <calculatedColumnFormula>B35/12.5</calculatedColumnFormula>
    </tableColumn>
    <tableColumn id="9" xr3:uid="{5BBD67E8-DEBA-40F0-9434-D79A57D2FF36}" name="10k" dataDxfId="1006">
      <calculatedColumnFormula>G35/0.93</calculatedColumnFormula>
    </tableColumn>
    <tableColumn id="10" xr3:uid="{44029F38-DA20-4222-B0F7-7BD905A98A90}" name="CV" dataDxfId="1005">
      <calculatedColumnFormula>G35/0.92</calculatedColumnFormula>
    </tableColumn>
    <tableColumn id="11" xr3:uid="{AD4AF892-031E-4335-9B32-F45CB7290AA3}" name="Thresh" dataDxfId="1004">
      <calculatedColumnFormula>G35/0.88</calculatedColumnFormula>
    </tableColumn>
    <tableColumn id="12" xr3:uid="{23FDBBE2-8A4F-426D-935D-0F16A42F23D8}" name="Thresh L" dataDxfId="1003">
      <calculatedColumnFormula>G35/0.84</calculatedColumnFormula>
    </tableColumn>
    <tableColumn id="13" xr3:uid="{903264FD-0FCB-49F1-A3AF-044AE0FBB3F8}" name="T (400)" dataDxfId="1002"/>
    <tableColumn id="14" xr3:uid="{7C2EBD2E-AACE-4C35-BDF3-14317A8EAF25}" name="1k T"/>
    <tableColumn id="15" xr3:uid="{988A4A62-3193-47D1-A49B-6A1A53C38BE0}" name="1st 200"/>
    <tableColumn id="16" xr3:uid="{B0F44DBA-C1CA-49F2-A131-B672C7030567}" name="2nd 200" dataDxfId="1001">
      <calculatedColumnFormula>Table257111315252333353739414549515359121416182022242628303234364042444648[[#This Row],[1st 200]]*1.5</calculatedColumnFormula>
    </tableColumn>
    <tableColumn id="18" xr3:uid="{4A11C2DB-8D75-4341-BC2C-48290F60751D}" name="3rd 200" dataDxfId="1000">
      <calculatedColumnFormula>Table257111315252333353739414549515359121416182022242628303234364042444648[[#This Row],[VO2]]/2</calculatedColumnFormula>
    </tableColumn>
    <tableColumn id="19" xr3:uid="{919C1B20-DCCE-43F0-B0E2-6D38BB3D290A}" name="4th 200" dataDxfId="999">
      <calculatedColumnFormula>Table257111315252333353739414549515359121416182022242628303234364042444648[[#This Row],[I]]</calculatedColumnFormula>
    </tableColumn>
    <tableColumn id="24" xr3:uid="{056C86C0-4334-4894-B1FC-38230FDD180D}" name="…....." dataDxfId="998">
      <calculatedColumnFormula>Table257111315252333353739414549515359121416182022242628303234364042444648[[#This Row],[4th 200]]*1.5</calculatedColumnFormula>
    </tableColumn>
    <tableColumn id="20" xr3:uid="{BEDF8DEF-716E-418B-8C4B-1789B0C2828B}" name="........"/>
    <tableColumn id="21" xr3:uid="{187FB55B-9438-4412-A363-67854D0A0EBC}" name="…......" dataDxfId="997"/>
    <tableColumn id="22" xr3:uid="{0D6A5AF9-BD7A-46CD-911B-353A04455873}" name="G" dataDxfId="996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97F608-D193-4F0E-A5FA-0F96E9E4BD23}" name="Table25711131525233335373941454951535912141618202224262830" displayName="Table25711131525233335373941454951535912141618202224262830" ref="A34:V99" totalsRowShown="0" headerRowDxfId="602" tableBorderDxfId="60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BAFFEAC-9D94-47F8-903B-A099075BA083}" name="WO 2/13/2024" dataDxfId="600"/>
    <tableColumn id="2" xr3:uid="{63E70718-EF8B-4B9E-A869-2C86183D4E9B}" name="5k" dataDxfId="599"/>
    <tableColumn id="3" xr3:uid="{E32C3C77-3939-4A57-8ED9-D82008B9819A}" name="Mile" dataDxfId="598"/>
    <tableColumn id="4" xr3:uid="{69675681-B17E-4A89-95C7-8548CE32403D}" name="3k" dataDxfId="597">
      <calculatedColumnFormula>B35*E35</calculatedColumnFormula>
    </tableColumn>
    <tableColumn id="5" xr3:uid="{AEDA2982-5F6F-4417-967C-E23DFA2A1382}" name="Percent" dataDxfId="596"/>
    <tableColumn id="6" xr3:uid="{73F78A31-A0B3-4ADC-8C80-238652F77AAB}" name="R" dataDxfId="595">
      <calculatedColumnFormula>C35/4</calculatedColumnFormula>
    </tableColumn>
    <tableColumn id="7" xr3:uid="{ABA61B1E-15D8-48B2-90E4-1A9FDB7357E1}" name="VO2" dataDxfId="594">
      <calculatedColumnFormula>D35/7.5</calculatedColumnFormula>
    </tableColumn>
    <tableColumn id="8" xr3:uid="{2E1BA277-2535-40EF-BF05-DD965D92732D}" name="I" dataDxfId="593">
      <calculatedColumnFormula>B35/12.5</calculatedColumnFormula>
    </tableColumn>
    <tableColumn id="9" xr3:uid="{F11AAF6C-9972-467A-A435-D6CE01F2A6BC}" name="10k" dataDxfId="592">
      <calculatedColumnFormula>G35/0.93</calculatedColumnFormula>
    </tableColumn>
    <tableColumn id="10" xr3:uid="{9E94130B-94D2-4E43-912A-AF8FAEE93EDB}" name="CV" dataDxfId="591">
      <calculatedColumnFormula>G35/0.92</calculatedColumnFormula>
    </tableColumn>
    <tableColumn id="11" xr3:uid="{7C385B55-6A47-472C-89A1-A3E28341BF7D}" name="Thresh" dataDxfId="590">
      <calculatedColumnFormula>G35/0.88</calculatedColumnFormula>
    </tableColumn>
    <tableColumn id="12" xr3:uid="{D02C8338-2535-47F4-A91B-3D5B5D3044C6}" name="Thresh L" dataDxfId="589">
      <calculatedColumnFormula>G35/0.84</calculatedColumnFormula>
    </tableColumn>
    <tableColumn id="13" xr3:uid="{F05A195A-3D62-479B-816E-EB65861FD81A}" name="T (400)" dataDxfId="588"/>
    <tableColumn id="14" xr3:uid="{DA87E509-B322-4333-AFFB-61C944AC9BFD}" name="800 T"/>
    <tableColumn id="15" xr3:uid="{0E20E1C3-C5F4-4F0F-9296-964D29C24CF0}" name="200 R"/>
    <tableColumn id="16" xr3:uid="{FCD4D434-00BC-423C-9541-EB8B0F428278}" name="VO2 (200)" dataDxfId="587">
      <calculatedColumnFormula>Table25711131525233335373941454951535912141618202224262830[[#This Row],[200 R]]*1.5</calculatedColumnFormula>
    </tableColumn>
    <tableColumn id="18" xr3:uid="{A7A662C7-73C1-4A1B-B052-89B8BF89676F}" name="300 VO2" dataDxfId="586">
      <calculatedColumnFormula>Table25711131525233335373941454951535912141618202224262830[[#This Row],[VO2]]/2</calculatedColumnFormula>
    </tableColumn>
    <tableColumn id="19" xr3:uid="{67BA0868-2538-4ADC-B9B9-B51155BC0760}" name="......" dataDxfId="585">
      <calculatedColumnFormula>Table25711131525233335373941454951535912141618202224262830[[#This Row],[I]]</calculatedColumnFormula>
    </tableColumn>
    <tableColumn id="24" xr3:uid="{A882D451-432D-49C2-87D2-51B89314B44B}" name="…....." dataDxfId="584">
      <calculatedColumnFormula>Table25711131525233335373941454951535912141618202224262830[[#This Row],[......]]*1.5</calculatedColumnFormula>
    </tableColumn>
    <tableColumn id="20" xr3:uid="{7A5063ED-C1E0-4925-B145-970B2C8F6666}" name="........"/>
    <tableColumn id="21" xr3:uid="{68C4975D-D3E1-4E67-BE4B-DDCDFFF1774D}" name="…......" dataDxfId="583"/>
    <tableColumn id="22" xr3:uid="{1EE323A9-EC4D-4F55-913C-3543F89172D6}" name="G" dataDxfId="582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E518FF7-EE73-44DB-A640-4FA123A0FBF9}" name="Table146101214242232343638404448505248111315171921232527" displayName="Table146101214242232343638404448505248111315171921232527" ref="A1:V33" totalsRowShown="0" headerRowDxfId="581" dataDxfId="580" tableBorderDxfId="57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DEFFC91-FABB-46F7-A94E-99C1DFE6BD14}" name="WO 2/9/2024" dataDxfId="578"/>
    <tableColumn id="4" xr3:uid="{D4ACFC45-A6FF-4B99-B314-02EEA14ED598}" name="5k" dataDxfId="577"/>
    <tableColumn id="5" xr3:uid="{49DE4CF0-3305-4E73-B700-6727A298ED09}" name="Mile" dataDxfId="576"/>
    <tableColumn id="6" xr3:uid="{F0EE7BAF-A160-45FC-AF73-5DE84D8E9FBF}" name="3k" dataDxfId="575">
      <calculatedColumnFormula>B2*E2</calculatedColumnFormula>
    </tableColumn>
    <tableColumn id="7" xr3:uid="{B3ED306B-9043-40C5-8D8D-517A691B9AE8}" name="Percent" dataDxfId="574"/>
    <tableColumn id="8" xr3:uid="{079C1992-F202-4173-94BE-78B888A90703}" name="R" dataDxfId="573">
      <calculatedColumnFormula>C2/4</calculatedColumnFormula>
    </tableColumn>
    <tableColumn id="10" xr3:uid="{7F087312-B4CB-415C-9C6B-49081634F8F9}" name="VO2" dataDxfId="572">
      <calculatedColumnFormula>D2/7.5</calculatedColumnFormula>
    </tableColumn>
    <tableColumn id="9" xr3:uid="{87C60DCA-3E1D-4374-8131-90743D1F668D}" name="I" dataDxfId="571">
      <calculatedColumnFormula>B2/12.5</calculatedColumnFormula>
    </tableColumn>
    <tableColumn id="11" xr3:uid="{28564C9A-0159-49CB-B682-055DA9C8E071}" name="10k" dataDxfId="570">
      <calculatedColumnFormula>G2/0.93</calculatedColumnFormula>
    </tableColumn>
    <tableColumn id="12" xr3:uid="{76FBAD3D-C158-4F13-A407-F0B2F7D2776E}" name="CV" dataDxfId="569">
      <calculatedColumnFormula>G2/0.92</calculatedColumnFormula>
    </tableColumn>
    <tableColumn id="13" xr3:uid="{97DFC6B1-9A94-451A-8DC4-E14727385EBE}" name="Thresh" dataDxfId="568">
      <calculatedColumnFormula>G2/0.88</calculatedColumnFormula>
    </tableColumn>
    <tableColumn id="14" xr3:uid="{F055E1DD-DACD-4599-8B03-EEC7DC2CE357}" name="Thresh L" dataDxfId="567">
      <calculatedColumnFormula>G2/0.84</calculatedColumnFormula>
    </tableColumn>
    <tableColumn id="21" xr3:uid="{E4460B5D-4B22-48A4-A612-BA62798276FB}" name="T (400)" dataDxfId="566">
      <calculatedColumnFormula>Table146101214242232343638404448505248111315171921232527[[#This Row],[Thresh]]</calculatedColumnFormula>
    </tableColumn>
    <tableColumn id="20" xr3:uid="{0A768F4B-AF54-4FE7-AA36-BCA0A4B272E4}" name="1k T" dataDxfId="565">
      <calculatedColumnFormula>Table146101214242232343638404448505248111315171921232527[[#This Row],[T (400)]]*2</calculatedColumnFormula>
    </tableColumn>
    <tableColumn id="19" xr3:uid="{BD8BC4E3-5901-4B73-8856-1A15EFA54E96}" name="400 R" dataDxfId="564">
      <calculatedColumnFormula>Table146101214242232343638404448505248111315171921232527[[#This Row],[CV]]</calculatedColumnFormula>
    </tableColumn>
    <tableColumn id="18" xr3:uid="{E8719387-B6E5-4ADD-8083-340E7EF394F3}" name="200 R" dataDxfId="563">
      <calculatedColumnFormula>Table146101214242232343638404448505248111315171921232527[[#This Row],[400 R]]*2</calculatedColumnFormula>
    </tableColumn>
    <tableColumn id="17" xr3:uid="{40AC0104-59E5-4A21-A1AF-CC8FC9EDB297}" name="VO2 (400)" dataDxfId="562">
      <calculatedColumnFormula>Table146101214242232343638404448505248111315171921232527[[#This Row],[I]]</calculatedColumnFormula>
    </tableColumn>
    <tableColumn id="15" xr3:uid="{5A414676-7105-4EA5-A113-D5459A03BBCB}" name="600 VO2" dataDxfId="561">
      <calculatedColumnFormula>Table146101214242232343638404448505248111315171921232527[[#This Row],[VO2 (400)]]*2</calculatedColumnFormula>
    </tableColumn>
    <tableColumn id="16" xr3:uid="{B279F607-76C4-4F4F-8FAA-241FA09E4EDC}" name="…...." dataDxfId="560">
      <calculatedColumnFormula>Table146101214242232343638404448505248111315171921232527[[#This Row],[VO2]]</calculatedColumnFormula>
    </tableColumn>
    <tableColumn id="22" xr3:uid="{F5AB2274-A0F6-4D0C-B217-FCB6E6301935}" name="........" dataDxfId="559"/>
    <tableColumn id="23" xr3:uid="{49B93BD6-0017-48B9-A92A-29D10FDA231E}" name="…......" dataDxfId="558"/>
    <tableColumn id="24" xr3:uid="{CA79A485-E439-418A-9542-8DFE73495749}" name="G" dataDxfId="557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52BBB18-947C-4683-AD28-F59D4C1BD3EA}" name="Table257111315252333353739414549515359121416182022242628" displayName="Table257111315252333353739414549515359121416182022242628" ref="A34:V99" totalsRowShown="0" headerRowDxfId="556" tableBorderDxfId="55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23EB879-A616-4B38-BE09-0DF5E987D7B8}" name="WO 2/9/2024" dataDxfId="554"/>
    <tableColumn id="2" xr3:uid="{51864AD1-CFE2-4EC9-A2B4-42F6FCCC041E}" name="5k" dataDxfId="553"/>
    <tableColumn id="3" xr3:uid="{94F67B62-5A28-4C2B-8D30-5125E29DFDD5}" name="Mile" dataDxfId="552"/>
    <tableColumn id="4" xr3:uid="{6B19A796-A82F-474A-82F2-92F0F658BC03}" name="3k" dataDxfId="551">
      <calculatedColumnFormula>B35*E35</calculatedColumnFormula>
    </tableColumn>
    <tableColumn id="5" xr3:uid="{5D4C5A0D-3AD3-4E46-B4BC-D8F53446FD5E}" name="Percent" dataDxfId="550"/>
    <tableColumn id="6" xr3:uid="{807474FD-C71C-4DD6-8E4B-F219E28FD3B2}" name="R" dataDxfId="549">
      <calculatedColumnFormula>C35/4</calculatedColumnFormula>
    </tableColumn>
    <tableColumn id="7" xr3:uid="{495D72F6-4DD6-4546-8665-7DDBCFF96A7F}" name="VO2" dataDxfId="548">
      <calculatedColumnFormula>D35/7.5</calculatedColumnFormula>
    </tableColumn>
    <tableColumn id="8" xr3:uid="{FE67CD99-97FA-402D-AF92-C79CAAF678D6}" name="I" dataDxfId="547">
      <calculatedColumnFormula>B35/12.5</calculatedColumnFormula>
    </tableColumn>
    <tableColumn id="9" xr3:uid="{C44238E6-18F7-48F3-ACC9-56BACE2FED9E}" name="10k" dataDxfId="546">
      <calculatedColumnFormula>G35/0.93</calculatedColumnFormula>
    </tableColumn>
    <tableColumn id="10" xr3:uid="{2FE1C67E-525E-4B1F-AAF6-C6D22E79941A}" name="CV" dataDxfId="545">
      <calculatedColumnFormula>G35/0.92</calculatedColumnFormula>
    </tableColumn>
    <tableColumn id="11" xr3:uid="{60FE69ED-F1D7-4EFB-9993-6FD16FF54E31}" name="Thresh" dataDxfId="544">
      <calculatedColumnFormula>G35/0.88</calculatedColumnFormula>
    </tableColumn>
    <tableColumn id="12" xr3:uid="{12569CC4-49C4-4B44-A5AA-D2C2B4144519}" name="Thresh L" dataDxfId="543">
      <calculatedColumnFormula>G35/0.84</calculatedColumnFormula>
    </tableColumn>
    <tableColumn id="13" xr3:uid="{E056D652-F800-432D-B1D6-220A49244572}" name="T (400)" dataDxfId="542"/>
    <tableColumn id="14" xr3:uid="{48185197-C490-4167-BD6B-5036972A41C9}" name="1k T"/>
    <tableColumn id="15" xr3:uid="{E36D2B7D-C4C3-4079-AE69-D952B6E73C94}" name="400 R"/>
    <tableColumn id="16" xr3:uid="{2D4A86F4-02B1-4988-BE78-66153612A8BE}" name="200 R" dataDxfId="541">
      <calculatedColumnFormula>Table257111315252333353739414549515359121416182022242628[[#This Row],[400 R]]*1.5</calculatedColumnFormula>
    </tableColumn>
    <tableColumn id="18" xr3:uid="{9492D93F-7FAF-4A75-A617-02914B0E953A}" name="VO2 (400)" dataDxfId="540">
      <calculatedColumnFormula>Table257111315252333353739414549515359121416182022242628[[#This Row],[VO2]]/2</calculatedColumnFormula>
    </tableColumn>
    <tableColumn id="19" xr3:uid="{0D320080-929A-4D72-B3E2-EB91906174AB}" name="600 VO2" dataDxfId="539">
      <calculatedColumnFormula>Table257111315252333353739414549515359121416182022242628[[#This Row],[I]]</calculatedColumnFormula>
    </tableColumn>
    <tableColumn id="24" xr3:uid="{085215A9-7FDD-4D86-B461-4E07D925B572}" name="…....." dataDxfId="538">
      <calculatedColumnFormula>Table257111315252333353739414549515359121416182022242628[[#This Row],[600 VO2]]*1.5</calculatedColumnFormula>
    </tableColumn>
    <tableColumn id="20" xr3:uid="{632C53E8-213B-4597-9524-CCB588FDC582}" name="........"/>
    <tableColumn id="21" xr3:uid="{77BC87F8-396F-4B52-9C5B-824940C27D39}" name="…......" dataDxfId="537"/>
    <tableColumn id="22" xr3:uid="{77DA2392-8A92-4419-80BA-2E3599F2F4F4}" name="G" dataDxfId="536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7607789-5A5B-4CE1-835F-7CC0928ECFFA}" name="Table1461012142422323436384044485052481113151719212325" displayName="Table1461012142422323436384044485052481113151719212325" ref="A1:V33" totalsRowShown="0" headerRowDxfId="535" dataDxfId="534" tableBorderDxfId="53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CCEB999-8960-4983-AF02-8C501AADDAF8}" name="WO 2/6/2024" dataDxfId="532"/>
    <tableColumn id="4" xr3:uid="{6C8CCB9A-AE22-440A-9409-3DC6C56F40C1}" name="5k" dataDxfId="531"/>
    <tableColumn id="5" xr3:uid="{EAA8AC7B-7D59-4A83-95DA-14269204ADD2}" name="Mile" dataDxfId="530"/>
    <tableColumn id="6" xr3:uid="{30F85E90-1F4E-45F6-8F05-AD350A284CCC}" name="3k" dataDxfId="529">
      <calculatedColumnFormula>B2*E2</calculatedColumnFormula>
    </tableColumn>
    <tableColumn id="7" xr3:uid="{B38C196C-84EA-49D7-BAE8-73974D6E30F2}" name="Percent" dataDxfId="528"/>
    <tableColumn id="8" xr3:uid="{83D23BD2-40D4-4900-AF83-2D8F774F7381}" name="R" dataDxfId="527">
      <calculatedColumnFormula>C2/4</calculatedColumnFormula>
    </tableColumn>
    <tableColumn id="10" xr3:uid="{EAF700E2-8160-4909-A8E2-222D1EAFB187}" name="VO2" dataDxfId="526">
      <calculatedColumnFormula>D2/7.5</calculatedColumnFormula>
    </tableColumn>
    <tableColumn id="9" xr3:uid="{6B170347-DBE0-4317-A352-78B4FDDA0F89}" name="I" dataDxfId="525">
      <calculatedColumnFormula>B2/12.5</calculatedColumnFormula>
    </tableColumn>
    <tableColumn id="11" xr3:uid="{2F7EE27A-72B3-4954-96DA-8A53BE4EDBE6}" name="10k" dataDxfId="524">
      <calculatedColumnFormula>G2/0.93</calculatedColumnFormula>
    </tableColumn>
    <tableColumn id="12" xr3:uid="{CD856035-36A1-4E78-94D3-FED6D7992A15}" name="CV" dataDxfId="523">
      <calculatedColumnFormula>G2/0.92</calculatedColumnFormula>
    </tableColumn>
    <tableColumn id="13" xr3:uid="{216A476E-0B9B-4531-8BD1-65DEB914B79E}" name="Thresh" dataDxfId="522">
      <calculatedColumnFormula>G2/0.88</calculatedColumnFormula>
    </tableColumn>
    <tableColumn id="14" xr3:uid="{F5F0F384-EA94-42E1-9955-19F45023CB8F}" name="Thresh L" dataDxfId="521">
      <calculatedColumnFormula>G2/0.84</calculatedColumnFormula>
    </tableColumn>
    <tableColumn id="21" xr3:uid="{211A29D0-6495-4563-AAD0-59349A4E1E08}" name="T (400)" dataDxfId="520">
      <calculatedColumnFormula>Table1461012142422323436384044485052481113151719212325[[#This Row],[Thresh]]</calculatedColumnFormula>
    </tableColumn>
    <tableColumn id="20" xr3:uid="{4ABF91AD-1A26-43FF-B361-C4217EB60F42}" name="1k T" dataDxfId="519">
      <calculatedColumnFormula>Table1461012142422323436384044485052481113151719212325[[#This Row],[T (400)]]*2</calculatedColumnFormula>
    </tableColumn>
    <tableColumn id="19" xr3:uid="{C1D9E071-0072-4F43-8A59-FA3A03720227}" name="..." dataDxfId="518">
      <calculatedColumnFormula>Table1461012142422323436384044485052481113151719212325[[#This Row],[CV]]</calculatedColumnFormula>
    </tableColumn>
    <tableColumn id="18" xr3:uid="{763A71A0-3C8E-432F-83BC-5D885B100D77}" name="...." dataDxfId="517">
      <calculatedColumnFormula>Table1461012142422323436384044485052481113151719212325[[#This Row],[...]]*2</calculatedColumnFormula>
    </tableColumn>
    <tableColumn id="17" xr3:uid="{DF263C21-F380-4905-ADD7-EFC83A63FE0A}" name="....." dataDxfId="516">
      <calculatedColumnFormula>Table1461012142422323436384044485052481113151719212325[[#This Row],[I]]</calculatedColumnFormula>
    </tableColumn>
    <tableColumn id="15" xr3:uid="{C3E0E668-F98A-4651-914E-DBA08FC51D8F}" name="......" dataDxfId="515">
      <calculatedColumnFormula>Table1461012142422323436384044485052481113151719212325[[#This Row],[.....]]*2</calculatedColumnFormula>
    </tableColumn>
    <tableColumn id="16" xr3:uid="{743AB67A-AC28-4B6A-9FBF-79B1374D0906}" name="…...." dataDxfId="514">
      <calculatedColumnFormula>Table1461012142422323436384044485052481113151719212325[[#This Row],[VO2]]</calculatedColumnFormula>
    </tableColumn>
    <tableColumn id="22" xr3:uid="{21F5B784-85CB-4056-8DF8-D172681F2A04}" name="........" dataDxfId="513"/>
    <tableColumn id="23" xr3:uid="{886AAC3E-06C4-4553-9DCF-65D08C69D734}" name="…......" dataDxfId="512"/>
    <tableColumn id="24" xr3:uid="{09518FB6-82FA-4CA6-A91E-3A07F08A8685}" name="G" dataDxfId="511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A65DE7-716C-49A2-8849-9BA9E104502A}" name="Table2571113152523333537394145495153591214161820222426" displayName="Table2571113152523333537394145495153591214161820222426" ref="A34:V99" totalsRowShown="0" headerRowDxfId="510" tableBorderDxfId="50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3645603-1932-49D3-9D9F-588827FADA31}" name="WO 2/6/2024" dataDxfId="508"/>
    <tableColumn id="2" xr3:uid="{6DA08EC6-4EB0-417C-8D18-F0033A51527C}" name="5k" dataDxfId="507"/>
    <tableColumn id="3" xr3:uid="{F6F9F3CC-A004-42EF-BAB1-88F84ADE5A24}" name="Mile" dataDxfId="506"/>
    <tableColumn id="4" xr3:uid="{5247FE8E-FF98-4AAD-9937-5D0CF8C99D19}" name="3k" dataDxfId="505">
      <calculatedColumnFormula>B35*E35</calculatedColumnFormula>
    </tableColumn>
    <tableColumn id="5" xr3:uid="{4FE1611F-7501-44C8-BEDF-38B184C21417}" name="Percent" dataDxfId="504"/>
    <tableColumn id="6" xr3:uid="{613C48FE-0DBB-4EC6-B697-021CED830578}" name="R" dataDxfId="503">
      <calculatedColumnFormula>C35/4</calculatedColumnFormula>
    </tableColumn>
    <tableColumn id="7" xr3:uid="{710B1FCB-56F2-4488-A9B7-E4F3D8CA75F3}" name="VO2" dataDxfId="502">
      <calculatedColumnFormula>D35/7.5</calculatedColumnFormula>
    </tableColumn>
    <tableColumn id="8" xr3:uid="{D44AFCCD-AD4A-4CB3-A9C0-8083EE9B9633}" name="I" dataDxfId="501">
      <calculatedColumnFormula>B35/12.5</calculatedColumnFormula>
    </tableColumn>
    <tableColumn id="9" xr3:uid="{DF3C485E-74A2-46D9-AAE7-E3F0AA7E0C69}" name="10k" dataDxfId="500">
      <calculatedColumnFormula>G35/0.93</calculatedColumnFormula>
    </tableColumn>
    <tableColumn id="10" xr3:uid="{E98FC047-C487-4A67-8246-5F600DFA35E6}" name="CV" dataDxfId="499">
      <calculatedColumnFormula>G35/0.92</calculatedColumnFormula>
    </tableColumn>
    <tableColumn id="11" xr3:uid="{FE42A400-24DD-491E-886B-EC5ABD2419EA}" name="Thresh" dataDxfId="498">
      <calculatedColumnFormula>G35/0.88</calculatedColumnFormula>
    </tableColumn>
    <tableColumn id="12" xr3:uid="{2C910FD2-61A9-4AB2-A1A0-606098DD5792}" name="Thresh L" dataDxfId="497">
      <calculatedColumnFormula>G35/0.84</calculatedColumnFormula>
    </tableColumn>
    <tableColumn id="13" xr3:uid="{E361073B-AD91-4CCF-95BC-642F31CF04ED}" name="T (400)" dataDxfId="496"/>
    <tableColumn id="14" xr3:uid="{38E2FE72-9109-45C6-B757-2FE143F1EDD8}" name="1k T"/>
    <tableColumn id="15" xr3:uid="{9D53DE64-D169-4722-9CEC-7850F8FACA43}" name="..."/>
    <tableColumn id="16" xr3:uid="{DDFF53AE-927D-43FF-B047-BE5BE4178D3F}" name="...." dataDxfId="495">
      <calculatedColumnFormula>Table2571113152523333537394145495153591214161820222426[[#This Row],[...]]*1.5</calculatedColumnFormula>
    </tableColumn>
    <tableColumn id="18" xr3:uid="{27CD7B67-292F-45BD-9860-61BBA7FC399A}" name="....." dataDxfId="494">
      <calculatedColumnFormula>Table2571113152523333537394145495153591214161820222426[[#This Row],[VO2]]/2</calculatedColumnFormula>
    </tableColumn>
    <tableColumn id="19" xr3:uid="{938FA6F9-20EE-4643-9269-01C8FD30988A}" name="......" dataDxfId="493">
      <calculatedColumnFormula>Table2571113152523333537394145495153591214161820222426[[#This Row],[I]]</calculatedColumnFormula>
    </tableColumn>
    <tableColumn id="24" xr3:uid="{2F85DAD6-9C2A-412A-89CC-F25FB075A035}" name="…....." dataDxfId="492">
      <calculatedColumnFormula>Table2571113152523333537394145495153591214161820222426[[#This Row],[......]]*1.5</calculatedColumnFormula>
    </tableColumn>
    <tableColumn id="20" xr3:uid="{153CD277-412E-4847-A4EE-684CC391EE50}" name="........"/>
    <tableColumn id="21" xr3:uid="{1D1BD256-8684-4DCA-9A4E-A831B19D044F}" name="…......" dataDxfId="491"/>
    <tableColumn id="22" xr3:uid="{EF5C6AEF-CEDB-46F8-A6D6-51FD42D72052}" name="G" dataDxfId="490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C98267-7BCA-4D96-996B-D6F293A689F9}" name="Table14610121424223234363840444850524811131517192123" displayName="Table14610121424223234363840444850524811131517192123" ref="A1:V33" totalsRowShown="0" headerRowDxfId="489" dataDxfId="488" tableBorderDxfId="48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869CEDE7-A5C5-4B56-B532-8D0CCC418DFE}" name="WO 1/30/2024" dataDxfId="486"/>
    <tableColumn id="4" xr3:uid="{076C1197-73B0-4B6F-BE69-F7057ADE2159}" name="5k" dataDxfId="485"/>
    <tableColumn id="5" xr3:uid="{1E15DCDE-1F3D-4113-AF0F-0F79220AEA11}" name="Mile" dataDxfId="484"/>
    <tableColumn id="6" xr3:uid="{30E063CE-3E2A-491E-8AF6-9682CC506A89}" name="3k" dataDxfId="483">
      <calculatedColumnFormula>B2*E2</calculatedColumnFormula>
    </tableColumn>
    <tableColumn id="7" xr3:uid="{9DA6C059-504C-46C8-9F2F-AC9E13D60F23}" name="Percent" dataDxfId="482"/>
    <tableColumn id="8" xr3:uid="{A3BEC766-C315-4212-99EE-06BBDE0A5A24}" name="R" dataDxfId="481">
      <calculatedColumnFormula>C2/4</calculatedColumnFormula>
    </tableColumn>
    <tableColumn id="10" xr3:uid="{BEAFD304-0FDE-4F20-90A7-08149DCA3CCC}" name="VO2" dataDxfId="480">
      <calculatedColumnFormula>D2/7.5</calculatedColumnFormula>
    </tableColumn>
    <tableColumn id="9" xr3:uid="{0F4315D8-3786-4020-9344-9228CF7981D4}" name="I" dataDxfId="479">
      <calculatedColumnFormula>B2/12.5</calculatedColumnFormula>
    </tableColumn>
    <tableColumn id="11" xr3:uid="{D8827BA6-2F36-49CF-B526-4695C3593CBB}" name="10k" dataDxfId="478">
      <calculatedColumnFormula>G2/0.93</calculatedColumnFormula>
    </tableColumn>
    <tableColumn id="12" xr3:uid="{F645B686-35CB-4558-A56C-5D9773A1B7EB}" name="CV" dataDxfId="477">
      <calculatedColumnFormula>G2/0.92</calculatedColumnFormula>
    </tableColumn>
    <tableColumn id="13" xr3:uid="{FAB1D2EC-029D-4FF8-A009-990C6D4DF854}" name="Thresh" dataDxfId="476">
      <calculatedColumnFormula>G2/0.88</calculatedColumnFormula>
    </tableColumn>
    <tableColumn id="14" xr3:uid="{D5DB67DD-A086-4AAC-B0DB-B197271FABC0}" name="Thresh L" dataDxfId="475">
      <calculatedColumnFormula>G2/0.84</calculatedColumnFormula>
    </tableColumn>
    <tableColumn id="21" xr3:uid="{9A80D15F-0AB5-4855-82B9-A3315A323877}" name="T (400)" dataDxfId="474">
      <calculatedColumnFormula>Table14610121424223234363840444850524811131517192123[[#This Row],[Thresh]]</calculatedColumnFormula>
    </tableColumn>
    <tableColumn id="20" xr3:uid="{24232DEB-3C68-452D-B587-3640F5A5DE27}" name="1k T" dataDxfId="473">
      <calculatedColumnFormula>Table14610121424223234363840444850524811131517192123[[#This Row],[T (400)]]*2</calculatedColumnFormula>
    </tableColumn>
    <tableColumn id="19" xr3:uid="{B71937C9-1C1D-4FD1-A519-399E69733B2F}" name="200 R" dataDxfId="472">
      <calculatedColumnFormula>Table14610121424223234363840444850524811131517192123[[#This Row],[CV]]</calculatedColumnFormula>
    </tableColumn>
    <tableColumn id="18" xr3:uid="{012971A0-4F9C-47EE-8B75-6465A6EC44B1}" name="...." dataDxfId="471">
      <calculatedColumnFormula>Table14610121424223234363840444850524811131517192123[[#This Row],[200 R]]*2</calculatedColumnFormula>
    </tableColumn>
    <tableColumn id="17" xr3:uid="{2C0A8C7C-2FF3-4DA1-A9A0-D2D06BE4575D}" name="....." dataDxfId="470">
      <calculatedColumnFormula>Table14610121424223234363840444850524811131517192123[[#This Row],[I]]</calculatedColumnFormula>
    </tableColumn>
    <tableColumn id="15" xr3:uid="{041079D0-C0D9-47D4-9C5D-D94E107B1FC8}" name="......" dataDxfId="469">
      <calculatedColumnFormula>Table14610121424223234363840444850524811131517192123[[#This Row],[.....]]*2</calculatedColumnFormula>
    </tableColumn>
    <tableColumn id="16" xr3:uid="{41B81AC9-0B59-4C8A-BA58-88A3F35898FD}" name="…...." dataDxfId="468">
      <calculatedColumnFormula>Table14610121424223234363840444850524811131517192123[[#This Row],[VO2]]</calculatedColumnFormula>
    </tableColumn>
    <tableColumn id="22" xr3:uid="{33144017-9A11-4DA5-804F-55587BB7D809}" name="........" dataDxfId="467"/>
    <tableColumn id="23" xr3:uid="{1F164F4E-4FDC-4334-9C26-283710076A59}" name="…......" dataDxfId="466"/>
    <tableColumn id="24" xr3:uid="{64BBEBE9-61DD-46AE-8124-F2F7D9DCAC45}" name="G" dataDxfId="465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C09F7-5278-4E64-8D56-A3B3DA9E175D}" name="Table25711131525233335373941454951535912141618202224" displayName="Table25711131525233335373941454951535912141618202224" ref="A34:V99" totalsRowShown="0" headerRowDxfId="464" tableBorderDxfId="46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7A67B3F5-3AB3-43EF-8F3F-1C930B1EAEA7}" name="WO 1/30/2024" dataDxfId="462"/>
    <tableColumn id="2" xr3:uid="{0144D7C6-F844-4B4E-91C3-38CCDD12D3DA}" name="5k" dataDxfId="461"/>
    <tableColumn id="3" xr3:uid="{5E4E4DAA-4040-45FC-AA34-8DB777B631A2}" name="Mile" dataDxfId="460"/>
    <tableColumn id="4" xr3:uid="{B39CFB2F-45D9-447A-B6F6-EA59D90E2D66}" name="3k" dataDxfId="459">
      <calculatedColumnFormula>B35*E35</calculatedColumnFormula>
    </tableColumn>
    <tableColumn id="5" xr3:uid="{2D15B02D-9473-4C9B-8162-D24C185DBE76}" name="Percent" dataDxfId="458"/>
    <tableColumn id="6" xr3:uid="{7B616761-B00D-4257-BE3B-5C255D29D7B7}" name="R" dataDxfId="457">
      <calculatedColumnFormula>C35/4</calculatedColumnFormula>
    </tableColumn>
    <tableColumn id="7" xr3:uid="{D6B9A3E6-E442-4BFE-A8E1-96D2DF8E32BB}" name="VO2" dataDxfId="456">
      <calculatedColumnFormula>D35/7.5</calculatedColumnFormula>
    </tableColumn>
    <tableColumn id="8" xr3:uid="{AFA1DA8F-4A9A-43B4-B496-E26394EFD213}" name="I" dataDxfId="455">
      <calculatedColumnFormula>B35/12.5</calculatedColumnFormula>
    </tableColumn>
    <tableColumn id="9" xr3:uid="{EDA69B0F-F147-4815-9E6A-1BE0F2529610}" name="10k" dataDxfId="454">
      <calculatedColumnFormula>G35/0.93</calculatedColumnFormula>
    </tableColumn>
    <tableColumn id="10" xr3:uid="{5C37B732-71CF-4E66-88A1-EF81B61EDC1A}" name="CV" dataDxfId="453">
      <calculatedColumnFormula>G35/0.92</calculatedColumnFormula>
    </tableColumn>
    <tableColumn id="11" xr3:uid="{AB9662B3-CB8A-4ED8-B88F-A3B55217B37A}" name="Thresh" dataDxfId="452">
      <calculatedColumnFormula>G35/0.88</calculatedColumnFormula>
    </tableColumn>
    <tableColumn id="12" xr3:uid="{273892B7-301C-4EF9-99E2-57A1CDE60552}" name="Thresh L" dataDxfId="451">
      <calculatedColumnFormula>G35/0.84</calculatedColumnFormula>
    </tableColumn>
    <tableColumn id="13" xr3:uid="{012AE0FD-9B69-444A-A76B-22D012DAB7C9}" name="T (400)" dataDxfId="450"/>
    <tableColumn id="14" xr3:uid="{E415F85C-2EE4-4A00-AA2E-436058B8C7EB}" name="1k T"/>
    <tableColumn id="15" xr3:uid="{07CBEF62-0D99-4C7D-9619-96985A5A7025}" name="200 R"/>
    <tableColumn id="16" xr3:uid="{2FCB930D-43E2-4923-B4BB-EB0177DB3032}" name="...." dataDxfId="449">
      <calculatedColumnFormula>Table25711131525233335373941454951535912141618202224[[#This Row],[200 R]]*1.5</calculatedColumnFormula>
    </tableColumn>
    <tableColumn id="18" xr3:uid="{F7D9C67C-E6D7-477B-A78A-6A05BC8CE1CB}" name="....." dataDxfId="448">
      <calculatedColumnFormula>Table25711131525233335373941454951535912141618202224[[#This Row],[VO2]]/2</calculatedColumnFormula>
    </tableColumn>
    <tableColumn id="19" xr3:uid="{FEAD7F51-E85C-4764-9C19-7F4A3DF381E6}" name="......" dataDxfId="447">
      <calculatedColumnFormula>Table25711131525233335373941454951535912141618202224[[#This Row],[I]]</calculatedColumnFormula>
    </tableColumn>
    <tableColumn id="24" xr3:uid="{2EB3A34B-EABF-410C-8B2C-B6BA6D554393}" name="…....." dataDxfId="446">
      <calculatedColumnFormula>Table25711131525233335373941454951535912141618202224[[#This Row],[......]]*1.5</calculatedColumnFormula>
    </tableColumn>
    <tableColumn id="20" xr3:uid="{A4F47E21-89B3-41D8-9B37-A582508A2EC5}" name="........"/>
    <tableColumn id="21" xr3:uid="{5F773CC1-A46E-4F84-8DFB-71C1E54A697F}" name="…......" dataDxfId="445"/>
    <tableColumn id="22" xr3:uid="{82C6F7B1-EE8B-4D95-B81D-3224F20CD2C6}" name="G" dataDxfId="444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77791-00E2-4B56-B667-5914A189CC69}" name="Table146101214242232343638404448505248111315171921" displayName="Table146101214242232343638404448505248111315171921" ref="A1:V33" totalsRowShown="0" headerRowDxfId="443" dataDxfId="442" tableBorderDxfId="44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1AECF2E1-634F-49C6-95C4-7679F8AD49C0}" name="WO 1/23/2024" dataDxfId="440"/>
    <tableColumn id="4" xr3:uid="{E3BD1087-883B-4901-B661-888F42C6BB8F}" name="5k" dataDxfId="439"/>
    <tableColumn id="5" xr3:uid="{116E57DB-AFFF-47D0-B7CF-8F373CE17F8B}" name="Mile" dataDxfId="438"/>
    <tableColumn id="6" xr3:uid="{11E0B5D5-3298-4FDE-9849-6F36E1E6129E}" name="3k" dataDxfId="437">
      <calculatedColumnFormula>B2*E2</calculatedColumnFormula>
    </tableColumn>
    <tableColumn id="7" xr3:uid="{0848A7F3-66AA-4D84-ACFC-8831DC79881A}" name="Percent" dataDxfId="436"/>
    <tableColumn id="8" xr3:uid="{F8172676-4458-4031-96F6-A6DFFCC3A123}" name="R" dataDxfId="435">
      <calculatedColumnFormula>C2/4</calculatedColumnFormula>
    </tableColumn>
    <tableColumn id="10" xr3:uid="{9E32A71A-E476-4273-92EB-A6B348F12A33}" name="VO2" dataDxfId="434">
      <calculatedColumnFormula>D2/7.5</calculatedColumnFormula>
    </tableColumn>
    <tableColumn id="9" xr3:uid="{7A0065EC-B357-4A3D-A960-E964C40FA55C}" name="I" dataDxfId="433">
      <calculatedColumnFormula>B2/12.5</calculatedColumnFormula>
    </tableColumn>
    <tableColumn id="11" xr3:uid="{2561141E-001B-495F-AC2A-2CF7A6CA08F7}" name="10k" dataDxfId="432">
      <calculatedColumnFormula>G2/0.93</calculatedColumnFormula>
    </tableColumn>
    <tableColumn id="12" xr3:uid="{FC024BE7-E4C6-4E85-98E2-FC6327867CB3}" name="CV" dataDxfId="431">
      <calculatedColumnFormula>G2/0.92</calculatedColumnFormula>
    </tableColumn>
    <tableColumn id="13" xr3:uid="{48157B4C-1B41-4BCD-AECB-9D4687221E10}" name="Thresh" dataDxfId="430">
      <calculatedColumnFormula>G2/0.88</calculatedColumnFormula>
    </tableColumn>
    <tableColumn id="14" xr3:uid="{8D0AC115-3E88-4BB9-BF29-72B5BAD19E9F}" name="Thresh L" dataDxfId="429">
      <calculatedColumnFormula>G2/0.84</calculatedColumnFormula>
    </tableColumn>
    <tableColumn id="21" xr3:uid="{7C7D058C-A6D7-44C2-946E-D60CC4D087D3}" name="T (400)" dataDxfId="428">
      <calculatedColumnFormula>Table146101214242232343638404448505248111315171921[[#This Row],[Thresh]]</calculatedColumnFormula>
    </tableColumn>
    <tableColumn id="20" xr3:uid="{50346EE4-2BD0-4B88-8D34-148F02E4281D}" name="1k T" dataDxfId="427">
      <calculatedColumnFormula>Table146101214242232343638404448505248111315171921[[#This Row],[T (400)]]*2</calculatedColumnFormula>
    </tableColumn>
    <tableColumn id="19" xr3:uid="{2EB1676B-1389-4ABB-B53B-0C8DB4FE9A52}" name="R (200)" dataDxfId="426">
      <calculatedColumnFormula>Table146101214242232343638404448505248111315171921[[#This Row],[CV]]</calculatedColumnFormula>
    </tableColumn>
    <tableColumn id="18" xr3:uid="{7CEDA3E6-F934-4FF6-9985-9D1601349144}" name="300 R" dataDxfId="425">
      <calculatedColumnFormula>Table146101214242232343638404448505248111315171921[[#This Row],[R (200)]]*2</calculatedColumnFormula>
    </tableColumn>
    <tableColumn id="17" xr3:uid="{AD1BA81E-07A8-4944-8103-F639490A9443}" name="....." dataDxfId="424">
      <calculatedColumnFormula>Table146101214242232343638404448505248111315171921[[#This Row],[I]]</calculatedColumnFormula>
    </tableColumn>
    <tableColumn id="15" xr3:uid="{B2954627-A726-4985-ADFC-5DCCBC80BB52}" name="......" dataDxfId="423">
      <calculatedColumnFormula>Table146101214242232343638404448505248111315171921[[#This Row],[.....]]*2</calculatedColumnFormula>
    </tableColumn>
    <tableColumn id="16" xr3:uid="{06458799-D0E9-4BE6-810B-60820E9E245C}" name="…...." dataDxfId="422">
      <calculatedColumnFormula>Table146101214242232343638404448505248111315171921[[#This Row],[VO2]]</calculatedColumnFormula>
    </tableColumn>
    <tableColumn id="22" xr3:uid="{221FEAB4-BFAC-4E41-A4D0-04CA4615FCF9}" name="........" dataDxfId="421"/>
    <tableColumn id="23" xr3:uid="{651CAA0B-B24A-4D43-AF02-52BFB6D0C831}" name="…......" dataDxfId="420"/>
    <tableColumn id="24" xr3:uid="{43D7CB91-F664-4394-824D-F5AE8D8E41B2}" name="G" dataDxfId="419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D289EC-C6B5-4558-9729-BFFDACBBF73F}" name="Table257111315252333353739414549515359121416182022" displayName="Table257111315252333353739414549515359121416182022" ref="A34:V99" totalsRowShown="0" headerRowDxfId="418" tableBorderDxfId="41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1B223688-C478-4A54-8438-DE061361B8CE}" name="WO 1/23/2024" dataDxfId="416"/>
    <tableColumn id="2" xr3:uid="{95E82CF5-8F7A-4FE3-89C0-49E8AE4ACDE1}" name="5k" dataDxfId="415"/>
    <tableColumn id="3" xr3:uid="{A85C69EB-33FE-47B1-A712-CA7B5DFCD504}" name="Mile" dataDxfId="414"/>
    <tableColumn id="4" xr3:uid="{E8CBAC90-7377-48F1-B6A2-B004DA9078E8}" name="3k" dataDxfId="413">
      <calculatedColumnFormula>B35*E35</calculatedColumnFormula>
    </tableColumn>
    <tableColumn id="5" xr3:uid="{97862C55-06A5-49A4-997F-CB325C265275}" name="Percent" dataDxfId="412"/>
    <tableColumn id="6" xr3:uid="{BE5588F8-2DE3-42CF-A90E-F78D9FAE8C9E}" name="R" dataDxfId="411">
      <calculatedColumnFormula>C35/4</calculatedColumnFormula>
    </tableColumn>
    <tableColumn id="7" xr3:uid="{B9769339-549B-4FB7-AA46-8242E55AC660}" name="VO2" dataDxfId="410">
      <calculatedColumnFormula>D35/7.5</calculatedColumnFormula>
    </tableColumn>
    <tableColumn id="8" xr3:uid="{B63254DB-891D-4E15-9A56-1AF31D061524}" name="I" dataDxfId="409">
      <calculatedColumnFormula>B35/12.5</calculatedColumnFormula>
    </tableColumn>
    <tableColumn id="9" xr3:uid="{A552387E-4C03-4765-9815-8B3DDAB7B4B7}" name="10k" dataDxfId="408">
      <calculatedColumnFormula>G35/0.93</calculatedColumnFormula>
    </tableColumn>
    <tableColumn id="10" xr3:uid="{1708D583-2B99-4D37-8913-2EADE89D348D}" name="CV" dataDxfId="407">
      <calculatedColumnFormula>G35/0.92</calculatedColumnFormula>
    </tableColumn>
    <tableColumn id="11" xr3:uid="{F9AC6599-D843-4A89-9176-F4D00789477D}" name="Thresh" dataDxfId="406">
      <calculatedColumnFormula>G35/0.88</calculatedColumnFormula>
    </tableColumn>
    <tableColumn id="12" xr3:uid="{63E560BB-D11C-4125-AECC-2E7E00CF3DB6}" name="Thresh L" dataDxfId="405">
      <calculatedColumnFormula>G35/0.84</calculatedColumnFormula>
    </tableColumn>
    <tableColumn id="13" xr3:uid="{88CC75F6-934C-474B-A224-30B7BC16D583}" name="T (400)" dataDxfId="404"/>
    <tableColumn id="14" xr3:uid="{77B860C6-C069-46C9-AC23-BE9A88EA4D51}" name="1k T"/>
    <tableColumn id="15" xr3:uid="{B786B402-6E69-4F60-B584-8161561F6F3C}" name="R (200)"/>
    <tableColumn id="16" xr3:uid="{8025AD52-F0D0-4EEC-9440-DC8B93FB240B}" name="300 R" dataDxfId="403">
      <calculatedColumnFormula>Table257111315252333353739414549515359121416182022[[#This Row],[R (200)]]*1.5</calculatedColumnFormula>
    </tableColumn>
    <tableColumn id="18" xr3:uid="{067190D9-A354-4F7A-8D50-2660F0B73CA1}" name="....." dataDxfId="402">
      <calculatedColumnFormula>Table257111315252333353739414549515359121416182022[[#This Row],[VO2]]/2</calculatedColumnFormula>
    </tableColumn>
    <tableColumn id="19" xr3:uid="{EA4C8363-1099-439E-8793-C56E61117FE1}" name="......" dataDxfId="401">
      <calculatedColumnFormula>Table257111315252333353739414549515359121416182022[[#This Row],[I]]</calculatedColumnFormula>
    </tableColumn>
    <tableColumn id="24" xr3:uid="{E9272806-DCBC-471B-B253-9E2116A5C5DE}" name="…....." dataDxfId="400">
      <calculatedColumnFormula>Table257111315252333353739414549515359121416182022[[#This Row],[......]]*1.5</calculatedColumnFormula>
    </tableColumn>
    <tableColumn id="20" xr3:uid="{0A0E2B07-CCEA-435A-8564-D11EDDB7A968}" name="........"/>
    <tableColumn id="21" xr3:uid="{CD250A51-F423-4889-B6C2-1F8E3095D800}" name="…......" dataDxfId="399"/>
    <tableColumn id="22" xr3:uid="{B03D3DDA-CF5D-4053-BF83-45284307B911}" name="G" dataDxfId="398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A34C4-5F68-4C6D-BD4B-5748A23B7D78}" name="Table1461012142422323436384044485052481113151719" displayName="Table1461012142422323436384044485052481113151719" ref="A1:V33" totalsRowShown="0" headerRowDxfId="397" dataDxfId="396" tableBorderDxfId="39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A37996A-D12D-496D-B3B4-AA27AF417F71}" name="WO 1/19/2024" dataDxfId="394"/>
    <tableColumn id="4" xr3:uid="{F1C05DA0-3240-4454-AAE2-04E3E2865C1E}" name="5k" dataDxfId="393"/>
    <tableColumn id="5" xr3:uid="{82F42BAE-298E-4DE8-85E4-C724E21A6A4C}" name="Mile" dataDxfId="392"/>
    <tableColumn id="6" xr3:uid="{4BFAC41C-0326-43E5-B5F1-802DA85B350E}" name="3k" dataDxfId="391">
      <calculatedColumnFormula>B2*E2</calculatedColumnFormula>
    </tableColumn>
    <tableColumn id="7" xr3:uid="{A3AC9C6C-1194-4AA7-9BCF-C4C798E9E888}" name="Percent" dataDxfId="390"/>
    <tableColumn id="8" xr3:uid="{6470873A-5484-4958-AE1A-F535BF37647A}" name="R" dataDxfId="389">
      <calculatedColumnFormula>C2/4</calculatedColumnFormula>
    </tableColumn>
    <tableColumn id="10" xr3:uid="{C58BE9A3-D79D-461B-BE6F-8B095E9D648D}" name="VO2" dataDxfId="388">
      <calculatedColumnFormula>D2/7.5</calculatedColumnFormula>
    </tableColumn>
    <tableColumn id="9" xr3:uid="{8679ECBB-E3C1-4A99-A62D-5D92D961F645}" name="I" dataDxfId="387">
      <calculatedColumnFormula>B2/12.5</calculatedColumnFormula>
    </tableColumn>
    <tableColumn id="11" xr3:uid="{9D6B8C27-9DA7-4DA1-B7F1-2A78857AF45D}" name="10k" dataDxfId="386">
      <calculatedColumnFormula>G2/0.93</calculatedColumnFormula>
    </tableColumn>
    <tableColumn id="12" xr3:uid="{1F91393A-9E51-41F9-81D8-18B1423FD063}" name="CV" dataDxfId="385">
      <calculatedColumnFormula>G2/0.92</calculatedColumnFormula>
    </tableColumn>
    <tableColumn id="13" xr3:uid="{27BB701E-11B1-42E4-B3A0-754C50DE29D1}" name="Thresh" dataDxfId="384">
      <calculatedColumnFormula>G2/0.88</calculatedColumnFormula>
    </tableColumn>
    <tableColumn id="14" xr3:uid="{535BA7D7-C606-4610-8824-C1825CC85C99}" name="Thresh L" dataDxfId="383">
      <calculatedColumnFormula>G2/0.84</calculatedColumnFormula>
    </tableColumn>
    <tableColumn id="21" xr3:uid="{6D0BC46B-7D72-4AFE-A904-93834A91EE7D}" name="T (400)" dataDxfId="382">
      <calculatedColumnFormula>Table1461012142422323436384044485052481113151719[[#This Row],[Thresh]]</calculatedColumnFormula>
    </tableColumn>
    <tableColumn id="20" xr3:uid="{6C7F0301-6D8B-47C2-8815-B2C3E0C82ED9}" name="800 T" dataDxfId="381">
      <calculatedColumnFormula>Table1461012142422323436384044485052481113151719[[#This Row],[T (400)]]*2</calculatedColumnFormula>
    </tableColumn>
    <tableColumn id="19" xr3:uid="{2F29FBF0-12E9-4E41-B978-D2C17B9BEEA3}" name="1st 200" dataDxfId="380">
      <calculatedColumnFormula>Table1461012142422323436384044485052481113151719[[#This Row],[CV]]</calculatedColumnFormula>
    </tableColumn>
    <tableColumn id="18" xr3:uid="{42CF6A37-BAAC-43D6-A9C2-20F21F572248}" name="2nd 200" dataDxfId="379">
      <calculatedColumnFormula>Table1461012142422323436384044485052481113151719[[#This Row],[1st 200]]*2</calculatedColumnFormula>
    </tableColumn>
    <tableColumn id="17" xr3:uid="{C9E83401-59ED-45D3-86BA-676C6B16A8AD}" name="3rd 200" dataDxfId="378">
      <calculatedColumnFormula>Table1461012142422323436384044485052481113151719[[#This Row],[I]]</calculatedColumnFormula>
    </tableColumn>
    <tableColumn id="15" xr3:uid="{7460ED50-320A-4AB5-9220-BD72684BB320}" name="4th 200" dataDxfId="377">
      <calculatedColumnFormula>Table1461012142422323436384044485052481113151719[[#This Row],[3rd 200]]*2</calculatedColumnFormula>
    </tableColumn>
    <tableColumn id="16" xr3:uid="{D49FD2FC-F110-45FA-A729-25487AD74632}" name="…...." dataDxfId="376">
      <calculatedColumnFormula>Table1461012142422323436384044485052481113151719[[#This Row],[VO2]]</calculatedColumnFormula>
    </tableColumn>
    <tableColumn id="22" xr3:uid="{61A79FBD-3A77-4CF6-9293-C832D11CBE25}" name="........" dataDxfId="375"/>
    <tableColumn id="23" xr3:uid="{F18DCF7A-75F0-426A-B31C-BCB7DB4E7DD8}" name="…......" dataDxfId="374"/>
    <tableColumn id="24" xr3:uid="{F6E9EA21-5DA3-4B8F-8001-759F2DA6AE7B}" name="G" dataDxfId="37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346FA7C-A66E-4275-996C-5F056111D9AF}" name="Table1461012142422323436384044485052481113151719212325272931333539414345" displayName="Table1461012142422323436384044485052481113151719212325272931333539414345" ref="A1:V33" totalsRowShown="0" headerRowDxfId="995" dataDxfId="994" tableBorderDxfId="99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AF7A6A2-0F6A-4868-8DDC-6AD8E78AC2A2}" name="WO 3/8/2024" dataDxfId="992"/>
    <tableColumn id="4" xr3:uid="{B795DC26-0056-48D6-8FED-797FF78BEAAC}" name="5k" dataDxfId="991"/>
    <tableColumn id="5" xr3:uid="{BD677790-5D9D-4F3C-A88C-84DF487E08AC}" name="Mile" dataDxfId="990"/>
    <tableColumn id="6" xr3:uid="{F8D9AF89-1944-4A88-992E-2AF5E116FB22}" name="3k" dataDxfId="989">
      <calculatedColumnFormula>B2*E2</calculatedColumnFormula>
    </tableColumn>
    <tableColumn id="7" xr3:uid="{DFB1DF68-191C-4C55-9242-D80A90939C7A}" name="Percent" dataDxfId="988"/>
    <tableColumn id="8" xr3:uid="{1E7EB1FA-F073-4639-A5C9-AB13ED18660F}" name="R" dataDxfId="987">
      <calculatedColumnFormula>C2/4</calculatedColumnFormula>
    </tableColumn>
    <tableColumn id="10" xr3:uid="{E33B99DD-6DC2-4F6A-9054-D940047CF93D}" name="VO2" dataDxfId="986">
      <calculatedColumnFormula>D2/7.5</calculatedColumnFormula>
    </tableColumn>
    <tableColumn id="9" xr3:uid="{FFB5240C-85BE-4B75-9B82-3A138BDC900E}" name="I" dataDxfId="985">
      <calculatedColumnFormula>B2/12.5</calculatedColumnFormula>
    </tableColumn>
    <tableColumn id="11" xr3:uid="{2B6EA650-2539-46B2-9F30-B06F79EC2785}" name="10k" dataDxfId="984">
      <calculatedColumnFormula>G2/0.93</calculatedColumnFormula>
    </tableColumn>
    <tableColumn id="12" xr3:uid="{69B5CF9C-A195-40F8-91BE-4E019F054353}" name="CV" dataDxfId="983">
      <calculatedColumnFormula>G2/0.92</calculatedColumnFormula>
    </tableColumn>
    <tableColumn id="13" xr3:uid="{6B97E2DC-F206-43AA-B0C0-7EEA4A8A8E99}" name="Thresh" dataDxfId="982">
      <calculatedColumnFormula>G2/0.88</calculatedColumnFormula>
    </tableColumn>
    <tableColumn id="14" xr3:uid="{1FE21697-3F97-48C7-9F32-489A969F88D4}" name="Thresh L" dataDxfId="981">
      <calculatedColumnFormula>G2/0.84</calculatedColumnFormula>
    </tableColumn>
    <tableColumn id="21" xr3:uid="{4503ACD6-3E73-4626-AEB3-D7EA0B7BB79B}" name="T (400)" dataDxfId="980">
      <calculatedColumnFormula>Table1461012142422323436384044485052481113151719212325272931333539414345[[#This Row],[Thresh]]</calculatedColumnFormula>
    </tableColumn>
    <tableColumn id="20" xr3:uid="{ACD80632-0F35-49A0-BA7B-79ED13B609CF}" name="800 T" dataDxfId="979">
      <calculatedColumnFormula>Table1461012142422323436384044485052481113151719212325272931333539414345[[#This Row],[T (400)]]*2</calculatedColumnFormula>
    </tableColumn>
    <tableColumn id="19" xr3:uid="{4A027BDD-66AF-474B-BDA6-2B709617D263}" name="R (200)" dataDxfId="978">
      <calculatedColumnFormula>Table1461012142422323436384044485052481113151719212325272931333539414345[[#This Row],[CV]]</calculatedColumnFormula>
    </tableColumn>
    <tableColumn id="18" xr3:uid="{2FB1C7E3-35CC-4373-8060-797C22750BB9}" name="300 R" dataDxfId="977">
      <calculatedColumnFormula>Table1461012142422323436384044485052481113151719212325272931333539414345[[#This Row],[R (200)]]*2</calculatedColumnFormula>
    </tableColumn>
    <tableColumn id="17" xr3:uid="{1D716717-284E-4C92-9709-99EDAB0C6A0F}" name="200 @ 8" dataDxfId="976">
      <calculatedColumnFormula>Table1461012142422323436384044485052481113151719212325272931333539414345[[#This Row],[I]]</calculatedColumnFormula>
    </tableColumn>
    <tableColumn id="15" xr3:uid="{A1151EB8-93AF-4351-8112-155F4037295C}" name="......" dataDxfId="975">
      <calculatedColumnFormula>Table1461012142422323436384044485052481113151719212325272931333539414345[[#This Row],[200 @ 8]]*2</calculatedColumnFormula>
    </tableColumn>
    <tableColumn id="16" xr3:uid="{64521DB1-3F30-4D77-95AA-C6422524833D}" name="......." dataDxfId="974">
      <calculatedColumnFormula>Table1461012142422323436384044485052481113151719212325272931333539414345[[#This Row],[VO2]]</calculatedColumnFormula>
    </tableColumn>
    <tableColumn id="22" xr3:uid="{5078A89E-1A20-4AB9-B7E5-D1AAF105B687}" name="........" dataDxfId="973"/>
    <tableColumn id="23" xr3:uid="{E3E6CC19-86A2-41A5-A296-7518304A82DC}" name="…......" dataDxfId="972"/>
    <tableColumn id="24" xr3:uid="{6C11D1E6-9A69-4AAD-B064-3A80350AE19E}" name="G" dataDxfId="971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4AD1F6-FF95-4E37-85DD-F8E8B33AC3C1}" name="Table2571113152523333537394145495153591214161820" displayName="Table2571113152523333537394145495153591214161820" ref="A34:V99" totalsRowShown="0" headerRowDxfId="372" tableBorderDxfId="37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012E5E8-85C0-4991-92E3-34488D19346C}" name="WO 1/16/2024" dataDxfId="370"/>
    <tableColumn id="2" xr3:uid="{6BE6D638-766C-48A7-9E6E-273089D7E9B5}" name="5k" dataDxfId="369"/>
    <tableColumn id="3" xr3:uid="{9EB713CB-CF3A-4B7C-A744-DE52B25B7913}" name="Mile" dataDxfId="368"/>
    <tableColumn id="4" xr3:uid="{FD03A506-8F1A-4B18-A5E0-EA46B69DCE9F}" name="3k" dataDxfId="367">
      <calculatedColumnFormula>B35*E35</calculatedColumnFormula>
    </tableColumn>
    <tableColumn id="5" xr3:uid="{270CB287-B0C4-4C13-BA2C-0F4CF73DA060}" name="Percent" dataDxfId="366"/>
    <tableColumn id="6" xr3:uid="{6E46ABEE-D0B6-4D5E-800D-598CC478771F}" name="R" dataDxfId="365">
      <calculatedColumnFormula>C35/4</calculatedColumnFormula>
    </tableColumn>
    <tableColumn id="7" xr3:uid="{D8262025-0CEB-4586-8D7D-75B803E786CC}" name="VO2" dataDxfId="364">
      <calculatedColumnFormula>D35/7.5</calculatedColumnFormula>
    </tableColumn>
    <tableColumn id="8" xr3:uid="{1E553AE8-BA8F-4E8C-8774-2941029E8D54}" name="I" dataDxfId="363">
      <calculatedColumnFormula>B35/12.5</calculatedColumnFormula>
    </tableColumn>
    <tableColumn id="9" xr3:uid="{21811B1E-470B-4E5B-A28F-7532B66B2690}" name="10k" dataDxfId="362">
      <calculatedColumnFormula>G35/0.93</calculatedColumnFormula>
    </tableColumn>
    <tableColumn id="10" xr3:uid="{E7C05C13-3A78-4CD4-A445-741CF1777077}" name="CV" dataDxfId="361">
      <calculatedColumnFormula>G35/0.92</calculatedColumnFormula>
    </tableColumn>
    <tableColumn id="11" xr3:uid="{21869E01-4B31-47EB-BBB9-3C3F9DC3998F}" name="Thresh" dataDxfId="360">
      <calculatedColumnFormula>G35/0.88</calculatedColumnFormula>
    </tableColumn>
    <tableColumn id="12" xr3:uid="{B872143D-0826-4BEE-9D2D-F3EC63A074C4}" name="Thresh L" dataDxfId="359">
      <calculatedColumnFormula>G35/0.84</calculatedColumnFormula>
    </tableColumn>
    <tableColumn id="13" xr3:uid="{221D52DF-19C1-4182-AFF8-CEF7C91F9302}" name="T (400)" dataDxfId="358"/>
    <tableColumn id="14" xr3:uid="{C384617E-E0E1-4AAD-A995-FF5A12B95EB5}" name="800 T"/>
    <tableColumn id="15" xr3:uid="{44173D3C-8ED4-4F49-AA6A-5CBC66AAC970}" name="1st 200"/>
    <tableColumn id="16" xr3:uid="{867B0299-8D3F-4C53-8663-A85C23FE6C01}" name="2nd 200" dataDxfId="357">
      <calculatedColumnFormula>Table2571113152523333537394145495153591214161820[[#This Row],[1st 200]]*1.5</calculatedColumnFormula>
    </tableColumn>
    <tableColumn id="18" xr3:uid="{140CB7AE-2628-42B6-81A6-05F659658547}" name="3rd 200" dataDxfId="356">
      <calculatedColumnFormula>Table2571113152523333537394145495153591214161820[[#This Row],[VO2]]/2</calculatedColumnFormula>
    </tableColumn>
    <tableColumn id="19" xr3:uid="{BE0E018A-CEA6-4876-9E4D-545AFBACCD55}" name="4th 200" dataDxfId="355">
      <calculatedColumnFormula>Table2571113152523333537394145495153591214161820[[#This Row],[I]]</calculatedColumnFormula>
    </tableColumn>
    <tableColumn id="24" xr3:uid="{E79C317E-DB8B-487C-A96E-3D5A4089B1A6}" name="…....." dataDxfId="354">
      <calculatedColumnFormula>Table2571113152523333537394145495153591214161820[[#This Row],[4th 200]]*1.5</calculatedColumnFormula>
    </tableColumn>
    <tableColumn id="20" xr3:uid="{E6E8DA1E-8EB7-4A42-AEF2-A46D1DDDA1A1}" name="........"/>
    <tableColumn id="21" xr3:uid="{6162C73B-F81B-42CE-A24C-24AA7261D0E0}" name="…......" dataDxfId="353"/>
    <tableColumn id="22" xr3:uid="{E19EAC67-0E60-4907-8E73-950CD8C9A3C9}" name="G" dataDxfId="352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2D405-17FB-4829-9F7E-2DBE51931A03}" name="Table14610121424223234363840444850524811131517" displayName="Table14610121424223234363840444850524811131517" ref="A1:V33" totalsRowShown="0" headerRowDxfId="351" dataDxfId="350" tableBorderDxfId="34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359DE7DE-1B88-4D73-A39D-6A7D97960D1E}" name="WO 1/16/2024" dataDxfId="348"/>
    <tableColumn id="4" xr3:uid="{4CB9E00C-8445-451F-88A4-64546571AC56}" name="5k" dataDxfId="347"/>
    <tableColumn id="5" xr3:uid="{E7A9B717-D09E-42A8-BF99-9D08F4CF2E39}" name="Mile" dataDxfId="346"/>
    <tableColumn id="6" xr3:uid="{7DE73928-5C0F-437E-94E0-B62F001E693E}" name="3k" dataDxfId="345">
      <calculatedColumnFormula>B2*E2</calculatedColumnFormula>
    </tableColumn>
    <tableColumn id="7" xr3:uid="{F6ADAD32-62E4-4869-B124-6ACB05E05883}" name="Percent" dataDxfId="344"/>
    <tableColumn id="8" xr3:uid="{9768A145-8314-4F09-8A3F-3A37EDD828E3}" name="R" dataDxfId="343">
      <calculatedColumnFormula>C2/4</calculatedColumnFormula>
    </tableColumn>
    <tableColumn id="10" xr3:uid="{9361AF26-0770-4223-9476-529A7B1E8EC8}" name="VO2" dataDxfId="342">
      <calculatedColumnFormula>D2/7.5</calculatedColumnFormula>
    </tableColumn>
    <tableColumn id="9" xr3:uid="{2CED7CD2-0E52-42CB-BF5B-16FDF588E30C}" name="I" dataDxfId="341">
      <calculatedColumnFormula>B2/12.5</calculatedColumnFormula>
    </tableColumn>
    <tableColumn id="11" xr3:uid="{8EF84503-488A-4239-962D-0751CA9D6275}" name="10k" dataDxfId="340">
      <calculatedColumnFormula>G2/0.93</calculatedColumnFormula>
    </tableColumn>
    <tableColumn id="12" xr3:uid="{E6EF4861-5376-4889-9D8D-B29399126419}" name="CV" dataDxfId="339">
      <calculatedColumnFormula>G2/0.92</calculatedColumnFormula>
    </tableColumn>
    <tableColumn id="13" xr3:uid="{A9CEF430-FD0A-4F28-9B7C-D056AA0398A3}" name="Thresh" dataDxfId="338">
      <calculatedColumnFormula>G2/0.88</calculatedColumnFormula>
    </tableColumn>
    <tableColumn id="14" xr3:uid="{D7013AD1-3B3C-4C1B-B5C3-39718D5697D5}" name="Thresh L" dataDxfId="337">
      <calculatedColumnFormula>G2/0.84</calculatedColumnFormula>
    </tableColumn>
    <tableColumn id="21" xr3:uid="{BACFAF19-5CD4-4300-A82C-FCD89DC53DEA}" name="T (400)" dataDxfId="336">
      <calculatedColumnFormula>Table14610121424223234363840444850524811131517[[#This Row],[Thresh]]</calculatedColumnFormula>
    </tableColumn>
    <tableColumn id="20" xr3:uid="{F7D5AE2D-968F-4096-B0E3-74A00A6B0852}" name="800 T" dataDxfId="335">
      <calculatedColumnFormula>Table14610121424223234363840444850524811131517[[#This Row],[T (400)]]*2</calculatedColumnFormula>
    </tableColumn>
    <tableColumn id="19" xr3:uid="{E2C23F31-C9B9-4B98-8AFD-81C8445F2AFF}" name="1st 200" dataDxfId="334">
      <calculatedColumnFormula>Table14610121424223234363840444850524811131517[[#This Row],[CV]]</calculatedColumnFormula>
    </tableColumn>
    <tableColumn id="18" xr3:uid="{7495109D-2D17-4DD4-A2B5-D8C506DEB52B}" name="2nd 200" dataDxfId="333">
      <calculatedColumnFormula>Table14610121424223234363840444850524811131517[[#This Row],[1st 200]]*2</calculatedColumnFormula>
    </tableColumn>
    <tableColumn id="17" xr3:uid="{582B9B53-9B03-4B5E-8C95-7E8FA297BE39}" name="3rd 200" dataDxfId="332">
      <calculatedColumnFormula>Table14610121424223234363840444850524811131517[[#This Row],[I]]</calculatedColumnFormula>
    </tableColumn>
    <tableColumn id="15" xr3:uid="{62BE2C44-EDA5-4278-9306-4667EB8E1897}" name="4th 200" dataDxfId="331">
      <calculatedColumnFormula>Table14610121424223234363840444850524811131517[[#This Row],[3rd 200]]*2</calculatedColumnFormula>
    </tableColumn>
    <tableColumn id="16" xr3:uid="{6A06F83F-8F7E-45D5-8BAC-48F329FA245D}" name="…...." dataDxfId="330">
      <calculatedColumnFormula>Table14610121424223234363840444850524811131517[[#This Row],[VO2]]</calculatedColumnFormula>
    </tableColumn>
    <tableColumn id="22" xr3:uid="{D884AC00-40C8-4621-92DB-C54453D91B9F}" name="........" dataDxfId="329"/>
    <tableColumn id="23" xr3:uid="{71E8554E-A811-4FB3-95D4-755EC2F9F001}" name="…......" dataDxfId="328"/>
    <tableColumn id="24" xr3:uid="{A75BA9AA-FBB0-4878-A214-678D8625A49C}" name="G" dataDxfId="327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BCE893-0ECF-4EE3-BD88-1FA64CB7E1B6}" name="Table25711131525233335373941454951535912141618" displayName="Table25711131525233335373941454951535912141618" ref="A34:V99" totalsRowShown="0" headerRowDxfId="326" tableBorderDxfId="32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D44A0AE-713E-43E9-9DAA-3381A1A24107}" name="WO 1/16/2024" dataDxfId="324"/>
    <tableColumn id="2" xr3:uid="{060FB00C-0A2E-4666-90E1-7ACEA866868E}" name="5k" dataDxfId="323"/>
    <tableColumn id="3" xr3:uid="{FF8548E4-0251-409A-B186-74C9E1C921A1}" name="Mile" dataDxfId="322"/>
    <tableColumn id="4" xr3:uid="{03B08085-946A-40DB-B910-D7AB7375A405}" name="3k" dataDxfId="321">
      <calculatedColumnFormula>B35*E35</calculatedColumnFormula>
    </tableColumn>
    <tableColumn id="5" xr3:uid="{CD4FE41A-D721-45EA-83ED-B179AD40E841}" name="Percent" dataDxfId="320"/>
    <tableColumn id="6" xr3:uid="{179EF774-AC4D-460F-843C-BD3EDEC3AEF9}" name="R" dataDxfId="319">
      <calculatedColumnFormula>C35/4</calculatedColumnFormula>
    </tableColumn>
    <tableColumn id="7" xr3:uid="{E195C7B0-C21A-4050-9902-BA0CCF72D6A0}" name="VO2" dataDxfId="318">
      <calculatedColumnFormula>D35/7.5</calculatedColumnFormula>
    </tableColumn>
    <tableColumn id="8" xr3:uid="{E09928F0-F582-48EC-A34B-5D2565907B41}" name="I" dataDxfId="317">
      <calculatedColumnFormula>B35/12.5</calculatedColumnFormula>
    </tableColumn>
    <tableColumn id="9" xr3:uid="{FD8DF1E9-21BD-4F12-A4B5-B68BD69F5A52}" name="10k" dataDxfId="316">
      <calculatedColumnFormula>G35/0.93</calculatedColumnFormula>
    </tableColumn>
    <tableColumn id="10" xr3:uid="{52D618CF-D98E-4F83-B22E-035FB3807582}" name="CV" dataDxfId="315">
      <calculatedColumnFormula>G35/0.92</calculatedColumnFormula>
    </tableColumn>
    <tableColumn id="11" xr3:uid="{5C471D1E-DBCD-49D2-8DEC-20A3AEDC9212}" name="Thresh" dataDxfId="314">
      <calculatedColumnFormula>G35/0.88</calculatedColumnFormula>
    </tableColumn>
    <tableColumn id="12" xr3:uid="{CA521276-4544-4A2B-A1F5-3E2E08C0A8F8}" name="Thresh L" dataDxfId="313">
      <calculatedColumnFormula>G35/0.84</calculatedColumnFormula>
    </tableColumn>
    <tableColumn id="13" xr3:uid="{F6EAB3EA-EBA1-4BC9-BAA3-211FB859EF7C}" name="T (400)" dataDxfId="312"/>
    <tableColumn id="14" xr3:uid="{82AAFA84-5CDE-453C-BA8A-6A34C80D8BF2}" name="800 T"/>
    <tableColumn id="15" xr3:uid="{A810D084-72FC-43E8-B5DC-57CFD580FCAC}" name="1st 200"/>
    <tableColumn id="16" xr3:uid="{9805E227-8892-4958-9B67-3407D788665E}" name="2nd 200" dataDxfId="311">
      <calculatedColumnFormula>Table25711131525233335373941454951535912141618[[#This Row],[1st 200]]*1.5</calculatedColumnFormula>
    </tableColumn>
    <tableColumn id="18" xr3:uid="{44DC215C-9D7F-4B66-86F2-2E6386DBC1F1}" name="3rd 200" dataDxfId="310">
      <calculatedColumnFormula>Table25711131525233335373941454951535912141618[[#This Row],[VO2]]/2</calculatedColumnFormula>
    </tableColumn>
    <tableColumn id="19" xr3:uid="{ADF07D48-28E2-46C6-A18D-CA17DDBF0CA3}" name="4th 200" dataDxfId="309">
      <calculatedColumnFormula>Table25711131525233335373941454951535912141618[[#This Row],[I]]</calculatedColumnFormula>
    </tableColumn>
    <tableColumn id="24" xr3:uid="{8DFC575F-DB03-4ADF-8D19-C07A833CD294}" name="…....." dataDxfId="308">
      <calculatedColumnFormula>Table25711131525233335373941454951535912141618[[#This Row],[4th 200]]*1.5</calculatedColumnFormula>
    </tableColumn>
    <tableColumn id="20" xr3:uid="{BD9376B1-3317-407D-BC09-5765E056DFA5}" name="........"/>
    <tableColumn id="21" xr3:uid="{2DFD56AC-6AC0-44EA-BD3A-516D3392FE40}" name="…......" dataDxfId="307"/>
    <tableColumn id="22" xr3:uid="{88EC0C23-0883-4DD4-96C9-E0591F2912E4}" name="G" dataDxfId="306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96A58D-7830-404C-8120-6036BD0EC539}" name="Table146101214242232343638404448505248111315" displayName="Table146101214242232343638404448505248111315" ref="A1:V33" totalsRowShown="0" headerRowDxfId="305" dataDxfId="304" tableBorderDxfId="30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2D9CE00-0D9D-4FAC-94C3-F48C0F1AE8E5}" name="WO 1/9/2024" dataDxfId="302"/>
    <tableColumn id="4" xr3:uid="{ACD77403-4FE9-40AB-AC86-AA9FA4A29C70}" name="5k" dataDxfId="301"/>
    <tableColumn id="5" xr3:uid="{8F3FD528-5CCC-41D4-B642-F11BEEC1AEC5}" name="Mile" dataDxfId="300"/>
    <tableColumn id="6" xr3:uid="{0C8D46AF-B1B7-455D-8064-8F30EA548D53}" name="3k" dataDxfId="299">
      <calculatedColumnFormula>B2*E2</calculatedColumnFormula>
    </tableColumn>
    <tableColumn id="7" xr3:uid="{070320C0-9F51-45B5-A0C2-698862C9F987}" name="Percent" dataDxfId="298"/>
    <tableColumn id="8" xr3:uid="{6BECBF4C-01A7-4F65-A497-8496791BB8A4}" name="R" dataDxfId="297">
      <calculatedColumnFormula>C2/4</calculatedColumnFormula>
    </tableColumn>
    <tableColumn id="10" xr3:uid="{161D4EBD-9062-4450-8338-C274EBDD50AB}" name="VO2" dataDxfId="296">
      <calculatedColumnFormula>D2/7.5</calculatedColumnFormula>
    </tableColumn>
    <tableColumn id="9" xr3:uid="{8E813C44-A1E0-43EF-9B84-33599F6A98FD}" name="I" dataDxfId="295">
      <calculatedColumnFormula>B2/12.5</calculatedColumnFormula>
    </tableColumn>
    <tableColumn id="11" xr3:uid="{F1B9BB3A-BA8C-4A97-AE49-5346622532C9}" name="10k" dataDxfId="294">
      <calculatedColumnFormula>G2/0.93</calculatedColumnFormula>
    </tableColumn>
    <tableColumn id="12" xr3:uid="{1E15EFB9-1CD8-4A39-B277-BB4CD5DEDEEA}" name="CV" dataDxfId="293">
      <calculatedColumnFormula>G2/0.92</calculatedColumnFormula>
    </tableColumn>
    <tableColumn id="13" xr3:uid="{DD14228E-9D85-47FC-8B7F-E05F9383B38C}" name="Thresh" dataDxfId="292">
      <calculatedColumnFormula>G2/0.88</calculatedColumnFormula>
    </tableColumn>
    <tableColumn id="14" xr3:uid="{FEBF17C4-793B-4078-AD20-4C43E7EC7BBD}" name="Thresh L" dataDxfId="291">
      <calculatedColumnFormula>G2/0.84</calculatedColumnFormula>
    </tableColumn>
    <tableColumn id="21" xr3:uid="{B1985387-622F-4444-87CB-AD2A7141E92D}" name="T (400)" dataDxfId="290">
      <calculatedColumnFormula>Table146101214242232343638404448505248111315[[#This Row],[Thresh]]</calculatedColumnFormula>
    </tableColumn>
    <tableColumn id="20" xr3:uid="{56E6AFE3-854C-41FE-8C59-B58902895656}" name="800 T" dataDxfId="289">
      <calculatedColumnFormula>Table146101214242232343638404448505248111315[[#This Row],[T (400)]]*2</calculatedColumnFormula>
    </tableColumn>
    <tableColumn id="19" xr3:uid="{A3D4DB6C-0F5E-4066-9136-CEAA30266936}" name="400 R" dataDxfId="288">
      <calculatedColumnFormula>Table146101214242232343638404448505248111315[[#This Row],[CV]]</calculatedColumnFormula>
    </tableColumn>
    <tableColumn id="18" xr3:uid="{DCED0E07-7914-4168-93AF-96C6C44B6235}" name="...." dataDxfId="287">
      <calculatedColumnFormula>Table146101214242232343638404448505248111315[[#This Row],[400 R]]*2</calculatedColumnFormula>
    </tableColumn>
    <tableColumn id="17" xr3:uid="{D16CFBF8-B109-480F-889D-11DE2F3DAD7F}" name="….." dataDxfId="286">
      <calculatedColumnFormula>Table146101214242232343638404448505248111315[[#This Row],[I]]</calculatedColumnFormula>
    </tableColumn>
    <tableColumn id="15" xr3:uid="{CA8F3761-5297-498D-BAE4-4D4080ACFEF0}" name="…..." dataDxfId="285">
      <calculatedColumnFormula>Table146101214242232343638404448505248111315[[#This Row],[…..]]*2</calculatedColumnFormula>
    </tableColumn>
    <tableColumn id="16" xr3:uid="{1477D33C-0ADC-4DEB-9576-05FE672A0009}" name="…...." dataDxfId="284">
      <calculatedColumnFormula>Table146101214242232343638404448505248111315[[#This Row],[VO2]]</calculatedColumnFormula>
    </tableColumn>
    <tableColumn id="22" xr3:uid="{A40D2477-B30C-450C-A319-AC511DC73743}" name="........" dataDxfId="283"/>
    <tableColumn id="23" xr3:uid="{D0F2C53F-D8EE-449B-A011-0A43DB78B6FB}" name="…......" dataDxfId="282"/>
    <tableColumn id="24" xr3:uid="{0F014099-D06B-4820-83ED-22A6DA6F5441}" name="G" dataDxfId="281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153154-71AA-46F3-97FC-15BEC8455162}" name="Table257111315252333353739414549515359121416" displayName="Table257111315252333353739414549515359121416" ref="A34:V99" totalsRowShown="0" headerRowDxfId="280" tableBorderDxfId="27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3F50B07-7549-47F4-8F21-133BCE3CBA1A}" name="WO 1/9/2024" dataDxfId="278"/>
    <tableColumn id="2" xr3:uid="{BE20C641-A602-4899-BCE6-293245812229}" name="5k" dataDxfId="277"/>
    <tableColumn id="3" xr3:uid="{A8DB4453-9604-47B8-98C3-371902AB85A6}" name="Mile" dataDxfId="276"/>
    <tableColumn id="4" xr3:uid="{68D8AAA9-17A2-4787-AD36-508F7628EF43}" name="3k" dataDxfId="275">
      <calculatedColumnFormula>B35*E35</calculatedColumnFormula>
    </tableColumn>
    <tableColumn id="5" xr3:uid="{D4D70A39-2C2D-4442-838A-71FE3BDF33E5}" name="Percent" dataDxfId="274"/>
    <tableColumn id="6" xr3:uid="{6388136F-83FD-45AC-A016-4727937F1974}" name="R" dataDxfId="273">
      <calculatedColumnFormula>C35/4</calculatedColumnFormula>
    </tableColumn>
    <tableColumn id="7" xr3:uid="{E438EBE2-471F-4B92-A96A-1D222C97E63C}" name="VO2" dataDxfId="272">
      <calculatedColumnFormula>D35/7.5</calculatedColumnFormula>
    </tableColumn>
    <tableColumn id="8" xr3:uid="{3E814511-6966-48D7-A76D-1B679C1186AE}" name="I" dataDxfId="271">
      <calculatedColumnFormula>B35/12.5</calculatedColumnFormula>
    </tableColumn>
    <tableColumn id="9" xr3:uid="{B1481CE9-F3B6-4A1B-A8CF-454796190457}" name="10k" dataDxfId="270">
      <calculatedColumnFormula>G35/0.93</calculatedColumnFormula>
    </tableColumn>
    <tableColumn id="10" xr3:uid="{E3390B3D-D003-49D8-85B4-69CD73AF1325}" name="CV" dataDxfId="269">
      <calculatedColumnFormula>G35/0.92</calculatedColumnFormula>
    </tableColumn>
    <tableColumn id="11" xr3:uid="{F8A8E189-48DE-414B-B101-638C2C25958B}" name="Thresh" dataDxfId="268">
      <calculatedColumnFormula>G35/0.88</calculatedColumnFormula>
    </tableColumn>
    <tableColumn id="12" xr3:uid="{FEEA950D-5FC3-4661-8B58-4D290F721FF0}" name="Thresh L" dataDxfId="267">
      <calculatedColumnFormula>G35/0.84</calculatedColumnFormula>
    </tableColumn>
    <tableColumn id="13" xr3:uid="{CDC94886-5506-4633-8E91-68665D906B0F}" name="T (400)" dataDxfId="266"/>
    <tableColumn id="14" xr3:uid="{3DC3C675-7EFA-4CB2-9A98-E9166C69A37C}" name="800 T"/>
    <tableColumn id="15" xr3:uid="{1C90592B-2DBA-4F02-BBA3-CA3DAD93DED6}" name="400 R"/>
    <tableColumn id="16" xr3:uid="{0376048C-7172-428E-B03E-C7C80670BC70}" name="...." dataDxfId="265">
      <calculatedColumnFormula>Table257111315252333353739414549515359121416[[#This Row],[400 R]]*1.5</calculatedColumnFormula>
    </tableColumn>
    <tableColumn id="18" xr3:uid="{6536CDF7-4980-469D-B294-E75440A4EA5C}" name="…..." dataDxfId="264">
      <calculatedColumnFormula>Table257111315252333353739414549515359121416[[#This Row],[VO2]]/2</calculatedColumnFormula>
    </tableColumn>
    <tableColumn id="19" xr3:uid="{6CB3AE3D-2100-4104-8948-D4ED4795B551}" name="…...." dataDxfId="263">
      <calculatedColumnFormula>Table257111315252333353739414549515359121416[[#This Row],[I]]</calculatedColumnFormula>
    </tableColumn>
    <tableColumn id="24" xr3:uid="{330BBF50-9418-445E-8566-82B6305361AB}" name="…....." dataDxfId="262">
      <calculatedColumnFormula>Table257111315252333353739414549515359121416[[#This Row],[…....]]*1.5</calculatedColumnFormula>
    </tableColumn>
    <tableColumn id="20" xr3:uid="{EB889B2B-5CE3-469C-AF9C-C0DD65E91B70}" name="........"/>
    <tableColumn id="21" xr3:uid="{458A9AED-8C54-4202-91C2-5D86955CAB9B}" name="…......" dataDxfId="261"/>
    <tableColumn id="22" xr3:uid="{65EFD803-CAD4-4800-8D9A-1E17AA4E1FC1}" name="G" dataDxfId="260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5" headerRowBorderDxfId="166" tableBorderDxfId="164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42590DA-BB83-470B-973C-FB77CF80351F}" name="Table2571113152523333537394145495153591214161820222426283032343640424446" displayName="Table2571113152523333537394145495153591214161820222426283032343640424446" ref="A34:V99" totalsRowShown="0" headerRowDxfId="970" tableBorderDxfId="96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201ECA8-DB75-4AD3-9CF9-CA9FCAD2F961}" name="WO 3/8/2024" dataDxfId="968"/>
    <tableColumn id="2" xr3:uid="{EBCDFB8A-9873-4FF6-B243-7F0D1CB5E181}" name="5k" dataDxfId="967"/>
    <tableColumn id="3" xr3:uid="{64ACAC94-6B06-4AB3-92AD-EA3BADB7851A}" name="Mile" dataDxfId="966"/>
    <tableColumn id="4" xr3:uid="{EEBA6901-63AE-46FD-BA4C-65C137EDDEBF}" name="3k" dataDxfId="965">
      <calculatedColumnFormula>B35*E35</calculatedColumnFormula>
    </tableColumn>
    <tableColumn id="5" xr3:uid="{535C131C-F17E-4115-8B18-76B9E35D80DF}" name="Percent" dataDxfId="964"/>
    <tableColumn id="6" xr3:uid="{50DB300B-EB91-4637-97B2-EECCF5766EF3}" name="R" dataDxfId="963">
      <calculatedColumnFormula>C35/4</calculatedColumnFormula>
    </tableColumn>
    <tableColumn id="7" xr3:uid="{CD6918DF-6F81-4CF2-8D2F-89A4B8DB430A}" name="VO2" dataDxfId="962">
      <calculatedColumnFormula>D35/7.5</calculatedColumnFormula>
    </tableColumn>
    <tableColumn id="8" xr3:uid="{19D976A1-8E00-49ED-B81B-615DAAABEE5F}" name="I" dataDxfId="961">
      <calculatedColumnFormula>B35/12.5</calculatedColumnFormula>
    </tableColumn>
    <tableColumn id="9" xr3:uid="{56360CBB-2172-4F78-B289-0A0D09CE8B60}" name="10k" dataDxfId="960">
      <calculatedColumnFormula>G35/0.93</calculatedColumnFormula>
    </tableColumn>
    <tableColumn id="10" xr3:uid="{4A4B8214-33CB-4A07-A6A4-04A779DA7B3D}" name="CV" dataDxfId="959">
      <calculatedColumnFormula>G35/0.92</calculatedColumnFormula>
    </tableColumn>
    <tableColumn id="11" xr3:uid="{B0DD427B-8A9E-4146-BC76-A83150B4D131}" name="Thresh" dataDxfId="958">
      <calculatedColumnFormula>G35/0.88</calculatedColumnFormula>
    </tableColumn>
    <tableColumn id="12" xr3:uid="{4B53CBDF-CA29-40C8-B644-0C446863DDA5}" name="Thresh L" dataDxfId="957">
      <calculatedColumnFormula>G35/0.84</calculatedColumnFormula>
    </tableColumn>
    <tableColumn id="13" xr3:uid="{7280FB5F-4ABC-4051-8270-C1159871B37E}" name="T (400)" dataDxfId="956"/>
    <tableColumn id="14" xr3:uid="{B5569029-306F-48AD-A4D5-5F1B2D9F03A4}" name="800 T"/>
    <tableColumn id="15" xr3:uid="{9C500E78-ED23-4142-86A2-DB8178B8C8DF}" name="R (200)"/>
    <tableColumn id="16" xr3:uid="{C0509738-9A9D-421C-BC3E-F69040EAD7A7}" name="300 R" dataDxfId="955">
      <calculatedColumnFormula>Table2571113152523333537394145495153591214161820222426283032343640424446[[#This Row],[R (200)]]*1.5</calculatedColumnFormula>
    </tableColumn>
    <tableColumn id="18" xr3:uid="{2EF42349-FA9E-4D7A-9AEE-F9454DF6B09F}" name="200 @ 8" dataDxfId="954">
      <calculatedColumnFormula>Table2571113152523333537394145495153591214161820222426283032343640424446[[#This Row],[VO2]]/2</calculatedColumnFormula>
    </tableColumn>
    <tableColumn id="19" xr3:uid="{870149F8-83E4-473E-A3A6-E77EBF00B37C}" name="......" dataDxfId="953">
      <calculatedColumnFormula>Table2571113152523333537394145495153591214161820222426283032343640424446[[#This Row],[I]]</calculatedColumnFormula>
    </tableColumn>
    <tableColumn id="24" xr3:uid="{056A6811-65EF-4749-A11E-04EAA1498B86}" name="…....." dataDxfId="952">
      <calculatedColumnFormula>Table2571113152523333537394145495153591214161820222426283032343640424446[[#This Row],[......]]*1.5</calculatedColumnFormula>
    </tableColumn>
    <tableColumn id="20" xr3:uid="{A264786F-1255-409B-8308-55C4569BFE80}" name="........"/>
    <tableColumn id="21" xr3:uid="{556D6581-FBC3-40F8-89FD-1D55CC76C104}" name="…......" dataDxfId="951"/>
    <tableColumn id="22" xr3:uid="{9B16B181-44BE-4F84-929D-E2CF49C86025}" name="G" dataDxfId="950"/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5" headerRowBorderDxfId="156" tableBorderDxfId="154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5" headerRowBorderDxfId="146" tableBorderDxfId="144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1A75D7-E95D-4A2C-9328-4990B80CF7A3}" name="Table14610121424223234363840444850524811131517192123252729313335394143" displayName="Table14610121424223234363840444850524811131517192123252729313335394143" ref="A1:V33" totalsRowShown="0" headerRowDxfId="949" dataDxfId="948" tableBorderDxfId="94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C2EFEAC4-39B5-452E-BAA9-B1AC1A8C7A6B}" name="WO 3/5/2024" dataDxfId="946"/>
    <tableColumn id="4" xr3:uid="{21446962-927B-403A-BB4F-DCF1C77DA265}" name="5k" dataDxfId="945"/>
    <tableColumn id="5" xr3:uid="{1C6E5EFA-FA24-40E9-8472-5689FA5CE5B2}" name="Mile" dataDxfId="944"/>
    <tableColumn id="6" xr3:uid="{197E1816-28CE-418F-BE1B-210A479750AC}" name="3k" dataDxfId="943">
      <calculatedColumnFormula>B2*E2</calculatedColumnFormula>
    </tableColumn>
    <tableColumn id="7" xr3:uid="{57BF2557-BAE7-4AC7-9447-3058701DC915}" name="Percent" dataDxfId="942"/>
    <tableColumn id="8" xr3:uid="{7334F21C-7393-4B81-A3BF-E15044CA2C4D}" name="R" dataDxfId="941">
      <calculatedColumnFormula>C2/4</calculatedColumnFormula>
    </tableColumn>
    <tableColumn id="10" xr3:uid="{02F7DB25-2D2C-4D7D-8C56-9F7F91630758}" name="VO2" dataDxfId="940">
      <calculatedColumnFormula>D2/7.5</calculatedColumnFormula>
    </tableColumn>
    <tableColumn id="9" xr3:uid="{C2FF27D4-BBEE-4095-AC1B-AC2E5AC7870B}" name="I" dataDxfId="939">
      <calculatedColumnFormula>B2/12.5</calculatedColumnFormula>
    </tableColumn>
    <tableColumn id="11" xr3:uid="{0F8A09F5-3CC1-44C3-AAEB-D2B44B898741}" name="10k" dataDxfId="938">
      <calculatedColumnFormula>G2/0.93</calculatedColumnFormula>
    </tableColumn>
    <tableColumn id="12" xr3:uid="{496433E1-6493-40A9-80D2-C74D08E464CD}" name="CV" dataDxfId="937">
      <calculatedColumnFormula>G2/0.92</calculatedColumnFormula>
    </tableColumn>
    <tableColumn id="13" xr3:uid="{F2F96ED8-3886-4AEA-9510-817A0C23E577}" name="Thresh" dataDxfId="936">
      <calculatedColumnFormula>G2/0.88</calculatedColumnFormula>
    </tableColumn>
    <tableColumn id="14" xr3:uid="{4DA37468-75D3-4BE1-B830-A62A2ACEE00F}" name="Thresh L" dataDxfId="935">
      <calculatedColumnFormula>G2/0.84</calculatedColumnFormula>
    </tableColumn>
    <tableColumn id="21" xr3:uid="{9A7BD5BD-6DD7-4D88-8A3F-2F02E6087406}" name="T (400)" dataDxfId="934">
      <calculatedColumnFormula>Table14610121424223234363840444850524811131517192123252729313335394143[[#This Row],[Thresh]]</calculatedColumnFormula>
    </tableColumn>
    <tableColumn id="20" xr3:uid="{8B2C4F75-6609-4057-9F57-F4525C37C15D}" name="800 T" dataDxfId="933">
      <calculatedColumnFormula>Table14610121424223234363840444850524811131517192123252729313335394143[[#This Row],[T (400)]]*2</calculatedColumnFormula>
    </tableColumn>
    <tableColumn id="19" xr3:uid="{B03CF545-4978-4B7F-B4DE-8D3BB1B16287}" name="…" dataDxfId="932">
      <calculatedColumnFormula>Table14610121424223234363840444850524811131517192123252729313335394143[[#This Row],[CV]]</calculatedColumnFormula>
    </tableColumn>
    <tableColumn id="18" xr3:uid="{A34888AB-E7C2-43CB-9819-82E6B019F6E8}" name="...." dataDxfId="931">
      <calculatedColumnFormula>Table14610121424223234363840444850524811131517192123252729313335394143[[#This Row],[…]]*2</calculatedColumnFormula>
    </tableColumn>
    <tableColumn id="17" xr3:uid="{AC7A21E1-C193-4649-BFC8-BE2E59168841}" name="....." dataDxfId="930">
      <calculatedColumnFormula>Table14610121424223234363840444850524811131517192123252729313335394143[[#This Row],[I]]</calculatedColumnFormula>
    </tableColumn>
    <tableColumn id="15" xr3:uid="{E1570D04-D3B9-4505-BFAF-B5EA7C009B6B}" name="......" dataDxfId="929">
      <calculatedColumnFormula>Table14610121424223234363840444850524811131517192123252729313335394143[[#This Row],[.....]]*2</calculatedColumnFormula>
    </tableColumn>
    <tableColumn id="16" xr3:uid="{7023BADF-04FD-42BE-92C5-1EAF6E08AE50}" name="......." dataDxfId="928">
      <calculatedColumnFormula>Table14610121424223234363840444850524811131517192123252729313335394143[[#This Row],[VO2]]</calculatedColumnFormula>
    </tableColumn>
    <tableColumn id="22" xr3:uid="{D821951D-3515-4785-B2FC-A568842A4E79}" name="........" dataDxfId="927"/>
    <tableColumn id="23" xr3:uid="{190911F7-535D-4194-9B05-F5643DB153EB}" name="…......" dataDxfId="926"/>
    <tableColumn id="24" xr3:uid="{0D2CA5C6-B029-4A11-A742-568C0FF288F8}" name="G" dataDxfId="92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6C2732C-4365-48F5-BA49-B48E9CBD2617}" name="Table25711131525233335373941454951535912141618202224262830323436404244" displayName="Table25711131525233335373941454951535912141618202224262830323436404244" ref="A34:V99" totalsRowShown="0" headerRowDxfId="924" tableBorderDxfId="92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76F24B4-4A66-4A04-8680-9811EB9B2F0B}" name="WO 3/5/2024" dataDxfId="922"/>
    <tableColumn id="2" xr3:uid="{921EF76A-AA21-498F-9571-93CBB65045DE}" name="5k" dataDxfId="921"/>
    <tableColumn id="3" xr3:uid="{1E8E71E0-879D-427D-968A-37ECF8161D49}" name="Mile" dataDxfId="920"/>
    <tableColumn id="4" xr3:uid="{78A4C8C5-5891-4E74-B15D-33003B39AF96}" name="3k" dataDxfId="919">
      <calculatedColumnFormula>B35*E35</calculatedColumnFormula>
    </tableColumn>
    <tableColumn id="5" xr3:uid="{FB7FF742-9FE6-4FDC-9106-F6689D8C372A}" name="Percent" dataDxfId="918"/>
    <tableColumn id="6" xr3:uid="{928C9758-DCF5-45F1-BD8A-9E425A65B874}" name="R" dataDxfId="917">
      <calculatedColumnFormula>C35/4</calculatedColumnFormula>
    </tableColumn>
    <tableColumn id="7" xr3:uid="{32040FA6-FBB5-4139-A1BF-31FBD64B5FA6}" name="VO2" dataDxfId="916">
      <calculatedColumnFormula>D35/7.5</calculatedColumnFormula>
    </tableColumn>
    <tableColumn id="8" xr3:uid="{4FF02B32-E450-44C2-A234-18522F75A27F}" name="I" dataDxfId="915">
      <calculatedColumnFormula>B35/12.5</calculatedColumnFormula>
    </tableColumn>
    <tableColumn id="9" xr3:uid="{B20F9446-1500-4498-AD8B-9C987B11A2CC}" name="10k" dataDxfId="914">
      <calculatedColumnFormula>G35/0.93</calculatedColumnFormula>
    </tableColumn>
    <tableColumn id="10" xr3:uid="{BEF230D9-67C0-4C85-ADC4-D882DBA75608}" name="CV" dataDxfId="913">
      <calculatedColumnFormula>G35/0.92</calculatedColumnFormula>
    </tableColumn>
    <tableColumn id="11" xr3:uid="{A90D48BB-2E65-4D1B-9D38-D43E19BDA5BE}" name="Thresh" dataDxfId="912">
      <calculatedColumnFormula>G35/0.88</calculatedColumnFormula>
    </tableColumn>
    <tableColumn id="12" xr3:uid="{1D9D6627-31DD-4496-BF65-52E6F1FBA4D9}" name="Thresh L" dataDxfId="911">
      <calculatedColumnFormula>G35/0.84</calculatedColumnFormula>
    </tableColumn>
    <tableColumn id="13" xr3:uid="{389A525A-4939-4DDE-9E64-C132D24A0B17}" name="T (400)" dataDxfId="910"/>
    <tableColumn id="14" xr3:uid="{0DB6F9B3-DB38-4770-9FAF-181AF4118C16}" name="800 T"/>
    <tableColumn id="15" xr3:uid="{BF4C0DCE-6408-45D0-A6B8-91006EFFC8E7}" name="…"/>
    <tableColumn id="16" xr3:uid="{4E20E956-47B0-47CF-8D0F-A7122ABE73E0}" name="...." dataDxfId="909">
      <calculatedColumnFormula>Table25711131525233335373941454951535912141618202224262830323436404244[[#This Row],[…]]*1.5</calculatedColumnFormula>
    </tableColumn>
    <tableColumn id="18" xr3:uid="{6A492213-8038-4D8E-AEEE-874E68C1E89A}" name="....." dataDxfId="908">
      <calculatedColumnFormula>Table25711131525233335373941454951535912141618202224262830323436404244[[#This Row],[VO2]]/2</calculatedColumnFormula>
    </tableColumn>
    <tableColumn id="19" xr3:uid="{F618DEE9-B07F-4462-AB48-D24F38920C0F}" name="......" dataDxfId="907">
      <calculatedColumnFormula>Table25711131525233335373941454951535912141618202224262830323436404244[[#This Row],[I]]</calculatedColumnFormula>
    </tableColumn>
    <tableColumn id="24" xr3:uid="{C03CA96C-9BBD-42C7-94AE-F15E804AF2E8}" name="…....." dataDxfId="906">
      <calculatedColumnFormula>Table25711131525233335373941454951535912141618202224262830323436404244[[#This Row],[......]]*1.5</calculatedColumnFormula>
    </tableColumn>
    <tableColumn id="20" xr3:uid="{E4479A9A-D238-42BC-8AC2-2F50399C20FF}" name="........"/>
    <tableColumn id="21" xr3:uid="{BE31A6DF-F5EA-443B-9D83-66D1D7BA2DD6}" name="…......" dataDxfId="905"/>
    <tableColumn id="22" xr3:uid="{1E0CCF81-383E-436D-B01E-69EE16255EB6}" name="G" dataDxfId="90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FC47520-4241-400D-9376-4684DB8126D2}" name="Table146101214242232343638404448505248111315171921232527293133353941" displayName="Table146101214242232343638404448505248111315171921232527293133353941" ref="A1:V33" totalsRowShown="0" headerRowDxfId="903" dataDxfId="902" tableBorderDxfId="90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6074A15-ED5B-4E43-9BC1-5B5AD56607CE}" name="WO 3/1/2024" dataDxfId="900"/>
    <tableColumn id="4" xr3:uid="{3C238AEF-22F9-4B0B-BC65-9453558D9B0C}" name="5k" dataDxfId="899"/>
    <tableColumn id="5" xr3:uid="{2CA87A0C-1C5A-4341-A9B4-A9AD0C46C730}" name="Mile" dataDxfId="898"/>
    <tableColumn id="6" xr3:uid="{C0C12686-D000-43D3-B61E-66673E8F5C51}" name="3k" dataDxfId="897">
      <calculatedColumnFormula>B2*E2</calculatedColumnFormula>
    </tableColumn>
    <tableColumn id="7" xr3:uid="{831B0C20-A1E0-4C7E-A05D-9BF1C5DEBAA2}" name="Percent" dataDxfId="896"/>
    <tableColumn id="8" xr3:uid="{59B76E70-3BFB-4CBA-B356-9D9BFF99FE0E}" name="R" dataDxfId="895">
      <calculatedColumnFormula>C2/4</calculatedColumnFormula>
    </tableColumn>
    <tableColumn id="10" xr3:uid="{70DA44F2-C4BA-4960-A515-BB3AC7E8529C}" name="VO2" dataDxfId="894">
      <calculatedColumnFormula>D2/7.5</calculatedColumnFormula>
    </tableColumn>
    <tableColumn id="9" xr3:uid="{2DF0770D-1536-4BCB-91D0-3480AC0180DF}" name="I" dataDxfId="893">
      <calculatedColumnFormula>B2/12.5</calculatedColumnFormula>
    </tableColumn>
    <tableColumn id="11" xr3:uid="{FC6031A2-5BF3-4DFF-B4FD-B3774983F9B1}" name="10k" dataDxfId="892">
      <calculatedColumnFormula>G2/0.93</calculatedColumnFormula>
    </tableColumn>
    <tableColumn id="12" xr3:uid="{CDF8E2D1-61C5-4222-AB45-F5AB9EC1D16D}" name="CV" dataDxfId="891">
      <calculatedColumnFormula>G2/0.92</calculatedColumnFormula>
    </tableColumn>
    <tableColumn id="13" xr3:uid="{54BA3D7B-DEE1-4200-8E8A-AFD182A0CDBF}" name="Thresh" dataDxfId="890">
      <calculatedColumnFormula>G2/0.88</calculatedColumnFormula>
    </tableColumn>
    <tableColumn id="14" xr3:uid="{380D9413-009F-49D6-816D-75724CF9EE84}" name="Thresh L" dataDxfId="889">
      <calculatedColumnFormula>G2/0.84</calculatedColumnFormula>
    </tableColumn>
    <tableColumn id="21" xr3:uid="{76EB09AC-D802-4053-B289-76837FF7B930}" name="T (400)" dataDxfId="888">
      <calculatedColumnFormula>Table146101214242232343638404448505248111315171921232527293133353941[[#This Row],[Thresh]]</calculatedColumnFormula>
    </tableColumn>
    <tableColumn id="20" xr3:uid="{BFA5D639-DD11-44A8-AA36-076ADAC7A58C}" name="1k T" dataDxfId="887">
      <calculatedColumnFormula>Table146101214242232343638404448505248111315171921232527293133353941[[#This Row],[T (400)]]*2</calculatedColumnFormula>
    </tableColumn>
    <tableColumn id="19" xr3:uid="{C73487CD-0582-4DB7-ABA6-BEEE011BB5FA}" name="200 R" dataDxfId="886">
      <calculatedColumnFormula>Table146101214242232343638404448505248111315171921232527293133353941[[#This Row],[CV]]</calculatedColumnFormula>
    </tableColumn>
    <tableColumn id="18" xr3:uid="{488098B1-0FAD-4411-A233-4B65675A61A9}" name="...." dataDxfId="885">
      <calculatedColumnFormula>Table146101214242232343638404448505248111315171921232527293133353941[[#This Row],[200 R]]*2</calculatedColumnFormula>
    </tableColumn>
    <tableColumn id="17" xr3:uid="{4FF650FF-E71F-436F-AEBF-DD1120DE7913}" name="....." dataDxfId="884">
      <calculatedColumnFormula>Table146101214242232343638404448505248111315171921232527293133353941[[#This Row],[I]]</calculatedColumnFormula>
    </tableColumn>
    <tableColumn id="15" xr3:uid="{5F085CE9-4318-4637-9B81-1630051FEE52}" name="......" dataDxfId="883">
      <calculatedColumnFormula>Table146101214242232343638404448505248111315171921232527293133353941[[#This Row],[.....]]*2</calculatedColumnFormula>
    </tableColumn>
    <tableColumn id="16" xr3:uid="{9E3C6809-816D-4763-89BF-7F34946D1D78}" name="......." dataDxfId="882">
      <calculatedColumnFormula>Table146101214242232343638404448505248111315171921232527293133353941[[#This Row],[VO2]]</calculatedColumnFormula>
    </tableColumn>
    <tableColumn id="22" xr3:uid="{219EAEE4-5D10-47F1-8510-D22610C71B8C}" name="........" dataDxfId="881"/>
    <tableColumn id="23" xr3:uid="{254CE909-750E-4068-94BC-864976081EBC}" name="…......" dataDxfId="880"/>
    <tableColumn id="24" xr3:uid="{47E9CABB-9B96-408E-AD34-FE269AFAC17B}" name="G" dataDxfId="87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307548E-AED6-431F-A574-F7F34826A284}" name="Table257111315252333353739414549515359121416182022242628303234364042" displayName="Table257111315252333353739414549515359121416182022242628303234364042" ref="A34:V99" totalsRowShown="0" headerRowDxfId="878" tableBorderDxfId="87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7EF59E6-B2EA-494A-9A1F-E929456DC488}" name="WO 3/1/2024" dataDxfId="876"/>
    <tableColumn id="2" xr3:uid="{DED0EC2C-78CD-4529-9987-6D8394E84A74}" name="5k" dataDxfId="875"/>
    <tableColumn id="3" xr3:uid="{1AA26036-1B31-4F67-B374-CE490A0CE610}" name="Mile" dataDxfId="874"/>
    <tableColumn id="4" xr3:uid="{37B2E63A-0096-4ED6-B885-F39CE4EAB166}" name="3k" dataDxfId="873">
      <calculatedColumnFormula>B35*E35</calculatedColumnFormula>
    </tableColumn>
    <tableColumn id="5" xr3:uid="{F3BCF06E-BADC-4C5D-B9DF-825EEA9DEB64}" name="Percent" dataDxfId="872"/>
    <tableColumn id="6" xr3:uid="{DC9D7D41-020F-4618-9DB7-F7411B890D0F}" name="R" dataDxfId="871">
      <calculatedColumnFormula>C35/4</calculatedColumnFormula>
    </tableColumn>
    <tableColumn id="7" xr3:uid="{91966406-4BCD-4786-8A47-9D37E2C51122}" name="VO2" dataDxfId="870">
      <calculatedColumnFormula>D35/7.5</calculatedColumnFormula>
    </tableColumn>
    <tableColumn id="8" xr3:uid="{6C3A8CC2-1AC8-4A5D-A20D-BD6E61FA6984}" name="I" dataDxfId="869">
      <calculatedColumnFormula>B35/12.5</calculatedColumnFormula>
    </tableColumn>
    <tableColumn id="9" xr3:uid="{A70BF9AC-72CB-4EFF-BE21-BB3208C97AED}" name="10k" dataDxfId="868">
      <calculatedColumnFormula>G35/0.93</calculatedColumnFormula>
    </tableColumn>
    <tableColumn id="10" xr3:uid="{23A4E799-5D1F-4CAA-8B28-D93E32558226}" name="CV" dataDxfId="867">
      <calculatedColumnFormula>G35/0.92</calculatedColumnFormula>
    </tableColumn>
    <tableColumn id="11" xr3:uid="{97009742-7055-4560-9445-68651B996B2F}" name="Thresh" dataDxfId="866">
      <calculatedColumnFormula>G35/0.88</calculatedColumnFormula>
    </tableColumn>
    <tableColumn id="12" xr3:uid="{B5E34550-6E80-4F20-9ECC-04BF48F6DF56}" name="Thresh L" dataDxfId="865">
      <calculatedColumnFormula>G35/0.84</calculatedColumnFormula>
    </tableColumn>
    <tableColumn id="13" xr3:uid="{0F585FFA-84CC-4888-9A2F-DDEE4A4C74F5}" name="T (400)" dataDxfId="864"/>
    <tableColumn id="14" xr3:uid="{CC6312E4-77A0-431E-93F0-C7EAAA361BC9}" name="1k T"/>
    <tableColumn id="15" xr3:uid="{7EDA4167-CB7E-44F3-8E99-635B227E3278}" name="200 R"/>
    <tableColumn id="16" xr3:uid="{07753BF1-2C80-4D28-B9F0-8B48CAAEDCD9}" name="...." dataDxfId="863">
      <calculatedColumnFormula>Table257111315252333353739414549515359121416182022242628303234364042[[#This Row],[200 R]]*1.5</calculatedColumnFormula>
    </tableColumn>
    <tableColumn id="18" xr3:uid="{470528F3-BF9A-4EB7-9A5F-509D47DABB9D}" name="....." dataDxfId="862">
      <calculatedColumnFormula>Table257111315252333353739414549515359121416182022242628303234364042[[#This Row],[VO2]]/2</calculatedColumnFormula>
    </tableColumn>
    <tableColumn id="19" xr3:uid="{0DA690B0-0CDC-4820-B9BE-D9BA9B352C87}" name="......" dataDxfId="861">
      <calculatedColumnFormula>Table257111315252333353739414549515359121416182022242628303234364042[[#This Row],[I]]</calculatedColumnFormula>
    </tableColumn>
    <tableColumn id="24" xr3:uid="{1840D0DB-DE5D-4FDA-8395-27C5CE76A4D5}" name="…....." dataDxfId="860">
      <calculatedColumnFormula>Table257111315252333353739414549515359121416182022242628303234364042[[#This Row],[......]]*1.5</calculatedColumnFormula>
    </tableColumn>
    <tableColumn id="20" xr3:uid="{F48B59E6-ED10-4421-9309-3AAB7B73A126}" name="........"/>
    <tableColumn id="21" xr3:uid="{4A65B348-D6BC-445D-9948-ABF80D854A27}" name="…......" dataDxfId="859"/>
    <tableColumn id="22" xr3:uid="{2F4B40E1-5159-424B-9002-02860D7DE738}" name="G" dataDxfId="85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E476C7-74B8-434D-AF5A-D6F741A7F634}" name="Table1461012142422323436384044485052481113151719212325272931333539" displayName="Table1461012142422323436384044485052481113151719212325272931333539" ref="A1:V33" totalsRowShown="0" headerRowDxfId="857" dataDxfId="856" tableBorderDxfId="85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140EADA-318D-4E09-B2FF-83B01F6C4B07}" name="WO 2/27/2024" dataDxfId="854"/>
    <tableColumn id="4" xr3:uid="{0A800495-81F8-4772-97CD-0F51DEC5A612}" name="5k" dataDxfId="853"/>
    <tableColumn id="5" xr3:uid="{61E32FC4-B901-4B16-A58D-F353778CA227}" name="Mile" dataDxfId="852"/>
    <tableColumn id="6" xr3:uid="{92F3B692-5F5E-44F0-94E7-21BC76796EDC}" name="3k" dataDxfId="851">
      <calculatedColumnFormula>B2*E2</calculatedColumnFormula>
    </tableColumn>
    <tableColumn id="7" xr3:uid="{E0EC4D18-35F7-40AB-8C6E-4E5F7C25CCC8}" name="Percent" dataDxfId="850"/>
    <tableColumn id="8" xr3:uid="{B18C6295-3288-4931-B62E-D1935CF206A3}" name="R" dataDxfId="849">
      <calculatedColumnFormula>C2/4</calculatedColumnFormula>
    </tableColumn>
    <tableColumn id="10" xr3:uid="{C179BD5A-69E3-4E57-8C67-770424E9E587}" name="VO2" dataDxfId="848">
      <calculatedColumnFormula>D2/7.5</calculatedColumnFormula>
    </tableColumn>
    <tableColumn id="9" xr3:uid="{37BAA4B1-E95A-41D5-9A9B-317072AFC564}" name="I" dataDxfId="847">
      <calculatedColumnFormula>B2/12.5</calculatedColumnFormula>
    </tableColumn>
    <tableColumn id="11" xr3:uid="{3CF844DB-C10E-4766-A783-E2AC1C52F30A}" name="10k" dataDxfId="846">
      <calculatedColumnFormula>G2/0.93</calculatedColumnFormula>
    </tableColumn>
    <tableColumn id="12" xr3:uid="{7E011169-4B8B-492A-9B99-F877C7DD6089}" name="CV" dataDxfId="845">
      <calculatedColumnFormula>G2/0.92</calculatedColumnFormula>
    </tableColumn>
    <tableColumn id="13" xr3:uid="{20072708-2888-4BF1-8FC6-5E8792054BD3}" name="Thresh" dataDxfId="844">
      <calculatedColumnFormula>G2/0.88</calculatedColumnFormula>
    </tableColumn>
    <tableColumn id="14" xr3:uid="{8BE33FE8-4132-4388-8B7D-7A1A6036C6AE}" name="Thresh L" dataDxfId="843">
      <calculatedColumnFormula>G2/0.84</calculatedColumnFormula>
    </tableColumn>
    <tableColumn id="21" xr3:uid="{9129457D-46DA-4047-A647-D751909A666B}" name="T (400)" dataDxfId="842">
      <calculatedColumnFormula>Table1461012142422323436384044485052481113151719212325272931333539[[#This Row],[Thresh]]</calculatedColumnFormula>
    </tableColumn>
    <tableColumn id="20" xr3:uid="{1DE51016-2AD2-42E1-A92F-A3D949A64447}" name="1k T" dataDxfId="841">
      <calculatedColumnFormula>Table1461012142422323436384044485052481113151719212325272931333539[[#This Row],[T (400)]]*2</calculatedColumnFormula>
    </tableColumn>
    <tableColumn id="19" xr3:uid="{5A94B28E-0CCF-4652-A888-CD88FCF20589}" name="200 R" dataDxfId="840">
      <calculatedColumnFormula>Table1461012142422323436384044485052481113151719212325272931333539[[#This Row],[CV]]</calculatedColumnFormula>
    </tableColumn>
    <tableColumn id="18" xr3:uid="{4202A40B-7F9A-4341-BD9E-F3563E1384F7}" name="...." dataDxfId="839">
      <calculatedColumnFormula>Table1461012142422323436384044485052481113151719212325272931333539[[#This Row],[200 R]]*2</calculatedColumnFormula>
    </tableColumn>
    <tableColumn id="17" xr3:uid="{613A394A-9C92-4CF3-BACB-79960B154A10}" name="....." dataDxfId="838">
      <calculatedColumnFormula>Table1461012142422323436384044485052481113151719212325272931333539[[#This Row],[I]]</calculatedColumnFormula>
    </tableColumn>
    <tableColumn id="15" xr3:uid="{DF236252-F712-4ACF-A405-760BC44F74A9}" name="......" dataDxfId="837">
      <calculatedColumnFormula>Table1461012142422323436384044485052481113151719212325272931333539[[#This Row],[.....]]*2</calculatedColumnFormula>
    </tableColumn>
    <tableColumn id="16" xr3:uid="{89C99D39-28AF-4F17-B253-51C64A1E9EFE}" name="......." dataDxfId="836">
      <calculatedColumnFormula>Table1461012142422323436384044485052481113151719212325272931333539[[#This Row],[VO2]]</calculatedColumnFormula>
    </tableColumn>
    <tableColumn id="22" xr3:uid="{95249E89-A684-4EBA-B776-23C7D6D54909}" name="........" dataDxfId="835"/>
    <tableColumn id="23" xr3:uid="{E87B7F99-A65D-4619-B350-5B407ABB906B}" name="…......" dataDxfId="834"/>
    <tableColumn id="24" xr3:uid="{4AF35964-DB34-4196-98A9-6077E4A8D12B}" name="G" dataDxfId="83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4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4521-3E0D-4BEE-8867-781066CAEC0B}">
  <sheetPr>
    <pageSetUpPr fitToPage="1"/>
  </sheetPr>
  <dimension ref="A1:Y99"/>
  <sheetViews>
    <sheetView tabSelected="1" topLeftCell="A38" workbookViewId="0">
      <selection activeCell="T46" sqref="T46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453125" bestFit="1" customWidth="1"/>
  </cols>
  <sheetData>
    <row r="1" spans="1:25" ht="14.5" customHeight="1" x14ac:dyDescent="0.35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22</v>
      </c>
    </row>
    <row r="2" spans="1:25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9" si="0">C2/4</f>
        <v>9.2592592592592585E-4</v>
      </c>
      <c r="G2" s="9">
        <f t="shared" ref="G2:G19" si="1">D2/7.5</f>
        <v>1.0100694444444445E-3</v>
      </c>
      <c r="H2" s="9">
        <f t="shared" ref="H2:H19" si="2">B2/12.5</f>
        <v>1.0416666666666667E-3</v>
      </c>
      <c r="I2" s="9">
        <f t="shared" ref="I2:I19" si="3">G2/0.93</f>
        <v>1.0860961768219832E-3</v>
      </c>
      <c r="J2" s="9">
        <f t="shared" ref="J2:J19" si="4">G2/0.92</f>
        <v>1.0979015700483092E-3</v>
      </c>
      <c r="K2" s="9">
        <f t="shared" ref="K2:K19" si="5">G2/0.88</f>
        <v>1.1478061868686869E-3</v>
      </c>
      <c r="L2" s="9">
        <f t="shared" ref="L2:L19" si="6">G2/0.84</f>
        <v>1.2024636243386244E-3</v>
      </c>
      <c r="M2" s="11">
        <f>Table146101214242232343638404448505248111315171921232527293133353941434547[[#This Row],[Thresh]]</f>
        <v>1.1478061868686869E-3</v>
      </c>
      <c r="N2" s="9">
        <f>Table146101214242232343638404448505248111315171921232527293133353941434547[[#This Row],[Thresh]]*2</f>
        <v>2.2956123737373738E-3</v>
      </c>
      <c r="O2" s="12">
        <v>3.8194444444444446E-4</v>
      </c>
      <c r="P2" s="9">
        <v>3.9351851851851852E-4</v>
      </c>
      <c r="Q2" s="12">
        <v>4.1666666666666669E-4</v>
      </c>
      <c r="R2" s="9">
        <v>4.0509259259259258E-4</v>
      </c>
      <c r="S2" s="12"/>
      <c r="T2" s="9"/>
      <c r="U2" s="9"/>
      <c r="V2" s="13" t="s">
        <v>24</v>
      </c>
      <c r="W2" s="108"/>
      <c r="Y2" s="103"/>
    </row>
    <row r="3" spans="1:25" ht="17.149999999999999" customHeight="1" x14ac:dyDescent="0.35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Table146101214242232343638404448505248111315171921232527293133353941434547[[#This Row],[Thresh]]</f>
        <v>1.1478061868686869E-3</v>
      </c>
      <c r="N3" s="9">
        <f>Table146101214242232343638404448505248111315171921232527293133353941434547[[#This Row],[Thresh]]*2</f>
        <v>2.2956123737373738E-3</v>
      </c>
      <c r="O3" s="12">
        <v>3.7615740740740741E-4</v>
      </c>
      <c r="P3" s="9">
        <v>3.8773148148148147E-4</v>
      </c>
      <c r="Q3" s="12">
        <v>4.1087962962962964E-4</v>
      </c>
      <c r="R3" s="9">
        <v>3.9930555555555558E-4</v>
      </c>
      <c r="S3" s="12"/>
      <c r="T3" s="9"/>
      <c r="U3" s="9"/>
      <c r="V3" s="13" t="s">
        <v>24</v>
      </c>
      <c r="W3" s="108"/>
    </row>
    <row r="4" spans="1:25" ht="17.149999999999999" customHeight="1" x14ac:dyDescent="0.35">
      <c r="A4" s="8" t="s">
        <v>26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>
        <f>Table146101214242232343638404448505248111315171921232527293133353941434547[[#This Row],[Thresh]]</f>
        <v>1.0712857744107744E-3</v>
      </c>
      <c r="N4" s="9">
        <f>Table146101214242232343638404448505248111315171921232527293133353941434547[[#This Row],[Thresh]]*2</f>
        <v>2.1425715488215488E-3</v>
      </c>
      <c r="O4" s="12">
        <v>3.6458333333333335E-4</v>
      </c>
      <c r="P4" s="9">
        <v>3.7615740740740741E-4</v>
      </c>
      <c r="Q4" s="12">
        <v>3.9930555555555558E-4</v>
      </c>
      <c r="R4" s="9">
        <v>3.8773148148148147E-4</v>
      </c>
      <c r="S4" s="12"/>
      <c r="T4" s="9"/>
      <c r="U4" s="9"/>
      <c r="V4" s="13" t="s">
        <v>24</v>
      </c>
      <c r="W4" s="108"/>
      <c r="Y4" s="102"/>
    </row>
    <row r="5" spans="1:25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5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27</v>
      </c>
      <c r="P6" s="15"/>
      <c r="Q6" s="15"/>
      <c r="R6" s="101"/>
      <c r="S6" s="15"/>
      <c r="T6" s="15"/>
      <c r="U6" s="15"/>
      <c r="V6" s="17"/>
      <c r="W6" s="108"/>
    </row>
    <row r="7" spans="1:25" ht="17.149999999999999" customHeight="1" x14ac:dyDescent="0.35">
      <c r="A7" s="8" t="s">
        <v>28</v>
      </c>
      <c r="B7" s="9">
        <v>1.1689814814814814E-2</v>
      </c>
      <c r="C7" s="9">
        <v>3.3564814814814811E-3</v>
      </c>
      <c r="D7" s="9">
        <f t="shared" ref="D7:D19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Table146101214242232343638404448505248111315171921232527293133353941434547[[#This Row],[Thresh]]</f>
        <v>1.0304748877665545E-3</v>
      </c>
      <c r="N7" s="9">
        <f>Table146101214242232343638404448505248111315171921232527293133353941434547[[#This Row],[Thresh]]*2</f>
        <v>2.0609497755331089E-3</v>
      </c>
      <c r="O7" s="12">
        <f>Table146101214242232343638404448505248111315171921232527293133353941434547[[#This Row],[R]]</f>
        <v>8.3912037037037028E-4</v>
      </c>
      <c r="P7" s="9"/>
      <c r="Q7" s="12"/>
      <c r="R7" s="9"/>
      <c r="S7" s="12"/>
      <c r="T7" s="12" t="s">
        <v>29</v>
      </c>
      <c r="U7" s="9"/>
      <c r="V7" s="13" t="s">
        <v>30</v>
      </c>
      <c r="W7" s="108"/>
    </row>
    <row r="8" spans="1:25" ht="17.149999999999999" customHeight="1" x14ac:dyDescent="0.35">
      <c r="A8" s="8" t="s">
        <v>31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Table146101214242232343638404448505248111315171921232527293133353941434547[[#This Row],[Thresh]]</f>
        <v>1.0304748877665545E-3</v>
      </c>
      <c r="N8" s="9">
        <f>Table146101214242232343638404448505248111315171921232527293133353941434547[[#This Row],[Thresh]]*2</f>
        <v>2.0609497755331089E-3</v>
      </c>
      <c r="O8" s="12">
        <f>Table146101214242232343638404448505248111315171921232527293133353941434547[[#This Row],[R]]</f>
        <v>8.3912037037037028E-4</v>
      </c>
      <c r="P8" s="9"/>
      <c r="Q8" s="12"/>
      <c r="R8" s="9"/>
      <c r="S8" s="12"/>
      <c r="T8" s="12" t="s">
        <v>29</v>
      </c>
      <c r="U8" s="9"/>
      <c r="V8" s="13" t="s">
        <v>30</v>
      </c>
      <c r="W8" s="108"/>
    </row>
    <row r="9" spans="1:25" ht="17.149999999999999" customHeight="1" x14ac:dyDescent="0.35">
      <c r="A9" s="8" t="s">
        <v>32</v>
      </c>
      <c r="B9" s="9">
        <v>1.238425925925926E-2</v>
      </c>
      <c r="C9" s="9">
        <v>3.5879629629629629E-3</v>
      </c>
      <c r="D9" s="9">
        <f t="shared" si="7"/>
        <v>7.2051620370370368E-3</v>
      </c>
      <c r="E9" s="10">
        <v>0.58179999999999998</v>
      </c>
      <c r="F9" s="9">
        <f t="shared" si="0"/>
        <v>8.9699074074074073E-4</v>
      </c>
      <c r="G9" s="9">
        <f t="shared" si="1"/>
        <v>9.6068827160493821E-4</v>
      </c>
      <c r="H9" s="9">
        <f t="shared" si="2"/>
        <v>9.9074074074074082E-4</v>
      </c>
      <c r="I9" s="9">
        <f t="shared" si="3"/>
        <v>1.0329981415106862E-3</v>
      </c>
      <c r="J9" s="9">
        <f t="shared" si="4"/>
        <v>1.0442263821792807E-3</v>
      </c>
      <c r="K9" s="9">
        <f t="shared" si="5"/>
        <v>1.0916912177328843E-3</v>
      </c>
      <c r="L9" s="9">
        <f t="shared" si="6"/>
        <v>1.1436765138154027E-3</v>
      </c>
      <c r="M9" s="11">
        <f>Table146101214242232343638404448505248111315171921232527293133353941434547[[#This Row],[Thresh]]</f>
        <v>1.0916912177328843E-3</v>
      </c>
      <c r="N9" s="9">
        <f>Table146101214242232343638404448505248111315171921232527293133353941434547[[#This Row],[Thresh]]*2</f>
        <v>2.1833824354657687E-3</v>
      </c>
      <c r="O9" s="12">
        <f>Table146101214242232343638404448505248111315171921232527293133353941434547[[#This Row],[R]]</f>
        <v>8.9699074074074073E-4</v>
      </c>
      <c r="P9" s="12"/>
      <c r="Q9" s="9"/>
      <c r="R9" s="9"/>
      <c r="S9" s="12"/>
      <c r="T9" s="12"/>
      <c r="U9" s="9"/>
      <c r="V9" s="13" t="s">
        <v>30</v>
      </c>
      <c r="W9" s="108"/>
    </row>
    <row r="10" spans="1:25" ht="17.149999999999999" customHeight="1" x14ac:dyDescent="0.35">
      <c r="A10" s="8" t="s">
        <v>33</v>
      </c>
      <c r="B10" s="9">
        <v>1.238425925925926E-2</v>
      </c>
      <c r="C10" s="9">
        <v>3.645833333333333E-3</v>
      </c>
      <c r="D10" s="9">
        <f t="shared" si="7"/>
        <v>7.2051620370370368E-3</v>
      </c>
      <c r="E10" s="10">
        <v>0.58179999999999998</v>
      </c>
      <c r="F10" s="9">
        <f t="shared" si="0"/>
        <v>9.1145833333333324E-4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Table146101214242232343638404448505248111315171921232527293133353941434547[[#This Row],[Thresh]]</f>
        <v>1.0916912177328843E-3</v>
      </c>
      <c r="N10" s="9">
        <f>Table146101214242232343638404448505248111315171921232527293133353941434547[[#This Row],[Thresh]]*2</f>
        <v>2.1833824354657687E-3</v>
      </c>
      <c r="O10" s="12">
        <f>Table146101214242232343638404448505248111315171921232527293133353941434547[[#This Row],[R]]</f>
        <v>9.1145833333333324E-4</v>
      </c>
      <c r="P10" s="9"/>
      <c r="Q10" s="12"/>
      <c r="R10" s="12"/>
      <c r="S10" s="12"/>
      <c r="T10" s="12"/>
      <c r="U10" s="9"/>
      <c r="V10" s="13" t="s">
        <v>34</v>
      </c>
      <c r="W10" s="104" t="s">
        <v>35</v>
      </c>
    </row>
    <row r="11" spans="1:25" ht="17.149999999999999" customHeight="1" x14ac:dyDescent="0.35">
      <c r="A11" s="8" t="s">
        <v>36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Table146101214242232343638404448505248111315171921232527293133353941434547[[#This Row],[Thresh]]</f>
        <v>1.1478061868686869E-3</v>
      </c>
      <c r="N11" s="9">
        <f>Table146101214242232343638404448505248111315171921232527293133353941434547[[#This Row],[Thresh]]*2</f>
        <v>2.2956123737373738E-3</v>
      </c>
      <c r="O11" s="12">
        <f>Table146101214242232343638404448505248111315171921232527293133353941434547[[#This Row],[R]]</f>
        <v>9.4039351851851847E-4</v>
      </c>
      <c r="P11" s="9"/>
      <c r="Q11" s="12"/>
      <c r="R11" s="9"/>
      <c r="S11" s="12"/>
      <c r="T11" s="9"/>
      <c r="U11" s="9"/>
      <c r="V11" s="13" t="s">
        <v>34</v>
      </c>
      <c r="W11" s="104"/>
    </row>
    <row r="12" spans="1:25" ht="17.149999999999999" customHeight="1" x14ac:dyDescent="0.35">
      <c r="A12" s="8" t="s">
        <v>37</v>
      </c>
      <c r="B12" s="9">
        <v>1.238425925925926E-2</v>
      </c>
      <c r="C12" s="9">
        <v>3.8194444444444443E-3</v>
      </c>
      <c r="D12" s="9">
        <f t="shared" si="7"/>
        <v>7.2051620370370368E-3</v>
      </c>
      <c r="E12" s="10">
        <v>0.58179999999999998</v>
      </c>
      <c r="F12" s="9">
        <f t="shared" si="0"/>
        <v>9.5486111111111108E-4</v>
      </c>
      <c r="G12" s="9">
        <f t="shared" si="1"/>
        <v>9.6068827160493821E-4</v>
      </c>
      <c r="H12" s="9">
        <f t="shared" si="2"/>
        <v>9.9074074074074082E-4</v>
      </c>
      <c r="I12" s="9">
        <f t="shared" si="3"/>
        <v>1.0329981415106862E-3</v>
      </c>
      <c r="J12" s="9">
        <f t="shared" si="4"/>
        <v>1.0442263821792807E-3</v>
      </c>
      <c r="K12" s="9">
        <f t="shared" si="5"/>
        <v>1.0916912177328843E-3</v>
      </c>
      <c r="L12" s="9">
        <f t="shared" si="6"/>
        <v>1.1436765138154027E-3</v>
      </c>
      <c r="M12" s="11">
        <f>Table146101214242232343638404448505248111315171921232527293133353941434547[[#This Row],[Thresh]]</f>
        <v>1.0916912177328843E-3</v>
      </c>
      <c r="N12" s="9">
        <f>Table146101214242232343638404448505248111315171921232527293133353941434547[[#This Row],[Thresh]]*2</f>
        <v>2.1833824354657687E-3</v>
      </c>
      <c r="O12" s="12">
        <f>Table146101214242232343638404448505248111315171921232527293133353941434547[[#This Row],[R]]</f>
        <v>9.5486111111111108E-4</v>
      </c>
      <c r="P12" s="12"/>
      <c r="Q12" s="9"/>
      <c r="R12" s="12"/>
      <c r="S12" s="12"/>
      <c r="T12" s="12"/>
      <c r="U12" s="9"/>
      <c r="V12" s="13" t="s">
        <v>34</v>
      </c>
      <c r="W12" s="104"/>
    </row>
    <row r="13" spans="1:25" ht="17.149999999999999" customHeight="1" x14ac:dyDescent="0.35">
      <c r="A13" s="8" t="s">
        <v>38</v>
      </c>
      <c r="B13" s="9">
        <v>1.238425925925926E-2</v>
      </c>
      <c r="C13" s="9">
        <v>3.8194444444444443E-3</v>
      </c>
      <c r="D13" s="9">
        <f t="shared" si="7"/>
        <v>7.2051620370370368E-3</v>
      </c>
      <c r="E13" s="10">
        <v>0.58179999999999998</v>
      </c>
      <c r="F13" s="9">
        <f t="shared" si="0"/>
        <v>9.5486111111111108E-4</v>
      </c>
      <c r="G13" s="9">
        <f t="shared" si="1"/>
        <v>9.6068827160493821E-4</v>
      </c>
      <c r="H13" s="9">
        <f t="shared" si="2"/>
        <v>9.9074074074074082E-4</v>
      </c>
      <c r="I13" s="9">
        <f t="shared" si="3"/>
        <v>1.0329981415106862E-3</v>
      </c>
      <c r="J13" s="9">
        <f t="shared" si="4"/>
        <v>1.0442263821792807E-3</v>
      </c>
      <c r="K13" s="9">
        <f t="shared" si="5"/>
        <v>1.0916912177328843E-3</v>
      </c>
      <c r="L13" s="9">
        <f t="shared" si="6"/>
        <v>1.1436765138154027E-3</v>
      </c>
      <c r="M13" s="11">
        <f>Table146101214242232343638404448505248111315171921232527293133353941434547[[#This Row],[Thresh]]</f>
        <v>1.0916912177328843E-3</v>
      </c>
      <c r="N13" s="9">
        <f>Table146101214242232343638404448505248111315171921232527293133353941434547[[#This Row],[Thresh]]*2</f>
        <v>2.1833824354657687E-3</v>
      </c>
      <c r="O13" s="12">
        <f>Table146101214242232343638404448505248111315171921232527293133353941434547[[#This Row],[R]]</f>
        <v>9.5486111111111108E-4</v>
      </c>
      <c r="P13" s="12"/>
      <c r="Q13" s="9"/>
      <c r="R13" s="9"/>
      <c r="S13" s="12"/>
      <c r="T13" s="9"/>
      <c r="U13" s="9"/>
      <c r="V13" s="13" t="s">
        <v>30</v>
      </c>
      <c r="W13" s="104"/>
    </row>
    <row r="14" spans="1:25" ht="17.149999999999999" customHeight="1" x14ac:dyDescent="0.35">
      <c r="A14" s="8" t="s">
        <v>39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Table146101214242232343638404448505248111315171921232527293133353941434547[[#This Row],[Thresh]]</f>
        <v>1.1478061868686869E-3</v>
      </c>
      <c r="N14" s="9">
        <f>Table146101214242232343638404448505248111315171921232527293133353941434547[[#This Row],[Thresh]]*2</f>
        <v>2.2956123737373738E-3</v>
      </c>
      <c r="O14" s="12">
        <f>Table146101214242232343638404448505248111315171921232527293133353941434547[[#This Row],[R]]</f>
        <v>9.5486111111111108E-4</v>
      </c>
      <c r="P14" s="12"/>
      <c r="Q14" s="9"/>
      <c r="R14" s="9"/>
      <c r="S14" s="12"/>
      <c r="T14" s="9"/>
      <c r="U14" s="9"/>
      <c r="V14" s="13" t="s">
        <v>30</v>
      </c>
      <c r="W14" s="104"/>
    </row>
    <row r="15" spans="1:25" ht="17.149999999999999" customHeight="1" x14ac:dyDescent="0.35">
      <c r="A15" s="8" t="s">
        <v>40</v>
      </c>
      <c r="B15" s="9">
        <v>1.3020833333333334E-2</v>
      </c>
      <c r="C15" s="9">
        <v>3.8194444444444443E-3</v>
      </c>
      <c r="D15" s="9">
        <f t="shared" si="7"/>
        <v>7.5755208333333334E-3</v>
      </c>
      <c r="E15" s="10">
        <v>0.58179999999999998</v>
      </c>
      <c r="F15" s="9">
        <f t="shared" si="0"/>
        <v>9.5486111111111108E-4</v>
      </c>
      <c r="G15" s="9">
        <f t="shared" si="1"/>
        <v>1.0100694444444445E-3</v>
      </c>
      <c r="H15" s="9">
        <f t="shared" si="2"/>
        <v>1.0416666666666667E-3</v>
      </c>
      <c r="I15" s="9">
        <f t="shared" si="3"/>
        <v>1.0860961768219832E-3</v>
      </c>
      <c r="J15" s="9">
        <f t="shared" si="4"/>
        <v>1.0979015700483092E-3</v>
      </c>
      <c r="K15" s="9">
        <f t="shared" si="5"/>
        <v>1.1478061868686869E-3</v>
      </c>
      <c r="L15" s="9">
        <f t="shared" si="6"/>
        <v>1.2024636243386244E-3</v>
      </c>
      <c r="M15" s="11">
        <f>Table146101214242232343638404448505248111315171921232527293133353941434547[[#This Row],[Thresh]]</f>
        <v>1.1478061868686869E-3</v>
      </c>
      <c r="N15" s="9">
        <f>Table146101214242232343638404448505248111315171921232527293133353941434547[[#This Row],[Thresh]]*2</f>
        <v>2.2956123737373738E-3</v>
      </c>
      <c r="O15" s="12">
        <f>Table146101214242232343638404448505248111315171921232527293133353941434547[[#This Row],[R]]</f>
        <v>9.5486111111111108E-4</v>
      </c>
      <c r="P15" s="12"/>
      <c r="Q15" s="9"/>
      <c r="R15" s="9"/>
      <c r="S15" s="12"/>
      <c r="T15" s="9"/>
      <c r="U15" s="9"/>
      <c r="V15" s="13" t="s">
        <v>34</v>
      </c>
      <c r="W15" s="104"/>
    </row>
    <row r="16" spans="1:25" ht="17.149999999999999" customHeight="1" x14ac:dyDescent="0.35">
      <c r="A16" s="8" t="s">
        <v>41</v>
      </c>
      <c r="B16" s="9">
        <v>1.3541666666666667E-2</v>
      </c>
      <c r="C16" s="9">
        <v>4.0509259259259257E-3</v>
      </c>
      <c r="D16" s="9">
        <f t="shared" si="7"/>
        <v>7.8785416666666674E-3</v>
      </c>
      <c r="E16" s="10">
        <v>0.58179999999999998</v>
      </c>
      <c r="F16" s="9">
        <f t="shared" si="0"/>
        <v>1.0127314814814814E-3</v>
      </c>
      <c r="G16" s="9">
        <f t="shared" si="1"/>
        <v>1.0504722222222224E-3</v>
      </c>
      <c r="H16" s="9">
        <f t="shared" si="2"/>
        <v>1.0833333333333333E-3</v>
      </c>
      <c r="I16" s="9">
        <f t="shared" si="3"/>
        <v>1.1295400238948627E-3</v>
      </c>
      <c r="J16" s="9">
        <f t="shared" si="4"/>
        <v>1.1418176328502417E-3</v>
      </c>
      <c r="K16" s="9">
        <f t="shared" si="5"/>
        <v>1.1937184343434346E-3</v>
      </c>
      <c r="L16" s="9">
        <f t="shared" si="6"/>
        <v>1.2505621693121695E-3</v>
      </c>
      <c r="M16" s="11">
        <f>Table146101214242232343638404448505248111315171921232527293133353941434547[[#This Row],[Thresh]]</f>
        <v>1.1937184343434346E-3</v>
      </c>
      <c r="N16" s="9">
        <f>Table146101214242232343638404448505248111315171921232527293133353941434547[[#This Row],[Thresh]]*2</f>
        <v>2.3874368686868691E-3</v>
      </c>
      <c r="O16" s="12">
        <f>Table146101214242232343638404448505248111315171921232527293133353941434547[[#This Row],[R]]</f>
        <v>1.0127314814814814E-3</v>
      </c>
      <c r="P16" s="9"/>
      <c r="Q16" s="12"/>
      <c r="R16" s="9"/>
      <c r="S16" s="12"/>
      <c r="T16" s="9"/>
      <c r="U16" s="9"/>
      <c r="V16" s="13" t="s">
        <v>30</v>
      </c>
      <c r="W16" s="104"/>
    </row>
    <row r="17" spans="1:23" ht="17.149999999999999" customHeight="1" x14ac:dyDescent="0.35">
      <c r="A17" s="8" t="s">
        <v>42</v>
      </c>
      <c r="B17" s="9">
        <v>1.4236111111111111E-2</v>
      </c>
      <c r="C17" s="9">
        <v>4.0509259259259257E-3</v>
      </c>
      <c r="D17" s="9">
        <f t="shared" si="7"/>
        <v>8.2825694444444448E-3</v>
      </c>
      <c r="E17" s="10">
        <v>0.58179999999999998</v>
      </c>
      <c r="F17" s="9">
        <f t="shared" si="0"/>
        <v>1.0127314814814814E-3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Table146101214242232343638404448505248111315171921232527293133353941434547[[#This Row],[Thresh]]</f>
        <v>1.2549347643097644E-3</v>
      </c>
      <c r="N17" s="9">
        <f>Table146101214242232343638404448505248111315171921232527293133353941434547[[#This Row],[Thresh]]*2</f>
        <v>2.5098695286195289E-3</v>
      </c>
      <c r="O17" s="12">
        <f>Table146101214242232343638404448505248111315171921232527293133353941434547[[#This Row],[R]]</f>
        <v>1.0127314814814814E-3</v>
      </c>
      <c r="P17" s="9"/>
      <c r="Q17" s="12"/>
      <c r="R17" s="9"/>
      <c r="S17" s="12"/>
      <c r="T17" s="9"/>
      <c r="U17" s="9"/>
      <c r="V17" s="13" t="s">
        <v>30</v>
      </c>
      <c r="W17" s="104"/>
    </row>
    <row r="18" spans="1:23" ht="17.149999999999999" customHeight="1" x14ac:dyDescent="0.35">
      <c r="A18" s="8" t="s">
        <v>43</v>
      </c>
      <c r="B18" s="9">
        <v>1.4236111111111111E-2</v>
      </c>
      <c r="C18" s="9">
        <v>4.0509259259259257E-3</v>
      </c>
      <c r="D18" s="9">
        <f t="shared" si="7"/>
        <v>8.2825694444444448E-3</v>
      </c>
      <c r="E18" s="10">
        <v>0.58179999999999998</v>
      </c>
      <c r="F18" s="9">
        <f t="shared" si="0"/>
        <v>1.0127314814814814E-3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Table146101214242232343638404448505248111315171921232527293133353941434547[[#This Row],[Thresh]]</f>
        <v>1.2549347643097644E-3</v>
      </c>
      <c r="N18" s="9">
        <f>Table146101214242232343638404448505248111315171921232527293133353941434547[[#This Row],[Thresh]]*2</f>
        <v>2.5098695286195289E-3</v>
      </c>
      <c r="O18" s="12">
        <f>Table146101214242232343638404448505248111315171921232527293133353941434547[[#This Row],[R]]</f>
        <v>1.0127314814814814E-3</v>
      </c>
      <c r="P18" s="9"/>
      <c r="Q18" s="12"/>
      <c r="R18" s="9"/>
      <c r="S18" s="12"/>
      <c r="T18" s="9"/>
      <c r="U18" s="9"/>
      <c r="V18" s="13" t="s">
        <v>34</v>
      </c>
      <c r="W18" s="104"/>
    </row>
    <row r="19" spans="1:23" ht="17.149999999999999" customHeight="1" x14ac:dyDescent="0.35">
      <c r="A19" s="8" t="s">
        <v>44</v>
      </c>
      <c r="B19" s="9">
        <v>1.4236111111111111E-2</v>
      </c>
      <c r="C19" s="9">
        <v>4.1666666666666666E-3</v>
      </c>
      <c r="D19" s="9">
        <f t="shared" si="7"/>
        <v>8.2825694444444448E-3</v>
      </c>
      <c r="E19" s="10">
        <v>0.58179999999999998</v>
      </c>
      <c r="F19" s="9">
        <f t="shared" si="0"/>
        <v>1.0416666666666667E-3</v>
      </c>
      <c r="G19" s="9">
        <f t="shared" si="1"/>
        <v>1.1043425925925927E-3</v>
      </c>
      <c r="H19" s="9">
        <f t="shared" si="2"/>
        <v>1.1388888888888889E-3</v>
      </c>
      <c r="I19" s="9">
        <f t="shared" si="3"/>
        <v>1.1874651533253684E-3</v>
      </c>
      <c r="J19" s="9">
        <f t="shared" si="4"/>
        <v>1.2003723832528181E-3</v>
      </c>
      <c r="K19" s="9">
        <f t="shared" si="5"/>
        <v>1.2549347643097644E-3</v>
      </c>
      <c r="L19" s="9">
        <f t="shared" si="6"/>
        <v>1.3146935626102295E-3</v>
      </c>
      <c r="M19" s="11">
        <f>Table146101214242232343638404448505248111315171921232527293133353941434547[[#This Row],[Thresh]]</f>
        <v>1.2549347643097644E-3</v>
      </c>
      <c r="N19" s="9">
        <f>Table146101214242232343638404448505248111315171921232527293133353941434547[[#This Row],[Thresh]]*2</f>
        <v>2.5098695286195289E-3</v>
      </c>
      <c r="O19" s="12">
        <f>Table146101214242232343638404448505248111315171921232527293133353941434547[[#This Row],[R]]</f>
        <v>1.0416666666666667E-3</v>
      </c>
      <c r="P19" s="9"/>
      <c r="Q19" s="12"/>
      <c r="R19" s="9"/>
      <c r="S19" s="12"/>
      <c r="T19" s="9"/>
      <c r="U19" s="9"/>
      <c r="V19" s="13" t="s">
        <v>30</v>
      </c>
      <c r="W19" s="104" t="s">
        <v>45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>C21/4</f>
        <v>0</v>
      </c>
      <c r="G21" s="15">
        <f>D21/7.5</f>
        <v>0</v>
      </c>
      <c r="H21" s="15">
        <f>B21/12.5</f>
        <v>0</v>
      </c>
      <c r="I21" s="15">
        <f>G21/0.93</f>
        <v>0</v>
      </c>
      <c r="J21" s="15">
        <f>G21/0.92</f>
        <v>0</v>
      </c>
      <c r="K21" s="15">
        <f>G21/0.88</f>
        <v>0</v>
      </c>
      <c r="L21" s="15">
        <f>G21/0.84</f>
        <v>0</v>
      </c>
      <c r="M21" s="30" t="s">
        <v>12</v>
      </c>
      <c r="N21" s="15" t="s">
        <v>13</v>
      </c>
      <c r="O21" s="15" t="s">
        <v>46</v>
      </c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47</v>
      </c>
      <c r="B22" s="9">
        <v>1.2268518518518519E-2</v>
      </c>
      <c r="C22" s="9">
        <v>3.7037037037037034E-3</v>
      </c>
      <c r="D22" s="9">
        <f>B22*E22</f>
        <v>7.1378240740740742E-3</v>
      </c>
      <c r="E22" s="10">
        <v>0.58179999999999998</v>
      </c>
      <c r="F22" s="9">
        <f>C22/4</f>
        <v>9.2592592592592585E-4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Table146101214242232343638404448505248111315171921232527293133353941434547[[#This Row],[Thresh]]</f>
        <v>1.0814884960718295E-3</v>
      </c>
      <c r="N22" s="9">
        <f>Table146101214242232343638404448505248111315171921232527293133353941434547[[#This Row],[Thresh]]*2</f>
        <v>2.1629769921436589E-3</v>
      </c>
      <c r="O22" s="12">
        <f>Table146101214242232343638404448505248111315171921232527293133353941434547[[#This Row],[I]]</f>
        <v>9.8148148148148161E-4</v>
      </c>
      <c r="P22" s="9"/>
      <c r="Q22" s="12"/>
      <c r="R22" s="12"/>
      <c r="S22" s="12"/>
      <c r="T22" s="12"/>
      <c r="U22" s="9"/>
      <c r="V22" s="13" t="s">
        <v>48</v>
      </c>
      <c r="W22" s="104"/>
    </row>
    <row r="23" spans="1:23" ht="17.149999999999999" customHeight="1" x14ac:dyDescent="0.35">
      <c r="A23" s="8" t="s">
        <v>49</v>
      </c>
      <c r="B23" s="9">
        <v>1.238425925925926E-2</v>
      </c>
      <c r="C23" s="9">
        <v>3.7037037037037034E-3</v>
      </c>
      <c r="D23" s="9">
        <f>B23*E23</f>
        <v>7.2051620370370368E-3</v>
      </c>
      <c r="E23" s="10">
        <v>0.58179999999999998</v>
      </c>
      <c r="F23" s="9">
        <f>C23/4</f>
        <v>9.2592592592592585E-4</v>
      </c>
      <c r="G23" s="9">
        <f>D23/7.5</f>
        <v>9.6068827160493821E-4</v>
      </c>
      <c r="H23" s="9">
        <f>B23/12.5</f>
        <v>9.9074074074074082E-4</v>
      </c>
      <c r="I23" s="9">
        <f>G23/0.93</f>
        <v>1.0329981415106862E-3</v>
      </c>
      <c r="J23" s="9">
        <f>G23/0.92</f>
        <v>1.0442263821792807E-3</v>
      </c>
      <c r="K23" s="9">
        <f>G23/0.88</f>
        <v>1.0916912177328843E-3</v>
      </c>
      <c r="L23" s="9">
        <f>G23/0.84</f>
        <v>1.1436765138154027E-3</v>
      </c>
      <c r="M23" s="11">
        <f>Table146101214242232343638404448505248111315171921232527293133353941434547[[#This Row],[Thresh]]</f>
        <v>1.0916912177328843E-3</v>
      </c>
      <c r="N23" s="9">
        <f>Table146101214242232343638404448505248111315171921232527293133353941434547[[#This Row],[Thresh]]*2</f>
        <v>2.1833824354657687E-3</v>
      </c>
      <c r="O23" s="12">
        <f>Table146101214242232343638404448505248111315171921232527293133353941434547[[#This Row],[I]]</f>
        <v>9.9074074074074082E-4</v>
      </c>
      <c r="P23" s="9"/>
      <c r="Q23" s="12"/>
      <c r="R23" s="12"/>
      <c r="S23" s="12"/>
      <c r="T23" s="12"/>
      <c r="U23" s="9"/>
      <c r="V23" s="13" t="s">
        <v>48</v>
      </c>
      <c r="W23" s="104"/>
    </row>
    <row r="24" spans="1:23" ht="17.149999999999999" customHeight="1" x14ac:dyDescent="0.35">
      <c r="A24" s="8" t="s">
        <v>50</v>
      </c>
      <c r="B24" s="9">
        <v>1.2499999999999999E-2</v>
      </c>
      <c r="C24" s="9">
        <v>3.9351851851851857E-3</v>
      </c>
      <c r="D24" s="9">
        <f>B24*E24</f>
        <v>7.2724999999999995E-3</v>
      </c>
      <c r="E24" s="10">
        <v>0.58179999999999998</v>
      </c>
      <c r="F24" s="9">
        <f>C24/4</f>
        <v>9.8379629629629642E-4</v>
      </c>
      <c r="G24" s="9">
        <f>D24/7.5</f>
        <v>9.6966666666666664E-4</v>
      </c>
      <c r="H24" s="9">
        <f>B24/12.5</f>
        <v>1E-3</v>
      </c>
      <c r="I24" s="9">
        <f>G24/0.93</f>
        <v>1.0426523297491039E-3</v>
      </c>
      <c r="J24" s="9">
        <f>G24/0.92</f>
        <v>1.0539855072463768E-3</v>
      </c>
      <c r="K24" s="9">
        <f>G24/0.88</f>
        <v>1.1018939393939394E-3</v>
      </c>
      <c r="L24" s="9">
        <f>G24/0.84</f>
        <v>1.1543650793650795E-3</v>
      </c>
      <c r="M24" s="11">
        <f>Table146101214242232343638404448505248111315171921232527293133353941434547[[#This Row],[Thresh]]</f>
        <v>1.1018939393939394E-3</v>
      </c>
      <c r="N24" s="9">
        <f>Table146101214242232343638404448505248111315171921232527293133353941434547[[#This Row],[Thresh]]*2</f>
        <v>2.2037878787878789E-3</v>
      </c>
      <c r="O24" s="12">
        <f>Table146101214242232343638404448505248111315171921232527293133353941434547[[#This Row],[I]]</f>
        <v>1E-3</v>
      </c>
      <c r="P24" s="9"/>
      <c r="Q24" s="12"/>
      <c r="R24" s="9"/>
      <c r="S24" s="12"/>
      <c r="T24" s="9"/>
      <c r="U24" s="9"/>
      <c r="V24" s="13" t="s">
        <v>48</v>
      </c>
      <c r="W24" s="104"/>
    </row>
    <row r="25" spans="1:23" ht="17.149999999999999" customHeight="1" x14ac:dyDescent="0.35">
      <c r="A25" s="8" t="s">
        <v>51</v>
      </c>
      <c r="B25" s="9">
        <v>1.2499999999999999E-2</v>
      </c>
      <c r="C25" s="9">
        <v>3.7037037037037034E-3</v>
      </c>
      <c r="D25" s="9">
        <f>B25*E25</f>
        <v>7.2724999999999995E-3</v>
      </c>
      <c r="E25" s="10">
        <v>0.58179999999999998</v>
      </c>
      <c r="F25" s="9">
        <f>C25/4</f>
        <v>9.2592592592592585E-4</v>
      </c>
      <c r="G25" s="9">
        <f>D25/7.5</f>
        <v>9.6966666666666664E-4</v>
      </c>
      <c r="H25" s="9">
        <f>B25/12.5</f>
        <v>1E-3</v>
      </c>
      <c r="I25" s="9">
        <f>G25/0.93</f>
        <v>1.0426523297491039E-3</v>
      </c>
      <c r="J25" s="9">
        <f>G25/0.92</f>
        <v>1.0539855072463768E-3</v>
      </c>
      <c r="K25" s="9">
        <f>G25/0.88</f>
        <v>1.1018939393939394E-3</v>
      </c>
      <c r="L25" s="9">
        <f>G25/0.84</f>
        <v>1.1543650793650795E-3</v>
      </c>
      <c r="M25" s="11">
        <f>Table146101214242232343638404448505248111315171921232527293133353941434547[[#This Row],[Thresh]]</f>
        <v>1.1018939393939394E-3</v>
      </c>
      <c r="N25" s="9">
        <f>Table146101214242232343638404448505248111315171921232527293133353941434547[[#This Row],[Thresh]]*2</f>
        <v>2.2037878787878789E-3</v>
      </c>
      <c r="O25" s="12">
        <f>Table146101214242232343638404448505248111315171921232527293133353941434547[[#This Row],[I]]</f>
        <v>1E-3</v>
      </c>
      <c r="P25" s="9"/>
      <c r="Q25" s="12"/>
      <c r="R25" s="12"/>
      <c r="S25" s="12"/>
      <c r="T25" s="12"/>
      <c r="U25" s="9"/>
      <c r="V25" s="13" t="s">
        <v>48</v>
      </c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11"/>
      <c r="N26" s="9"/>
      <c r="O26" s="12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14"/>
      <c r="B27" s="15"/>
      <c r="C27" s="15"/>
      <c r="D27" s="15"/>
      <c r="E27" s="16"/>
      <c r="F27" s="15">
        <f>C27/4</f>
        <v>0</v>
      </c>
      <c r="G27" s="15">
        <f>D27/7.5</f>
        <v>0</v>
      </c>
      <c r="H27" s="15">
        <f>B27/12.5</f>
        <v>0</v>
      </c>
      <c r="I27" s="15">
        <f>G27/0.93</f>
        <v>0</v>
      </c>
      <c r="J27" s="15">
        <f>G27/0.92</f>
        <v>0</v>
      </c>
      <c r="K27" s="15">
        <f>G27/0.88</f>
        <v>0</v>
      </c>
      <c r="L27" s="15">
        <f>G27/0.84</f>
        <v>0</v>
      </c>
      <c r="M27" s="30"/>
      <c r="N27" s="15"/>
      <c r="O27" s="15"/>
      <c r="P27" s="15"/>
      <c r="Q27" s="15"/>
      <c r="R27" s="15"/>
      <c r="S27" s="15"/>
      <c r="T27" s="15"/>
      <c r="U27" s="15"/>
      <c r="V27" s="17"/>
      <c r="W27" s="104"/>
    </row>
    <row r="28" spans="1:23" ht="17.149999999999999" customHeight="1" x14ac:dyDescent="0.35">
      <c r="A28" s="8" t="s">
        <v>52</v>
      </c>
      <c r="B28" s="9">
        <v>1.1805555555555555E-2</v>
      </c>
      <c r="C28" s="9">
        <v>3.472222222222222E-3</v>
      </c>
      <c r="D28" s="9">
        <f>B28*E28</f>
        <v>6.868472222222222E-3</v>
      </c>
      <c r="E28" s="10">
        <v>0.58179999999999998</v>
      </c>
      <c r="F28" s="9">
        <f>C28/4</f>
        <v>8.6805555555555551E-4</v>
      </c>
      <c r="G28" s="9">
        <f>D28/7.5</f>
        <v>9.1579629629629628E-4</v>
      </c>
      <c r="H28" s="9">
        <f>B28/12.5</f>
        <v>9.4444444444444437E-4</v>
      </c>
      <c r="I28" s="9">
        <f>G28/0.93</f>
        <v>9.8472720031859799E-4</v>
      </c>
      <c r="J28" s="9">
        <f>G28/0.92</f>
        <v>9.9543075684380036E-4</v>
      </c>
      <c r="K28" s="9">
        <f>G28/0.88</f>
        <v>1.0406776094276093E-3</v>
      </c>
      <c r="L28" s="9">
        <f>G28/0.84</f>
        <v>1.0902336860670195E-3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53</v>
      </c>
      <c r="W28" s="105" t="s">
        <v>54</v>
      </c>
    </row>
    <row r="29" spans="1:23" ht="17.149999999999999" customHeight="1" x14ac:dyDescent="0.35">
      <c r="A29" s="8" t="s">
        <v>55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53</v>
      </c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11"/>
      <c r="N31" s="9"/>
      <c r="O31" s="12"/>
      <c r="P31" s="9"/>
      <c r="Q31" s="12"/>
      <c r="R31" s="9"/>
      <c r="S31" s="12"/>
      <c r="T31" s="12"/>
      <c r="U31" s="9"/>
      <c r="V31" s="13"/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60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2" si="8">B35*E35</f>
        <v>6.0604166666666662E-3</v>
      </c>
      <c r="E35" s="10">
        <v>0.58179999999999998</v>
      </c>
      <c r="F35" s="9">
        <f t="shared" ref="F35:F42" si="9">C35/4</f>
        <v>7.233796296296297E-4</v>
      </c>
      <c r="G35" s="9">
        <f t="shared" ref="G35:G42" si="10">D35/7.5</f>
        <v>8.0805555555555546E-4</v>
      </c>
      <c r="H35" s="9">
        <f t="shared" ref="H35:H42" si="11">B35/12.5</f>
        <v>8.3333333333333328E-4</v>
      </c>
      <c r="I35" s="9">
        <f t="shared" ref="I35:I42" si="12">G35/0.93</f>
        <v>8.6887694145758646E-4</v>
      </c>
      <c r="J35" s="9">
        <f t="shared" ref="J35:J42" si="13">G35/0.92</f>
        <v>8.7832125603864715E-4</v>
      </c>
      <c r="K35" s="9">
        <f t="shared" ref="K35:K42" si="14">G35/0.88</f>
        <v>9.1824494949494938E-4</v>
      </c>
      <c r="L35" s="9">
        <f t="shared" ref="L35:L42" si="15">G35/0.84</f>
        <v>9.6197089947089938E-4</v>
      </c>
      <c r="M35" s="11">
        <f>Table257111315252333353739414549515359121416182022242628303234364042444648[[#This Row],[Thresh]]</f>
        <v>9.1824494949494938E-4</v>
      </c>
      <c r="N35" s="9">
        <f>Table257111315252333353739414549515359121416182022242628303234364042444648[[#This Row],[Thresh]]*2.5</f>
        <v>2.2956123737373733E-3</v>
      </c>
      <c r="O35" s="24">
        <v>3.0960648148148151E-4</v>
      </c>
      <c r="P35" s="9">
        <v>3.2118055555555556E-4</v>
      </c>
      <c r="Q35" s="24">
        <v>3.3275462962962962E-4</v>
      </c>
      <c r="R35" s="9">
        <v>3.2118055555555556E-4</v>
      </c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62</v>
      </c>
      <c r="B36" s="9">
        <v>1.087962962962963E-2</v>
      </c>
      <c r="C36" s="9">
        <v>3.0092592592592588E-3</v>
      </c>
      <c r="D36" s="9">
        <f t="shared" si="8"/>
        <v>6.3297685185185184E-3</v>
      </c>
      <c r="E36" s="10">
        <v>0.58179999999999998</v>
      </c>
      <c r="F36" s="9">
        <f t="shared" si="9"/>
        <v>7.5231481481481471E-4</v>
      </c>
      <c r="G36" s="9">
        <f t="shared" si="10"/>
        <v>8.4396913580246917E-4</v>
      </c>
      <c r="H36" s="9">
        <f t="shared" si="11"/>
        <v>8.7037037037037042E-4</v>
      </c>
      <c r="I36" s="9">
        <f t="shared" si="12"/>
        <v>9.0749369441125711E-4</v>
      </c>
      <c r="J36" s="9">
        <f t="shared" si="13"/>
        <v>9.173577563070317E-4</v>
      </c>
      <c r="K36" s="9">
        <f t="shared" si="14"/>
        <v>9.5905583613916951E-4</v>
      </c>
      <c r="L36" s="9">
        <f t="shared" si="15"/>
        <v>1.0047251616696062E-3</v>
      </c>
      <c r="M36" s="11">
        <f>Table257111315252333353739414549515359121416182022242628303234364042444648[[#This Row],[Thresh]]</f>
        <v>9.5905583613916951E-4</v>
      </c>
      <c r="N36" s="9">
        <f>Table257111315252333353739414549515359121416182022242628303234364042444648[[#This Row],[Thresh]]*2.5</f>
        <v>2.3976395903479238E-3</v>
      </c>
      <c r="O36" s="24">
        <v>3.1539351851851851E-4</v>
      </c>
      <c r="P36" s="9">
        <v>3.2696759259259257E-4</v>
      </c>
      <c r="Q36" s="24">
        <v>3.3854166666666668E-4</v>
      </c>
      <c r="R36" s="9">
        <v>3.2696759259259257E-4</v>
      </c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63</v>
      </c>
      <c r="B37" s="9">
        <v>1.087962962962963E-2</v>
      </c>
      <c r="C37" s="9">
        <v>3.0092592592592588E-3</v>
      </c>
      <c r="D37" s="9">
        <f t="shared" si="8"/>
        <v>6.3297685185185184E-3</v>
      </c>
      <c r="E37" s="10">
        <v>0.58179999999999998</v>
      </c>
      <c r="F37" s="9">
        <f t="shared" si="9"/>
        <v>7.5231481481481471E-4</v>
      </c>
      <c r="G37" s="9">
        <f t="shared" si="10"/>
        <v>8.4396913580246917E-4</v>
      </c>
      <c r="H37" s="9">
        <f t="shared" si="11"/>
        <v>8.7037037037037042E-4</v>
      </c>
      <c r="I37" s="9">
        <f t="shared" si="12"/>
        <v>9.0749369441125711E-4</v>
      </c>
      <c r="J37" s="9">
        <f t="shared" si="13"/>
        <v>9.173577563070317E-4</v>
      </c>
      <c r="K37" s="9">
        <f t="shared" si="14"/>
        <v>9.5905583613916951E-4</v>
      </c>
      <c r="L37" s="9">
        <f t="shared" si="15"/>
        <v>1.0047251616696062E-3</v>
      </c>
      <c r="M37" s="11">
        <f>Table257111315252333353739414549515359121416182022242628303234364042444648[[#This Row],[Thresh]]</f>
        <v>9.5905583613916951E-4</v>
      </c>
      <c r="N37" s="9">
        <f>Table257111315252333353739414549515359121416182022242628303234364042444648[[#This Row],[Thresh]]*2.5</f>
        <v>2.3976395903479238E-3</v>
      </c>
      <c r="O37" s="24">
        <v>3.1539351851851851E-4</v>
      </c>
      <c r="P37" s="9">
        <v>3.2696759259259257E-4</v>
      </c>
      <c r="Q37" s="24">
        <v>3.3854166666666668E-4</v>
      </c>
      <c r="R37" s="9">
        <v>3.2696759259259257E-4</v>
      </c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64</v>
      </c>
      <c r="B38" s="9">
        <v>1.0416666666666666E-2</v>
      </c>
      <c r="C38" s="9">
        <v>2.9513888888888888E-3</v>
      </c>
      <c r="D38" s="9">
        <f t="shared" si="8"/>
        <v>6.0604166666666662E-3</v>
      </c>
      <c r="E38" s="10">
        <v>0.58179999999999998</v>
      </c>
      <c r="F38" s="9">
        <f t="shared" si="9"/>
        <v>7.378472222222222E-4</v>
      </c>
      <c r="G38" s="9">
        <f t="shared" si="10"/>
        <v>8.0805555555555546E-4</v>
      </c>
      <c r="H38" s="9">
        <f t="shared" si="11"/>
        <v>8.3333333333333328E-4</v>
      </c>
      <c r="I38" s="9">
        <f t="shared" si="12"/>
        <v>8.6887694145758646E-4</v>
      </c>
      <c r="J38" s="9">
        <f t="shared" si="13"/>
        <v>8.7832125603864715E-4</v>
      </c>
      <c r="K38" s="9">
        <f t="shared" si="14"/>
        <v>9.1824494949494938E-4</v>
      </c>
      <c r="L38" s="9">
        <f t="shared" si="15"/>
        <v>9.6197089947089938E-4</v>
      </c>
      <c r="M38" s="11">
        <f>Table257111315252333353739414549515359121416182022242628303234364042444648[[#This Row],[Thresh]]</f>
        <v>9.1824494949494938E-4</v>
      </c>
      <c r="N38" s="9">
        <f>Table257111315252333353739414549515359121416182022242628303234364042444648[[#This Row],[Thresh]]*2.5</f>
        <v>2.2956123737373733E-3</v>
      </c>
      <c r="O38" s="24">
        <v>3.1828703703703706E-4</v>
      </c>
      <c r="P38" s="9">
        <v>3.2986111111111112E-4</v>
      </c>
      <c r="Q38" s="24">
        <v>3.4143518518518518E-4</v>
      </c>
      <c r="R38" s="9">
        <v>3.2986111111111112E-4</v>
      </c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65</v>
      </c>
      <c r="B39" s="9">
        <v>1.0416666666666666E-2</v>
      </c>
      <c r="C39" s="9">
        <v>2.9745370370370373E-3</v>
      </c>
      <c r="D39" s="9">
        <f t="shared" si="8"/>
        <v>6.0604166666666662E-3</v>
      </c>
      <c r="E39" s="10">
        <v>0.58179999999999998</v>
      </c>
      <c r="F39" s="9">
        <f t="shared" si="9"/>
        <v>7.4363425925925931E-4</v>
      </c>
      <c r="G39" s="9">
        <f t="shared" si="10"/>
        <v>8.0805555555555546E-4</v>
      </c>
      <c r="H39" s="9">
        <f t="shared" si="11"/>
        <v>8.3333333333333328E-4</v>
      </c>
      <c r="I39" s="9">
        <f t="shared" si="12"/>
        <v>8.6887694145758646E-4</v>
      </c>
      <c r="J39" s="9">
        <f t="shared" si="13"/>
        <v>8.7832125603864715E-4</v>
      </c>
      <c r="K39" s="9">
        <f t="shared" si="14"/>
        <v>9.1824494949494938E-4</v>
      </c>
      <c r="L39" s="9">
        <f t="shared" si="15"/>
        <v>9.6197089947089938E-4</v>
      </c>
      <c r="M39" s="11">
        <f>Table257111315252333353739414549515359121416182022242628303234364042444648[[#This Row],[Thresh]]</f>
        <v>9.1824494949494938E-4</v>
      </c>
      <c r="N39" s="9">
        <f>Table257111315252333353739414549515359121416182022242628303234364042444648[[#This Row],[Thresh]]*2.5</f>
        <v>2.2956123737373733E-3</v>
      </c>
      <c r="O39" s="24">
        <v>3.1828703703703706E-4</v>
      </c>
      <c r="P39" s="9">
        <v>3.2986111111111112E-4</v>
      </c>
      <c r="Q39" s="24">
        <v>3.4143518518518518E-4</v>
      </c>
      <c r="R39" s="9">
        <v>3.2986111111111112E-4</v>
      </c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8"/>
        <v>6.5317824074074089E-3</v>
      </c>
      <c r="E40" s="10">
        <v>0.58179999999999998</v>
      </c>
      <c r="F40" s="9">
        <f t="shared" si="9"/>
        <v>7.8124999999999993E-4</v>
      </c>
      <c r="G40" s="9">
        <f t="shared" si="10"/>
        <v>8.7090432098765457E-4</v>
      </c>
      <c r="H40" s="9">
        <f t="shared" si="11"/>
        <v>8.9814814814814835E-4</v>
      </c>
      <c r="I40" s="9">
        <f t="shared" si="12"/>
        <v>9.3645625912651019E-4</v>
      </c>
      <c r="J40" s="9">
        <f t="shared" si="13"/>
        <v>9.4663513150832011E-4</v>
      </c>
      <c r="K40" s="9">
        <f t="shared" si="14"/>
        <v>9.8966400112233477E-4</v>
      </c>
      <c r="L40" s="9">
        <f t="shared" si="15"/>
        <v>1.0367908583186363E-3</v>
      </c>
      <c r="M40" s="11">
        <f>Table257111315252333353739414549515359121416182022242628303234364042444648[[#This Row],[Thresh]]</f>
        <v>9.8966400112233477E-4</v>
      </c>
      <c r="N40" s="9">
        <f>Table257111315252333353739414549515359121416182022242628303234364042444648[[#This Row],[Thresh]]*2.5</f>
        <v>2.4741600028058367E-3</v>
      </c>
      <c r="O40" s="24">
        <v>3.2986111111111112E-4</v>
      </c>
      <c r="P40" s="9">
        <v>3.4143518518518518E-4</v>
      </c>
      <c r="Q40" s="24">
        <v>3.5300925925925924E-4</v>
      </c>
      <c r="R40" s="9">
        <v>3.4143518518518518E-4</v>
      </c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Table257111315252333353739414549515359121416182022242628303234364042444648[[#This Row],[Thresh]]</f>
        <v>9.8966400112233477E-4</v>
      </c>
      <c r="N41" s="9">
        <f>Table257111315252333353739414549515359121416182022242628303234364042444648[[#This Row],[Thresh]]*2.5</f>
        <v>2.4741600028058367E-3</v>
      </c>
      <c r="O41" s="24">
        <v>3.2986111111111112E-4</v>
      </c>
      <c r="P41" s="9">
        <v>3.4143518518518518E-4</v>
      </c>
      <c r="Q41" s="24">
        <v>3.5300925925925924E-4</v>
      </c>
      <c r="R41" s="9">
        <v>3.4143518518518518E-4</v>
      </c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68</v>
      </c>
      <c r="B42" s="9">
        <v>1.1226851851851854E-2</v>
      </c>
      <c r="C42" s="9">
        <v>3.1828703703703702E-3</v>
      </c>
      <c r="D42" s="9">
        <f t="shared" si="8"/>
        <v>6.5317824074074089E-3</v>
      </c>
      <c r="E42" s="10">
        <v>0.58179999999999998</v>
      </c>
      <c r="F42" s="9">
        <f t="shared" si="9"/>
        <v>7.9571759259259255E-4</v>
      </c>
      <c r="G42" s="9">
        <f t="shared" si="10"/>
        <v>8.7090432098765457E-4</v>
      </c>
      <c r="H42" s="9">
        <f t="shared" si="11"/>
        <v>8.9814814814814835E-4</v>
      </c>
      <c r="I42" s="9">
        <f t="shared" si="12"/>
        <v>9.3645625912651019E-4</v>
      </c>
      <c r="J42" s="9">
        <f t="shared" si="13"/>
        <v>9.4663513150832011E-4</v>
      </c>
      <c r="K42" s="9">
        <f t="shared" si="14"/>
        <v>9.8966400112233477E-4</v>
      </c>
      <c r="L42" s="9">
        <f t="shared" si="15"/>
        <v>1.0367908583186363E-3</v>
      </c>
      <c r="M42" s="11">
        <f>Table257111315252333353739414549515359121416182022242628303234364042444648[[#This Row],[Thresh]]</f>
        <v>9.8966400112233477E-4</v>
      </c>
      <c r="N42" s="9">
        <f>Table257111315252333353739414549515359121416182022242628303234364042444648[[#This Row],[Thresh]]*2.5</f>
        <v>2.4741600028058367E-3</v>
      </c>
      <c r="O42" s="24">
        <v>3.2986111111111112E-4</v>
      </c>
      <c r="P42" s="9">
        <v>3.4143518518518518E-4</v>
      </c>
      <c r="Q42" s="24">
        <v>3.5300925925925924E-4</v>
      </c>
      <c r="R42" s="9">
        <v>3.4143518518518518E-4</v>
      </c>
      <c r="S42" s="12"/>
      <c r="T42" s="96"/>
      <c r="U42" s="96"/>
      <c r="V42" s="23" t="s">
        <v>24</v>
      </c>
      <c r="W42" s="108"/>
    </row>
    <row r="43" spans="1:23" ht="17.149999999999999" customHeight="1" x14ac:dyDescent="0.35">
      <c r="A43" s="14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30" t="s">
        <v>12</v>
      </c>
      <c r="N43" s="15" t="s">
        <v>58</v>
      </c>
      <c r="O43" s="15" t="s">
        <v>27</v>
      </c>
      <c r="P43" s="15"/>
      <c r="Q43" s="15"/>
      <c r="R43" s="15"/>
      <c r="S43" s="15"/>
      <c r="T43" s="15"/>
      <c r="U43" s="15"/>
      <c r="V43" s="17"/>
      <c r="W43" s="104" t="s">
        <v>69</v>
      </c>
    </row>
    <row r="44" spans="1:23" ht="17.149999999999999" customHeight="1" x14ac:dyDescent="0.35">
      <c r="A44" s="8" t="s">
        <v>70</v>
      </c>
      <c r="B44" s="9">
        <v>9.780092592592592E-3</v>
      </c>
      <c r="C44" s="9">
        <v>2.8124999999999995E-3</v>
      </c>
      <c r="D44" s="9">
        <f t="shared" ref="D44:D66" si="16">B44*E44</f>
        <v>5.6900578703703696E-3</v>
      </c>
      <c r="E44" s="10">
        <v>0.58179999999999998</v>
      </c>
      <c r="F44" s="9">
        <f t="shared" ref="F44:F83" si="17">C44/4</f>
        <v>7.0312499999999987E-4</v>
      </c>
      <c r="G44" s="9">
        <f t="shared" ref="G44:G83" si="18">D44/7.5</f>
        <v>7.5867438271604926E-4</v>
      </c>
      <c r="H44" s="9">
        <f t="shared" ref="H44:H83" si="19">B44/12.5</f>
        <v>7.8240740740740734E-4</v>
      </c>
      <c r="I44" s="9">
        <f t="shared" ref="I44:I83" si="20">G44/0.93</f>
        <v>8.1577890614628948E-4</v>
      </c>
      <c r="J44" s="9">
        <f t="shared" ref="J44:J83" si="21">G44/0.92</f>
        <v>8.2464606816961877E-4</v>
      </c>
      <c r="K44" s="9">
        <f t="shared" ref="K44:K83" si="22">G44/0.88</f>
        <v>8.6212998035914683E-4</v>
      </c>
      <c r="L44" s="9">
        <f t="shared" ref="L44:L83" si="23">G44/0.84</f>
        <v>9.031837889476777E-4</v>
      </c>
      <c r="M44" s="11">
        <f>Table257111315252333353739414549515359121416182022242628303234364042444648[[#This Row],[Thresh]]</f>
        <v>8.6212998035914683E-4</v>
      </c>
      <c r="N44" s="9">
        <f>Table257111315252333353739414549515359121416182022242628303234364042444648[[#This Row],[Thresh]]*2.5</f>
        <v>2.1553249508978671E-3</v>
      </c>
      <c r="O44" s="24">
        <f>Table257111315252333353739414549515359121416182022242628303234364042444648[[#This Row],[R]]</f>
        <v>7.0312499999999987E-4</v>
      </c>
      <c r="P44" s="9"/>
      <c r="Q44" s="24"/>
      <c r="R44" s="9"/>
      <c r="S44" s="12"/>
      <c r="T44" s="12" t="s">
        <v>29</v>
      </c>
      <c r="V44" s="23" t="s">
        <v>34</v>
      </c>
      <c r="W44" s="104"/>
    </row>
    <row r="45" spans="1:23" ht="17.149999999999999" customHeight="1" x14ac:dyDescent="0.35">
      <c r="A45" s="8" t="s">
        <v>71</v>
      </c>
      <c r="B45" s="9">
        <v>1.0011574074074074E-2</v>
      </c>
      <c r="C45" s="9">
        <v>2.8935185185185188E-3</v>
      </c>
      <c r="D45" s="9">
        <f t="shared" si="16"/>
        <v>5.8247337962962957E-3</v>
      </c>
      <c r="E45" s="10">
        <v>0.58179999999999998</v>
      </c>
      <c r="F45" s="9">
        <f t="shared" si="17"/>
        <v>7.233796296296297E-4</v>
      </c>
      <c r="G45" s="9">
        <f t="shared" si="18"/>
        <v>7.7663117283950612E-4</v>
      </c>
      <c r="H45" s="9">
        <f t="shared" si="19"/>
        <v>8.0092592592592585E-4</v>
      </c>
      <c r="I45" s="9">
        <f t="shared" si="20"/>
        <v>8.3508728262312486E-4</v>
      </c>
      <c r="J45" s="9">
        <f t="shared" si="21"/>
        <v>8.4416431830381094E-4</v>
      </c>
      <c r="K45" s="9">
        <f t="shared" si="22"/>
        <v>8.825354236812569E-4</v>
      </c>
      <c r="L45" s="9">
        <f t="shared" si="23"/>
        <v>9.2456092004703113E-4</v>
      </c>
      <c r="M45" s="11">
        <f>Table257111315252333353739414549515359121416182022242628303234364042444648[[#This Row],[Thresh]]</f>
        <v>8.825354236812569E-4</v>
      </c>
      <c r="N45" s="9">
        <f>Table257111315252333353739414549515359121416182022242628303234364042444648[[#This Row],[Thresh]]*2.5</f>
        <v>2.2063385592031421E-3</v>
      </c>
      <c r="O45" s="24">
        <f>Table257111315252333353739414549515359121416182022242628303234364042444648[[#This Row],[R]]</f>
        <v>7.233796296296297E-4</v>
      </c>
      <c r="P45" s="9"/>
      <c r="Q45" s="24"/>
      <c r="R45" s="9"/>
      <c r="S45" s="24"/>
      <c r="T45" s="12" t="s">
        <v>29</v>
      </c>
      <c r="U45" s="24"/>
      <c r="V45" s="23" t="s">
        <v>34</v>
      </c>
      <c r="W45" s="104"/>
    </row>
    <row r="46" spans="1:23" ht="17.149999999999999" customHeight="1" x14ac:dyDescent="0.35">
      <c r="A46" s="8" t="s">
        <v>72</v>
      </c>
      <c r="B46" s="9">
        <v>1.0127314814814815E-2</v>
      </c>
      <c r="C46" s="9">
        <v>2.8935185185185188E-3</v>
      </c>
      <c r="D46" s="9">
        <f t="shared" si="16"/>
        <v>5.8920717592592592E-3</v>
      </c>
      <c r="E46" s="10">
        <v>0.58179999999999998</v>
      </c>
      <c r="F46" s="9">
        <f t="shared" si="17"/>
        <v>7.233796296296297E-4</v>
      </c>
      <c r="G46" s="9">
        <f t="shared" si="18"/>
        <v>7.8560956790123455E-4</v>
      </c>
      <c r="H46" s="9">
        <f t="shared" si="19"/>
        <v>8.1018518518518516E-4</v>
      </c>
      <c r="I46" s="9">
        <f t="shared" si="20"/>
        <v>8.4474147086154245E-4</v>
      </c>
      <c r="J46" s="9">
        <f t="shared" si="21"/>
        <v>8.5392344337090708E-4</v>
      </c>
      <c r="K46" s="9">
        <f t="shared" si="22"/>
        <v>8.9273814534231199E-4</v>
      </c>
      <c r="L46" s="9">
        <f t="shared" si="23"/>
        <v>9.3524948559670779E-4</v>
      </c>
      <c r="M46" s="11">
        <f>Table257111315252333353739414549515359121416182022242628303234364042444648[[#This Row],[Thresh]]</f>
        <v>8.9273814534231199E-4</v>
      </c>
      <c r="N46" s="9">
        <f>Table257111315252333353739414549515359121416182022242628303234364042444648[[#This Row],[Thresh]]*2.5</f>
        <v>2.23184536335578E-3</v>
      </c>
      <c r="O46" s="24">
        <f>Table257111315252333353739414549515359121416182022242628303234364042444648[[#This Row],[R]]</f>
        <v>7.233796296296297E-4</v>
      </c>
      <c r="P46" s="9"/>
      <c r="Q46" s="24"/>
      <c r="R46" s="9"/>
      <c r="S46" s="12"/>
      <c r="T46" s="12" t="s">
        <v>29</v>
      </c>
      <c r="V46" s="23" t="s">
        <v>34</v>
      </c>
      <c r="W46" s="104"/>
    </row>
    <row r="47" spans="1:23" ht="17.149999999999999" customHeight="1" x14ac:dyDescent="0.35">
      <c r="A47" s="8" t="s">
        <v>73</v>
      </c>
      <c r="B47" s="9">
        <v>1.0011574074074074E-2</v>
      </c>
      <c r="C47" s="9">
        <v>2.8935185185185188E-3</v>
      </c>
      <c r="D47" s="9">
        <f t="shared" si="16"/>
        <v>5.8247337962962957E-3</v>
      </c>
      <c r="E47" s="10">
        <v>0.58179999999999998</v>
      </c>
      <c r="F47" s="9">
        <f t="shared" si="17"/>
        <v>7.233796296296297E-4</v>
      </c>
      <c r="G47" s="9">
        <f t="shared" si="18"/>
        <v>7.7663117283950612E-4</v>
      </c>
      <c r="H47" s="9">
        <f t="shared" si="19"/>
        <v>8.0092592592592585E-4</v>
      </c>
      <c r="I47" s="9">
        <f t="shared" si="20"/>
        <v>8.3508728262312486E-4</v>
      </c>
      <c r="J47" s="9">
        <f t="shared" si="21"/>
        <v>8.4416431830381094E-4</v>
      </c>
      <c r="K47" s="9">
        <f t="shared" si="22"/>
        <v>8.825354236812569E-4</v>
      </c>
      <c r="L47" s="9">
        <f t="shared" si="23"/>
        <v>9.2456092004703113E-4</v>
      </c>
      <c r="M47" s="11">
        <f>Table257111315252333353739414549515359121416182022242628303234364042444648[[#This Row],[Thresh]]</f>
        <v>8.825354236812569E-4</v>
      </c>
      <c r="N47" s="9">
        <f>Table257111315252333353739414549515359121416182022242628303234364042444648[[#This Row],[Thresh]]*2.5</f>
        <v>2.2063385592031421E-3</v>
      </c>
      <c r="O47" s="24">
        <f>Table257111315252333353739414549515359121416182022242628303234364042444648[[#This Row],[R]]</f>
        <v>7.233796296296297E-4</v>
      </c>
      <c r="P47" s="9"/>
      <c r="Q47" s="24"/>
      <c r="R47" s="9"/>
      <c r="S47" s="24"/>
      <c r="T47" s="24"/>
      <c r="U47" s="24"/>
      <c r="V47" s="23" t="s">
        <v>30</v>
      </c>
      <c r="W47" s="104"/>
    </row>
    <row r="48" spans="1:23" ht="17.149999999999999" customHeight="1" x14ac:dyDescent="0.35">
      <c r="A48" s="8" t="s">
        <v>74</v>
      </c>
      <c r="B48" s="9">
        <v>1.0243055555555556E-2</v>
      </c>
      <c r="C48" s="9">
        <v>2.9513888888888888E-3</v>
      </c>
      <c r="D48" s="9">
        <f t="shared" si="16"/>
        <v>5.9594097222222218E-3</v>
      </c>
      <c r="E48" s="10">
        <v>0.58179999999999998</v>
      </c>
      <c r="F48" s="9">
        <f t="shared" si="17"/>
        <v>7.378472222222222E-4</v>
      </c>
      <c r="G48" s="9">
        <f t="shared" si="18"/>
        <v>7.9458796296296287E-4</v>
      </c>
      <c r="H48" s="9">
        <f t="shared" si="19"/>
        <v>8.1944444444444447E-4</v>
      </c>
      <c r="I48" s="9">
        <f t="shared" si="20"/>
        <v>8.5439565909996003E-4</v>
      </c>
      <c r="J48" s="9">
        <f t="shared" si="21"/>
        <v>8.636825684380031E-4</v>
      </c>
      <c r="K48" s="9">
        <f t="shared" si="22"/>
        <v>9.0294086700336686E-4</v>
      </c>
      <c r="L48" s="9">
        <f t="shared" si="23"/>
        <v>9.4593805114638445E-4</v>
      </c>
      <c r="M48" s="11">
        <f>Table257111315252333353739414549515359121416182022242628303234364042444648[[#This Row],[Thresh]]</f>
        <v>9.0294086700336686E-4</v>
      </c>
      <c r="N48" s="9">
        <f>Table257111315252333353739414549515359121416182022242628303234364042444648[[#This Row],[Thresh]]*2.5</f>
        <v>2.2573521675084171E-3</v>
      </c>
      <c r="O48" s="24">
        <f>Table257111315252333353739414549515359121416182022242628303234364042444648[[#This Row],[R]]</f>
        <v>7.378472222222222E-4</v>
      </c>
      <c r="P48" s="9"/>
      <c r="Q48" s="24"/>
      <c r="R48" s="9"/>
      <c r="S48" s="12"/>
      <c r="T48" s="25"/>
      <c r="V48" s="23" t="s">
        <v>34</v>
      </c>
      <c r="W48" s="104"/>
    </row>
    <row r="49" spans="1:23" ht="17.149999999999999" customHeight="1" x14ac:dyDescent="0.35">
      <c r="A49" s="8" t="s">
        <v>75</v>
      </c>
      <c r="B49" s="9">
        <v>1.087962962962963E-2</v>
      </c>
      <c r="C49" s="9">
        <v>2.9513888888888888E-3</v>
      </c>
      <c r="D49" s="9">
        <f t="shared" si="16"/>
        <v>6.3297685185185184E-3</v>
      </c>
      <c r="E49" s="10">
        <v>0.58179999999999998</v>
      </c>
      <c r="F49" s="9">
        <f t="shared" si="17"/>
        <v>7.378472222222222E-4</v>
      </c>
      <c r="G49" s="9">
        <f t="shared" si="18"/>
        <v>8.4396913580246917E-4</v>
      </c>
      <c r="H49" s="9">
        <f t="shared" si="19"/>
        <v>8.7037037037037042E-4</v>
      </c>
      <c r="I49" s="9">
        <f t="shared" si="20"/>
        <v>9.0749369441125711E-4</v>
      </c>
      <c r="J49" s="9">
        <f t="shared" si="21"/>
        <v>9.173577563070317E-4</v>
      </c>
      <c r="K49" s="9">
        <f t="shared" si="22"/>
        <v>9.5905583613916951E-4</v>
      </c>
      <c r="L49" s="9">
        <f t="shared" si="23"/>
        <v>1.0047251616696062E-3</v>
      </c>
      <c r="M49" s="11">
        <f>Table257111315252333353739414549515359121416182022242628303234364042444648[[#This Row],[Thresh]]</f>
        <v>9.5905583613916951E-4</v>
      </c>
      <c r="N49" s="9">
        <f>Table257111315252333353739414549515359121416182022242628303234364042444648[[#This Row],[Thresh]]*2.5</f>
        <v>2.3976395903479238E-3</v>
      </c>
      <c r="O49" s="24">
        <f>Table257111315252333353739414549515359121416182022242628303234364042444648[[#This Row],[R]]</f>
        <v>7.378472222222222E-4</v>
      </c>
      <c r="P49" s="9"/>
      <c r="Q49" s="24"/>
      <c r="R49" s="9"/>
      <c r="S49" s="12"/>
      <c r="T49" s="25"/>
      <c r="U49" s="9"/>
      <c r="V49" s="23" t="s">
        <v>30</v>
      </c>
      <c r="W49" s="104"/>
    </row>
    <row r="50" spans="1:23" ht="17.149999999999999" customHeight="1" x14ac:dyDescent="0.35">
      <c r="A50" s="8" t="s">
        <v>76</v>
      </c>
      <c r="B50" s="9">
        <v>1.0011574074074074E-2</v>
      </c>
      <c r="C50" s="9">
        <v>2.9513888888888888E-3</v>
      </c>
      <c r="D50" s="9">
        <f t="shared" si="16"/>
        <v>5.8247337962962957E-3</v>
      </c>
      <c r="E50" s="10">
        <v>0.58179999999999998</v>
      </c>
      <c r="F50" s="9">
        <f t="shared" si="17"/>
        <v>7.378472222222222E-4</v>
      </c>
      <c r="G50" s="9">
        <f t="shared" si="18"/>
        <v>7.7663117283950612E-4</v>
      </c>
      <c r="H50" s="9">
        <f t="shared" si="19"/>
        <v>8.0092592592592585E-4</v>
      </c>
      <c r="I50" s="9">
        <f t="shared" si="20"/>
        <v>8.3508728262312486E-4</v>
      </c>
      <c r="J50" s="9">
        <f t="shared" si="21"/>
        <v>8.4416431830381094E-4</v>
      </c>
      <c r="K50" s="9">
        <f t="shared" si="22"/>
        <v>8.825354236812569E-4</v>
      </c>
      <c r="L50" s="9">
        <f t="shared" si="23"/>
        <v>9.2456092004703113E-4</v>
      </c>
      <c r="M50" s="11">
        <f>Table257111315252333353739414549515359121416182022242628303234364042444648[[#This Row],[Thresh]]</f>
        <v>8.825354236812569E-4</v>
      </c>
      <c r="N50" s="9">
        <f>Table257111315252333353739414549515359121416182022242628303234364042444648[[#This Row],[Thresh]]*2.5</f>
        <v>2.2063385592031421E-3</v>
      </c>
      <c r="O50" s="24">
        <f>Table257111315252333353739414549515359121416182022242628303234364042444648[[#This Row],[R]]</f>
        <v>7.378472222222222E-4</v>
      </c>
      <c r="P50" s="9"/>
      <c r="Q50" s="24"/>
      <c r="R50" s="9"/>
      <c r="S50" s="24"/>
      <c r="T50" s="24"/>
      <c r="U50" s="24"/>
      <c r="V50" s="23" t="s">
        <v>30</v>
      </c>
      <c r="W50" s="104"/>
    </row>
    <row r="51" spans="1:23" ht="17.149999999999999" customHeight="1" x14ac:dyDescent="0.35">
      <c r="A51" s="8" t="s">
        <v>77</v>
      </c>
      <c r="B51" s="9">
        <v>1.0416666666666666E-2</v>
      </c>
      <c r="C51" s="9">
        <v>2.9745370370370373E-3</v>
      </c>
      <c r="D51" s="9">
        <f t="shared" si="16"/>
        <v>6.0604166666666662E-3</v>
      </c>
      <c r="E51" s="10">
        <v>0.58179999999999998</v>
      </c>
      <c r="F51" s="9">
        <f t="shared" si="17"/>
        <v>7.4363425925925931E-4</v>
      </c>
      <c r="G51" s="9">
        <f t="shared" si="18"/>
        <v>8.0805555555555546E-4</v>
      </c>
      <c r="H51" s="9">
        <f t="shared" si="19"/>
        <v>8.3333333333333328E-4</v>
      </c>
      <c r="I51" s="9">
        <f t="shared" si="20"/>
        <v>8.6887694145758646E-4</v>
      </c>
      <c r="J51" s="9">
        <f t="shared" si="21"/>
        <v>8.7832125603864715E-4</v>
      </c>
      <c r="K51" s="9">
        <f t="shared" si="22"/>
        <v>9.1824494949494938E-4</v>
      </c>
      <c r="L51" s="9">
        <f t="shared" si="23"/>
        <v>9.6197089947089938E-4</v>
      </c>
      <c r="M51" s="11">
        <f>Table257111315252333353739414549515359121416182022242628303234364042444648[[#This Row],[Thresh]]</f>
        <v>9.1824494949494938E-4</v>
      </c>
      <c r="N51" s="9">
        <f>Table257111315252333353739414549515359121416182022242628303234364042444648[[#This Row],[Thresh]]*2.5</f>
        <v>2.2956123737373733E-3</v>
      </c>
      <c r="O51" s="24">
        <f>Table257111315252333353739414549515359121416182022242628303234364042444648[[#This Row],[R]]</f>
        <v>7.4363425925925931E-4</v>
      </c>
      <c r="P51" s="12"/>
      <c r="Q51" s="97"/>
      <c r="R51" s="9"/>
      <c r="S51" s="9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78</v>
      </c>
      <c r="B52" s="9">
        <v>1.0243055555555556E-2</v>
      </c>
      <c r="C52" s="9">
        <v>2.9745370370370373E-3</v>
      </c>
      <c r="D52" s="9">
        <f t="shared" si="16"/>
        <v>5.9594097222222218E-3</v>
      </c>
      <c r="E52" s="10">
        <v>0.58179999999999998</v>
      </c>
      <c r="F52" s="9">
        <f t="shared" si="17"/>
        <v>7.4363425925925931E-4</v>
      </c>
      <c r="G52" s="9">
        <f t="shared" si="18"/>
        <v>7.9458796296296287E-4</v>
      </c>
      <c r="H52" s="9">
        <f t="shared" si="19"/>
        <v>8.1944444444444447E-4</v>
      </c>
      <c r="I52" s="9">
        <f t="shared" si="20"/>
        <v>8.5439565909996003E-4</v>
      </c>
      <c r="J52" s="9">
        <f t="shared" si="21"/>
        <v>8.636825684380031E-4</v>
      </c>
      <c r="K52" s="9">
        <f t="shared" si="22"/>
        <v>9.0294086700336686E-4</v>
      </c>
      <c r="L52" s="9">
        <f t="shared" si="23"/>
        <v>9.4593805114638445E-4</v>
      </c>
      <c r="M52" s="11">
        <f>Table257111315252333353739414549515359121416182022242628303234364042444648[[#This Row],[Thresh]]</f>
        <v>9.0294086700336686E-4</v>
      </c>
      <c r="N52" s="9">
        <f>Table257111315252333353739414549515359121416182022242628303234364042444648[[#This Row],[Thresh]]*2.5</f>
        <v>2.2573521675084171E-3</v>
      </c>
      <c r="O52" s="24">
        <f>Table257111315252333353739414549515359121416182022242628303234364042444648[[#This Row],[R]]</f>
        <v>7.4363425925925931E-4</v>
      </c>
      <c r="P52" s="12"/>
      <c r="Q52" s="97"/>
      <c r="R52" s="9"/>
      <c r="S52" s="24"/>
      <c r="T52" s="97"/>
      <c r="U52" s="24"/>
      <c r="V52" s="23" t="s">
        <v>34</v>
      </c>
      <c r="W52" s="104" t="s">
        <v>79</v>
      </c>
    </row>
    <row r="53" spans="1:23" ht="17.149999999999999" customHeight="1" x14ac:dyDescent="0.35">
      <c r="A53" s="8" t="s">
        <v>80</v>
      </c>
      <c r="B53" s="9">
        <v>1.0243055555555556E-2</v>
      </c>
      <c r="C53" s="9">
        <v>2.9745370370370373E-3</v>
      </c>
      <c r="D53" s="9">
        <f t="shared" si="16"/>
        <v>5.9594097222222218E-3</v>
      </c>
      <c r="E53" s="10">
        <v>0.58179999999999998</v>
      </c>
      <c r="F53" s="9">
        <f t="shared" si="17"/>
        <v>7.4363425925925931E-4</v>
      </c>
      <c r="G53" s="9">
        <f t="shared" si="18"/>
        <v>7.9458796296296287E-4</v>
      </c>
      <c r="H53" s="9">
        <f t="shared" si="19"/>
        <v>8.1944444444444447E-4</v>
      </c>
      <c r="I53" s="9">
        <f t="shared" si="20"/>
        <v>8.5439565909996003E-4</v>
      </c>
      <c r="J53" s="9">
        <f t="shared" si="21"/>
        <v>8.636825684380031E-4</v>
      </c>
      <c r="K53" s="9">
        <f t="shared" si="22"/>
        <v>9.0294086700336686E-4</v>
      </c>
      <c r="L53" s="9">
        <f t="shared" si="23"/>
        <v>9.4593805114638445E-4</v>
      </c>
      <c r="M53" s="11">
        <f>Table257111315252333353739414549515359121416182022242628303234364042444648[[#This Row],[Thresh]]</f>
        <v>9.0294086700336686E-4</v>
      </c>
      <c r="N53" s="9">
        <f>Table257111315252333353739414549515359121416182022242628303234364042444648[[#This Row],[Thresh]]*2.5</f>
        <v>2.2573521675084171E-3</v>
      </c>
      <c r="O53" s="24">
        <f>Table257111315252333353739414549515359121416182022242628303234364042444648[[#This Row],[R]]</f>
        <v>7.4363425925925931E-4</v>
      </c>
      <c r="P53" s="12"/>
      <c r="Q53" s="97"/>
      <c r="R53" s="9"/>
      <c r="S53" s="24"/>
      <c r="T53" s="97"/>
      <c r="U53" s="24"/>
      <c r="V53" s="23" t="s">
        <v>34</v>
      </c>
      <c r="W53" s="104"/>
    </row>
    <row r="54" spans="1:23" ht="17.149999999999999" customHeight="1" x14ac:dyDescent="0.35">
      <c r="A54" s="8" t="s">
        <v>81</v>
      </c>
      <c r="B54" s="9">
        <v>1.0763888888888891E-2</v>
      </c>
      <c r="C54" s="9">
        <v>3.0092592592592593E-3</v>
      </c>
      <c r="D54" s="9">
        <f t="shared" si="16"/>
        <v>6.2624305555555567E-3</v>
      </c>
      <c r="E54" s="10">
        <v>0.58179999999999998</v>
      </c>
      <c r="F54" s="9">
        <f t="shared" si="17"/>
        <v>7.5231481481481482E-4</v>
      </c>
      <c r="G54" s="9">
        <f t="shared" si="18"/>
        <v>8.3499074074074085E-4</v>
      </c>
      <c r="H54" s="9">
        <f t="shared" si="19"/>
        <v>8.6111111111111121E-4</v>
      </c>
      <c r="I54" s="9">
        <f t="shared" si="20"/>
        <v>8.9783950617283953E-4</v>
      </c>
      <c r="J54" s="9">
        <f t="shared" si="21"/>
        <v>9.0759863123993567E-4</v>
      </c>
      <c r="K54" s="9">
        <f t="shared" si="22"/>
        <v>9.4885311447811464E-4</v>
      </c>
      <c r="L54" s="9">
        <f t="shared" si="23"/>
        <v>9.9403659611992969E-4</v>
      </c>
      <c r="M54" s="11">
        <f>Table257111315252333353739414549515359121416182022242628303234364042444648[[#This Row],[Thresh]]</f>
        <v>9.4885311447811464E-4</v>
      </c>
      <c r="N54" s="9">
        <f>Table257111315252333353739414549515359121416182022242628303234364042444648[[#This Row],[Thresh]]*2.5</f>
        <v>2.3721327861952867E-3</v>
      </c>
      <c r="O54" s="24">
        <f>Table257111315252333353739414549515359121416182022242628303234364042444648[[#This Row],[R]]</f>
        <v>7.5231481481481482E-4</v>
      </c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82</v>
      </c>
      <c r="B55" s="9">
        <v>1.0416666666666666E-2</v>
      </c>
      <c r="C55" s="9">
        <v>3.0092592592592588E-3</v>
      </c>
      <c r="D55" s="9">
        <f t="shared" si="16"/>
        <v>6.0604166666666662E-3</v>
      </c>
      <c r="E55" s="10">
        <v>0.58179999999999998</v>
      </c>
      <c r="F55" s="9">
        <f t="shared" si="17"/>
        <v>7.5231481481481471E-4</v>
      </c>
      <c r="G55" s="9">
        <f t="shared" si="18"/>
        <v>8.0805555555555546E-4</v>
      </c>
      <c r="H55" s="9">
        <f t="shared" si="19"/>
        <v>8.3333333333333328E-4</v>
      </c>
      <c r="I55" s="9">
        <f t="shared" si="20"/>
        <v>8.6887694145758646E-4</v>
      </c>
      <c r="J55" s="9">
        <f t="shared" si="21"/>
        <v>8.7832125603864715E-4</v>
      </c>
      <c r="K55" s="9">
        <f t="shared" si="22"/>
        <v>9.1824494949494938E-4</v>
      </c>
      <c r="L55" s="9">
        <f t="shared" si="23"/>
        <v>9.6197089947089938E-4</v>
      </c>
      <c r="M55" s="11">
        <f>Table257111315252333353739414549515359121416182022242628303234364042444648[[#This Row],[Thresh]]</f>
        <v>9.1824494949494938E-4</v>
      </c>
      <c r="N55" s="9">
        <f>Table257111315252333353739414549515359121416182022242628303234364042444648[[#This Row],[Thresh]]*2.5</f>
        <v>2.2956123737373733E-3</v>
      </c>
      <c r="O55" s="24">
        <f>Table257111315252333353739414549515359121416182022242628303234364042444648[[#This Row],[R]]</f>
        <v>7.5231481481481471E-4</v>
      </c>
      <c r="P55" s="9"/>
      <c r="Q55" s="24"/>
      <c r="R55" s="9"/>
      <c r="S55" s="24"/>
      <c r="T55" s="97"/>
      <c r="U55" s="24"/>
      <c r="V55" s="23" t="s">
        <v>30</v>
      </c>
      <c r="W55" s="104"/>
    </row>
    <row r="56" spans="1:23" ht="17.149999999999999" customHeight="1" x14ac:dyDescent="0.35">
      <c r="A56" s="8" t="s">
        <v>83</v>
      </c>
      <c r="B56" s="9">
        <v>1.0763888888888891E-2</v>
      </c>
      <c r="C56" s="9">
        <v>3.0092592592592588E-3</v>
      </c>
      <c r="D56" s="9">
        <f t="shared" si="16"/>
        <v>6.2624305555555567E-3</v>
      </c>
      <c r="E56" s="10">
        <v>0.58179999999999998</v>
      </c>
      <c r="F56" s="9">
        <f t="shared" si="17"/>
        <v>7.5231481481481471E-4</v>
      </c>
      <c r="G56" s="9">
        <f t="shared" si="18"/>
        <v>8.3499074074074085E-4</v>
      </c>
      <c r="H56" s="9">
        <f t="shared" si="19"/>
        <v>8.6111111111111121E-4</v>
      </c>
      <c r="I56" s="9">
        <f t="shared" si="20"/>
        <v>8.9783950617283953E-4</v>
      </c>
      <c r="J56" s="9">
        <f t="shared" si="21"/>
        <v>9.0759863123993567E-4</v>
      </c>
      <c r="K56" s="9">
        <f t="shared" si="22"/>
        <v>9.4885311447811464E-4</v>
      </c>
      <c r="L56" s="9">
        <f t="shared" si="23"/>
        <v>9.9403659611992969E-4</v>
      </c>
      <c r="M56" s="11">
        <f>Table257111315252333353739414549515359121416182022242628303234364042444648[[#This Row],[Thresh]]</f>
        <v>9.4885311447811464E-4</v>
      </c>
      <c r="N56" s="9">
        <f>Table257111315252333353739414549515359121416182022242628303234364042444648[[#This Row],[Thresh]]*2.5</f>
        <v>2.3721327861952867E-3</v>
      </c>
      <c r="O56" s="24">
        <f>Table257111315252333353739414549515359121416182022242628303234364042444648[[#This Row],[R]]</f>
        <v>7.5231481481481471E-4</v>
      </c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84</v>
      </c>
      <c r="B57" s="9">
        <v>1.0763888888888891E-2</v>
      </c>
      <c r="C57" s="9">
        <v>3.0671296296296297E-3</v>
      </c>
      <c r="D57" s="9">
        <f t="shared" si="16"/>
        <v>6.2624305555555567E-3</v>
      </c>
      <c r="E57" s="10">
        <v>0.58179999999999998</v>
      </c>
      <c r="F57" s="9">
        <f t="shared" si="17"/>
        <v>7.6678240740740743E-4</v>
      </c>
      <c r="G57" s="9">
        <f t="shared" si="18"/>
        <v>8.3499074074074085E-4</v>
      </c>
      <c r="H57" s="9">
        <f t="shared" si="19"/>
        <v>8.6111111111111121E-4</v>
      </c>
      <c r="I57" s="9">
        <f t="shared" si="20"/>
        <v>8.9783950617283953E-4</v>
      </c>
      <c r="J57" s="9">
        <f t="shared" si="21"/>
        <v>9.0759863123993567E-4</v>
      </c>
      <c r="K57" s="9">
        <f t="shared" si="22"/>
        <v>9.4885311447811464E-4</v>
      </c>
      <c r="L57" s="9">
        <f t="shared" si="23"/>
        <v>9.9403659611992969E-4</v>
      </c>
      <c r="M57" s="11">
        <f>Table257111315252333353739414549515359121416182022242628303234364042444648[[#This Row],[Thresh]]</f>
        <v>9.4885311447811464E-4</v>
      </c>
      <c r="N57" s="9">
        <f>Table257111315252333353739414549515359121416182022242628303234364042444648[[#This Row],[Thresh]]*2.5</f>
        <v>2.3721327861952867E-3</v>
      </c>
      <c r="O57" s="24">
        <f>Table257111315252333353739414549515359121416182022242628303234364042444648[[#This Row],[R]]</f>
        <v>7.6678240740740743E-4</v>
      </c>
      <c r="P57" s="9"/>
      <c r="Q57" s="24"/>
      <c r="R57" s="9"/>
      <c r="S57" s="9"/>
      <c r="T57" s="24"/>
      <c r="V57" s="23" t="s">
        <v>30</v>
      </c>
      <c r="W57" s="104"/>
    </row>
    <row r="58" spans="1:23" ht="17.149999999999999" customHeight="1" x14ac:dyDescent="0.35">
      <c r="A58" s="8" t="s">
        <v>85</v>
      </c>
      <c r="B58" s="9">
        <v>1.0763888888888889E-2</v>
      </c>
      <c r="C58" s="9">
        <v>3.0671296296296297E-3</v>
      </c>
      <c r="D58" s="9">
        <f t="shared" si="16"/>
        <v>6.2624305555555549E-3</v>
      </c>
      <c r="E58" s="10">
        <v>0.58179999999999998</v>
      </c>
      <c r="F58" s="9">
        <f t="shared" si="17"/>
        <v>7.6678240740740743E-4</v>
      </c>
      <c r="G58" s="9">
        <f t="shared" si="18"/>
        <v>8.3499074074074064E-4</v>
      </c>
      <c r="H58" s="9">
        <f t="shared" si="19"/>
        <v>8.611111111111111E-4</v>
      </c>
      <c r="I58" s="9">
        <f t="shared" si="20"/>
        <v>8.9783950617283931E-4</v>
      </c>
      <c r="J58" s="9">
        <f t="shared" si="21"/>
        <v>9.0759863123993545E-4</v>
      </c>
      <c r="K58" s="9">
        <f t="shared" si="22"/>
        <v>9.4885311447811432E-4</v>
      </c>
      <c r="L58" s="9">
        <f t="shared" si="23"/>
        <v>9.9403659611992947E-4</v>
      </c>
      <c r="M58" s="11">
        <f>Table257111315252333353739414549515359121416182022242628303234364042444648[[#This Row],[Thresh]]</f>
        <v>9.4885311447811432E-4</v>
      </c>
      <c r="N58" s="9">
        <f>Table257111315252333353739414549515359121416182022242628303234364042444648[[#This Row],[Thresh]]*2.5</f>
        <v>2.3721327861952858E-3</v>
      </c>
      <c r="O58" s="24">
        <f>Table257111315252333353739414549515359121416182022242628303234364042444648[[#This Row],[R]]</f>
        <v>7.6678240740740743E-4</v>
      </c>
      <c r="P58" s="12"/>
      <c r="Q58" s="97"/>
      <c r="R58" s="9"/>
      <c r="S58" s="24"/>
      <c r="T58" s="24"/>
      <c r="U58" s="24"/>
      <c r="V58" s="23" t="s">
        <v>30</v>
      </c>
      <c r="W58" s="104"/>
    </row>
    <row r="59" spans="1:23" ht="17.149999999999999" customHeight="1" x14ac:dyDescent="0.35">
      <c r="A59" s="8" t="s">
        <v>86</v>
      </c>
      <c r="B59" s="9">
        <v>1.087962962962963E-2</v>
      </c>
      <c r="C59" s="9">
        <v>3.1249999999999997E-3</v>
      </c>
      <c r="D59" s="9">
        <f t="shared" si="16"/>
        <v>6.3297685185185184E-3</v>
      </c>
      <c r="E59" s="10">
        <v>0.58179999999999998</v>
      </c>
      <c r="F59" s="9">
        <f t="shared" si="17"/>
        <v>7.8124999999999993E-4</v>
      </c>
      <c r="G59" s="9">
        <f t="shared" si="18"/>
        <v>8.4396913580246917E-4</v>
      </c>
      <c r="H59" s="9">
        <f t="shared" si="19"/>
        <v>8.7037037037037042E-4</v>
      </c>
      <c r="I59" s="9">
        <f t="shared" si="20"/>
        <v>9.0749369441125711E-4</v>
      </c>
      <c r="J59" s="9">
        <f t="shared" si="21"/>
        <v>9.173577563070317E-4</v>
      </c>
      <c r="K59" s="9">
        <f t="shared" si="22"/>
        <v>9.5905583613916951E-4</v>
      </c>
      <c r="L59" s="9">
        <f t="shared" si="23"/>
        <v>1.0047251616696062E-3</v>
      </c>
      <c r="M59" s="11">
        <f>Table257111315252333353739414549515359121416182022242628303234364042444648[[#This Row],[Thresh]]</f>
        <v>9.5905583613916951E-4</v>
      </c>
      <c r="N59" s="9">
        <f>Table257111315252333353739414549515359121416182022242628303234364042444648[[#This Row],[Thresh]]*2.5</f>
        <v>2.3976395903479238E-3</v>
      </c>
      <c r="O59" s="24">
        <f>Table257111315252333353739414549515359121416182022242628303234364042444648[[#This Row],[R]]</f>
        <v>7.8124999999999993E-4</v>
      </c>
      <c r="P59" s="9"/>
      <c r="Q59" s="24"/>
      <c r="R59" s="9"/>
      <c r="S59" s="24"/>
      <c r="T59" s="24"/>
      <c r="U59" s="24"/>
      <c r="V59" s="23" t="s">
        <v>34</v>
      </c>
      <c r="W59" s="104"/>
    </row>
    <row r="60" spans="1:23" ht="17.149999999999999" customHeight="1" x14ac:dyDescent="0.35">
      <c r="A60" s="8" t="s">
        <v>87</v>
      </c>
      <c r="B60" s="9">
        <v>1.0763888888888891E-2</v>
      </c>
      <c r="C60" s="9">
        <v>3.1249999999999997E-3</v>
      </c>
      <c r="D60" s="9">
        <f t="shared" si="16"/>
        <v>6.2624305555555567E-3</v>
      </c>
      <c r="E60" s="10">
        <v>0.58179999999999998</v>
      </c>
      <c r="F60" s="9">
        <f t="shared" si="17"/>
        <v>7.8124999999999993E-4</v>
      </c>
      <c r="G60" s="9">
        <f t="shared" si="18"/>
        <v>8.3499074074074085E-4</v>
      </c>
      <c r="H60" s="9">
        <f t="shared" si="19"/>
        <v>8.6111111111111121E-4</v>
      </c>
      <c r="I60" s="9">
        <f t="shared" si="20"/>
        <v>8.9783950617283953E-4</v>
      </c>
      <c r="J60" s="9">
        <f t="shared" si="21"/>
        <v>9.0759863123993567E-4</v>
      </c>
      <c r="K60" s="9">
        <f t="shared" si="22"/>
        <v>9.4885311447811464E-4</v>
      </c>
      <c r="L60" s="9">
        <f t="shared" si="23"/>
        <v>9.9403659611992969E-4</v>
      </c>
      <c r="M60" s="11">
        <f>Table257111315252333353739414549515359121416182022242628303234364042444648[[#This Row],[Thresh]]</f>
        <v>9.4885311447811464E-4</v>
      </c>
      <c r="N60" s="9">
        <f>Table257111315252333353739414549515359121416182022242628303234364042444648[[#This Row],[Thresh]]*2.5</f>
        <v>2.3721327861952867E-3</v>
      </c>
      <c r="O60" s="24">
        <f>Table257111315252333353739414549515359121416182022242628303234364042444648[[#This Row],[R]]</f>
        <v>7.8124999999999993E-4</v>
      </c>
      <c r="P60" s="12"/>
      <c r="Q60" s="97"/>
      <c r="R60" s="9"/>
      <c r="S60" s="9"/>
      <c r="T60" s="24"/>
      <c r="U60" s="24"/>
      <c r="V60" s="23" t="s">
        <v>30</v>
      </c>
      <c r="W60" s="104"/>
    </row>
    <row r="61" spans="1:23" ht="17.149999999999999" customHeight="1" x14ac:dyDescent="0.35">
      <c r="A61" s="8" t="s">
        <v>88</v>
      </c>
      <c r="B61" s="9">
        <v>1.087962962962963E-2</v>
      </c>
      <c r="C61" s="9">
        <v>3.1828703703703702E-3</v>
      </c>
      <c r="D61" s="9">
        <f t="shared" si="16"/>
        <v>6.3297685185185184E-3</v>
      </c>
      <c r="E61" s="10">
        <v>0.58179999999999998</v>
      </c>
      <c r="F61" s="9">
        <f t="shared" si="17"/>
        <v>7.9571759259259255E-4</v>
      </c>
      <c r="G61" s="9">
        <f t="shared" si="18"/>
        <v>8.4396913580246917E-4</v>
      </c>
      <c r="H61" s="9">
        <f t="shared" si="19"/>
        <v>8.7037037037037042E-4</v>
      </c>
      <c r="I61" s="9">
        <f t="shared" si="20"/>
        <v>9.0749369441125711E-4</v>
      </c>
      <c r="J61" s="9">
        <f t="shared" si="21"/>
        <v>9.173577563070317E-4</v>
      </c>
      <c r="K61" s="9">
        <f t="shared" si="22"/>
        <v>9.5905583613916951E-4</v>
      </c>
      <c r="L61" s="9">
        <f t="shared" si="23"/>
        <v>1.0047251616696062E-3</v>
      </c>
      <c r="M61" s="11">
        <f>Table257111315252333353739414549515359121416182022242628303234364042444648[[#This Row],[Thresh]]</f>
        <v>9.5905583613916951E-4</v>
      </c>
      <c r="N61" s="9">
        <f>Table257111315252333353739414549515359121416182022242628303234364042444648[[#This Row],[Thresh]]*2.5</f>
        <v>2.3976395903479238E-3</v>
      </c>
      <c r="O61" s="24">
        <f>Table257111315252333353739414549515359121416182022242628303234364042444648[[#This Row],[R]]</f>
        <v>7.9571759259259255E-4</v>
      </c>
      <c r="P61" s="12"/>
      <c r="Q61" s="97"/>
      <c r="R61" s="9"/>
      <c r="S61" s="9"/>
      <c r="T61" s="24"/>
      <c r="U61" s="24"/>
      <c r="V61" s="23" t="s">
        <v>30</v>
      </c>
      <c r="W61" s="105" t="s">
        <v>89</v>
      </c>
    </row>
    <row r="62" spans="1:23" ht="17.149999999999999" customHeight="1" x14ac:dyDescent="0.35">
      <c r="A62" s="8" t="s">
        <v>90</v>
      </c>
      <c r="B62" s="9">
        <v>1.1111111111111112E-2</v>
      </c>
      <c r="C62" s="9">
        <v>3.1828703703703702E-3</v>
      </c>
      <c r="D62" s="9">
        <f t="shared" si="16"/>
        <v>6.4644444444444445E-3</v>
      </c>
      <c r="E62" s="10">
        <v>0.58179999999999998</v>
      </c>
      <c r="F62" s="9">
        <f t="shared" si="17"/>
        <v>7.9571759259259255E-4</v>
      </c>
      <c r="G62" s="9">
        <f t="shared" si="18"/>
        <v>8.6192592592592592E-4</v>
      </c>
      <c r="H62" s="9">
        <f t="shared" si="19"/>
        <v>8.8888888888888893E-4</v>
      </c>
      <c r="I62" s="9">
        <f t="shared" si="20"/>
        <v>9.2680207088809239E-4</v>
      </c>
      <c r="J62" s="9">
        <f t="shared" si="21"/>
        <v>9.3687600644122375E-4</v>
      </c>
      <c r="K62" s="9">
        <f t="shared" si="22"/>
        <v>9.7946127946127947E-4</v>
      </c>
      <c r="L62" s="9">
        <f t="shared" si="23"/>
        <v>1.0261022927689596E-3</v>
      </c>
      <c r="M62" s="11">
        <f>Table257111315252333353739414549515359121416182022242628303234364042444648[[#This Row],[Thresh]]</f>
        <v>9.7946127946127947E-4</v>
      </c>
      <c r="N62" s="9">
        <f>Table257111315252333353739414549515359121416182022242628303234364042444648[[#This Row],[Thresh]]*2.5</f>
        <v>2.4486531986531988E-3</v>
      </c>
      <c r="O62" s="24">
        <f>Table257111315252333353739414549515359121416182022242628303234364042444648[[#This Row],[R]]</f>
        <v>7.9571759259259255E-4</v>
      </c>
      <c r="P62" s="9"/>
      <c r="Q62" s="24"/>
      <c r="R62" s="9"/>
      <c r="S62" s="12"/>
      <c r="T62" s="25"/>
      <c r="U62" s="28"/>
      <c r="V62" s="23" t="s">
        <v>30</v>
      </c>
      <c r="W62" s="105"/>
    </row>
    <row r="63" spans="1:23" ht="17.149999999999999" customHeight="1" x14ac:dyDescent="0.35">
      <c r="A63" s="8" t="s">
        <v>91</v>
      </c>
      <c r="B63" s="9">
        <v>1.1458333333333334E-2</v>
      </c>
      <c r="C63" s="9">
        <v>3.2407407407407406E-3</v>
      </c>
      <c r="D63" s="9">
        <f t="shared" si="16"/>
        <v>6.6664583333333333E-3</v>
      </c>
      <c r="E63" s="10">
        <v>0.58179999999999998</v>
      </c>
      <c r="F63" s="9">
        <f t="shared" si="17"/>
        <v>8.1018518518518516E-4</v>
      </c>
      <c r="G63" s="9">
        <f t="shared" si="18"/>
        <v>8.888611111111111E-4</v>
      </c>
      <c r="H63" s="9">
        <f t="shared" si="19"/>
        <v>9.1666666666666676E-4</v>
      </c>
      <c r="I63" s="9">
        <f t="shared" si="20"/>
        <v>9.5576463560334524E-4</v>
      </c>
      <c r="J63" s="9">
        <f t="shared" si="21"/>
        <v>9.6615338164251206E-4</v>
      </c>
      <c r="K63" s="9">
        <f t="shared" si="22"/>
        <v>1.0100694444444445E-3</v>
      </c>
      <c r="L63" s="9">
        <f t="shared" si="23"/>
        <v>1.0581679894179894E-3</v>
      </c>
      <c r="M63" s="11">
        <f>Table257111315252333353739414549515359121416182022242628303234364042444648[[#This Row],[Thresh]]</f>
        <v>1.0100694444444445E-3</v>
      </c>
      <c r="N63" s="9">
        <f>Table257111315252333353739414549515359121416182022242628303234364042444648[[#This Row],[Thresh]]*2.5</f>
        <v>2.5251736111111113E-3</v>
      </c>
      <c r="O63" s="24">
        <f>Table257111315252333353739414549515359121416182022242628303234364042444648[[#This Row],[R]]</f>
        <v>8.1018518518518516E-4</v>
      </c>
      <c r="P63" s="9"/>
      <c r="Q63" s="24"/>
      <c r="R63" s="9"/>
      <c r="S63" s="12"/>
      <c r="V63" s="23" t="s">
        <v>30</v>
      </c>
      <c r="W63" s="105"/>
    </row>
    <row r="64" spans="1:23" ht="17.149999999999999" customHeight="1" x14ac:dyDescent="0.35">
      <c r="A64" s="8" t="s">
        <v>92</v>
      </c>
      <c r="B64" s="9">
        <v>1.1111111111111112E-2</v>
      </c>
      <c r="C64" s="9">
        <v>3.2407407407407406E-3</v>
      </c>
      <c r="D64" s="9">
        <f t="shared" si="16"/>
        <v>6.4644444444444445E-3</v>
      </c>
      <c r="E64" s="10">
        <v>0.58179999999999998</v>
      </c>
      <c r="F64" s="9">
        <f t="shared" si="17"/>
        <v>8.1018518518518516E-4</v>
      </c>
      <c r="G64" s="9">
        <f t="shared" si="18"/>
        <v>8.6192592592592592E-4</v>
      </c>
      <c r="H64" s="9">
        <f t="shared" si="19"/>
        <v>8.8888888888888893E-4</v>
      </c>
      <c r="I64" s="9">
        <f t="shared" si="20"/>
        <v>9.2680207088809239E-4</v>
      </c>
      <c r="J64" s="9">
        <f t="shared" si="21"/>
        <v>9.3687600644122375E-4</v>
      </c>
      <c r="K64" s="9">
        <f t="shared" si="22"/>
        <v>9.7946127946127947E-4</v>
      </c>
      <c r="L64" s="9">
        <f t="shared" si="23"/>
        <v>1.0261022927689596E-3</v>
      </c>
      <c r="M64" s="11">
        <f>Table257111315252333353739414549515359121416182022242628303234364042444648[[#This Row],[Thresh]]</f>
        <v>9.7946127946127947E-4</v>
      </c>
      <c r="N64" s="9">
        <f>Table257111315252333353739414549515359121416182022242628303234364042444648[[#This Row],[Thresh]]*2.5</f>
        <v>2.4486531986531988E-3</v>
      </c>
      <c r="O64" s="24">
        <f>Table257111315252333353739414549515359121416182022242628303234364042444648[[#This Row],[R]]</f>
        <v>8.1018518518518516E-4</v>
      </c>
      <c r="P64" s="9"/>
      <c r="Q64" s="24"/>
      <c r="R64" s="9"/>
      <c r="S64" s="12"/>
      <c r="T64" s="25"/>
      <c r="V64" s="23" t="s">
        <v>30</v>
      </c>
      <c r="W64" s="105"/>
    </row>
    <row r="65" spans="1:23" ht="17.149999999999999" customHeight="1" x14ac:dyDescent="0.35">
      <c r="A65" s="8" t="s">
        <v>93</v>
      </c>
      <c r="B65" s="9">
        <v>1.1921296296296298E-2</v>
      </c>
      <c r="C65" s="9">
        <v>3.414351851851852E-3</v>
      </c>
      <c r="D65" s="9">
        <f t="shared" si="16"/>
        <v>6.9358101851851863E-3</v>
      </c>
      <c r="E65" s="10">
        <v>0.58179999999999998</v>
      </c>
      <c r="F65" s="9">
        <f t="shared" si="17"/>
        <v>8.53587962962963E-4</v>
      </c>
      <c r="G65" s="9">
        <f t="shared" si="18"/>
        <v>9.2477469135802482E-4</v>
      </c>
      <c r="H65" s="9">
        <f t="shared" si="19"/>
        <v>9.5370370370370379E-4</v>
      </c>
      <c r="I65" s="9">
        <f t="shared" si="20"/>
        <v>9.943813885570159E-4</v>
      </c>
      <c r="J65" s="9">
        <f t="shared" si="21"/>
        <v>1.0051898819108964E-3</v>
      </c>
      <c r="K65" s="9">
        <f t="shared" si="22"/>
        <v>1.0508803310886646E-3</v>
      </c>
      <c r="L65" s="9">
        <f t="shared" si="23"/>
        <v>1.1009222516166963E-3</v>
      </c>
      <c r="M65" s="11">
        <f>Table257111315252333353739414549515359121416182022242628303234364042444648[[#This Row],[Thresh]]</f>
        <v>1.0508803310886646E-3</v>
      </c>
      <c r="N65" s="9">
        <f>Table257111315252333353739414549515359121416182022242628303234364042444648[[#This Row],[Thresh]]*2.5</f>
        <v>2.6272008277216617E-3</v>
      </c>
      <c r="O65" s="24">
        <f>Table257111315252333353739414549515359121416182022242628303234364042444648[[#This Row],[R]]</f>
        <v>8.53587962962963E-4</v>
      </c>
      <c r="P65" s="9"/>
      <c r="Q65" s="24"/>
      <c r="R65" s="9"/>
      <c r="S65" s="12"/>
      <c r="T65" s="25"/>
      <c r="V65" s="23" t="s">
        <v>30</v>
      </c>
      <c r="W65" s="105"/>
    </row>
    <row r="66" spans="1:23" ht="17.149999999999999" customHeight="1" x14ac:dyDescent="0.35">
      <c r="A66" s="8" t="s">
        <v>94</v>
      </c>
      <c r="B66" s="9">
        <v>1.1574074074074073E-2</v>
      </c>
      <c r="C66" s="9">
        <v>3.414351851851852E-3</v>
      </c>
      <c r="D66" s="9">
        <f t="shared" si="16"/>
        <v>6.7337962962962959E-3</v>
      </c>
      <c r="E66" s="10">
        <v>0.58179999999999998</v>
      </c>
      <c r="F66" s="9">
        <f t="shared" si="17"/>
        <v>8.53587962962963E-4</v>
      </c>
      <c r="G66" s="9">
        <f t="shared" si="18"/>
        <v>8.9783950617283942E-4</v>
      </c>
      <c r="H66" s="9">
        <f t="shared" si="19"/>
        <v>9.2592592592592585E-4</v>
      </c>
      <c r="I66" s="9">
        <f t="shared" si="20"/>
        <v>9.6541882384176272E-4</v>
      </c>
      <c r="J66" s="9">
        <f t="shared" si="21"/>
        <v>9.7591250670960798E-4</v>
      </c>
      <c r="K66" s="9">
        <f t="shared" si="22"/>
        <v>1.0202721661054994E-3</v>
      </c>
      <c r="L66" s="9">
        <f t="shared" si="23"/>
        <v>1.068856554967666E-3</v>
      </c>
      <c r="M66" s="11">
        <f>Table257111315252333353739414549515359121416182022242628303234364042444648[[#This Row],[Thresh]]</f>
        <v>1.0202721661054994E-3</v>
      </c>
      <c r="N66" s="9">
        <f>Table257111315252333353739414549515359121416182022242628303234364042444648[[#This Row],[Thresh]]*2.5</f>
        <v>2.5506804152637483E-3</v>
      </c>
      <c r="O66" s="24">
        <f>Table257111315252333353739414549515359121416182022242628303234364042444648[[#This Row],[R]]</f>
        <v>8.53587962962963E-4</v>
      </c>
      <c r="P66" s="9"/>
      <c r="Q66" s="24"/>
      <c r="R66" s="9"/>
      <c r="S66" s="24"/>
      <c r="V66" s="23" t="s">
        <v>30</v>
      </c>
      <c r="W66" s="106"/>
    </row>
    <row r="67" spans="1:23" ht="17.149999999999999" customHeight="1" x14ac:dyDescent="0.35">
      <c r="A67" s="14" t="s">
        <v>0</v>
      </c>
      <c r="B67" s="15"/>
      <c r="C67" s="15"/>
      <c r="D67" s="15"/>
      <c r="E67" s="16"/>
      <c r="F67" s="15">
        <f t="shared" si="17"/>
        <v>0</v>
      </c>
      <c r="G67" s="15">
        <f t="shared" si="18"/>
        <v>0</v>
      </c>
      <c r="H67" s="15">
        <f t="shared" si="19"/>
        <v>0</v>
      </c>
      <c r="I67" s="15">
        <f t="shared" si="20"/>
        <v>0</v>
      </c>
      <c r="J67" s="15">
        <f t="shared" si="21"/>
        <v>0</v>
      </c>
      <c r="K67" s="15">
        <f t="shared" si="22"/>
        <v>0</v>
      </c>
      <c r="L67" s="15">
        <f t="shared" si="23"/>
        <v>0</v>
      </c>
      <c r="M67" s="30" t="s">
        <v>12</v>
      </c>
      <c r="N67" s="15" t="s">
        <v>58</v>
      </c>
      <c r="O67" s="15" t="s">
        <v>46</v>
      </c>
      <c r="P67" s="15"/>
      <c r="Q67" s="15"/>
      <c r="R67" s="15"/>
      <c r="S67" s="15"/>
      <c r="T67" s="15"/>
      <c r="U67" s="15"/>
      <c r="V67" s="17"/>
      <c r="W67" s="107" t="s">
        <v>95</v>
      </c>
    </row>
    <row r="68" spans="1:23" ht="17.149999999999999" customHeight="1" x14ac:dyDescent="0.35">
      <c r="A68" s="8" t="s">
        <v>96</v>
      </c>
      <c r="B68" s="9">
        <v>1.0011574074074074E-2</v>
      </c>
      <c r="C68" s="9">
        <v>2.9513888888888888E-3</v>
      </c>
      <c r="D68" s="9">
        <f t="shared" ref="D68:D83" si="24">B68*E68</f>
        <v>5.8247337962962957E-3</v>
      </c>
      <c r="E68" s="10">
        <v>0.58179999999999998</v>
      </c>
      <c r="F68" s="9">
        <f t="shared" si="17"/>
        <v>7.378472222222222E-4</v>
      </c>
      <c r="G68" s="9">
        <f t="shared" si="18"/>
        <v>7.7663117283950612E-4</v>
      </c>
      <c r="H68" s="9">
        <f t="shared" si="19"/>
        <v>8.0092592592592585E-4</v>
      </c>
      <c r="I68" s="9">
        <f t="shared" si="20"/>
        <v>8.3508728262312486E-4</v>
      </c>
      <c r="J68" s="9">
        <f t="shared" si="21"/>
        <v>8.4416431830381094E-4</v>
      </c>
      <c r="K68" s="9">
        <f t="shared" si="22"/>
        <v>8.825354236812569E-4</v>
      </c>
      <c r="L68" s="9">
        <f t="shared" si="23"/>
        <v>9.2456092004703113E-4</v>
      </c>
      <c r="M68" s="11">
        <f>Table257111315252333353739414549515359121416182022242628303234364042444648[[#This Row],[Thresh]]</f>
        <v>8.825354236812569E-4</v>
      </c>
      <c r="N68" s="9">
        <f>Table257111315252333353739414549515359121416182022242628303234364042444648[[#This Row],[Thresh]]*2.5</f>
        <v>2.2063385592031421E-3</v>
      </c>
      <c r="O68" s="24">
        <f>Table257111315252333353739414549515359121416182022242628303234364042444648[[#This Row],[I]]</f>
        <v>8.0092592592592585E-4</v>
      </c>
      <c r="P68" s="9"/>
      <c r="Q68" s="24"/>
      <c r="R68" s="9"/>
      <c r="S68" s="24"/>
      <c r="T68" s="97"/>
      <c r="U68" s="24"/>
      <c r="V68" s="23" t="s">
        <v>48</v>
      </c>
      <c r="W68" s="108"/>
    </row>
    <row r="69" spans="1:23" ht="17.149999999999999" customHeight="1" x14ac:dyDescent="0.35">
      <c r="A69" s="8" t="s">
        <v>97</v>
      </c>
      <c r="B69" s="9">
        <v>1.0011574074074074E-2</v>
      </c>
      <c r="C69" s="9">
        <v>2.9745370370370373E-3</v>
      </c>
      <c r="D69" s="9">
        <f t="shared" si="24"/>
        <v>5.8247337962962957E-3</v>
      </c>
      <c r="E69" s="10">
        <v>0.58179999999999998</v>
      </c>
      <c r="F69" s="9">
        <f t="shared" si="17"/>
        <v>7.4363425925925931E-4</v>
      </c>
      <c r="G69" s="9">
        <f t="shared" si="18"/>
        <v>7.7663117283950612E-4</v>
      </c>
      <c r="H69" s="9">
        <f t="shared" si="19"/>
        <v>8.0092592592592585E-4</v>
      </c>
      <c r="I69" s="9">
        <f t="shared" si="20"/>
        <v>8.3508728262312486E-4</v>
      </c>
      <c r="J69" s="9">
        <f t="shared" si="21"/>
        <v>8.4416431830381094E-4</v>
      </c>
      <c r="K69" s="9">
        <f t="shared" si="22"/>
        <v>8.825354236812569E-4</v>
      </c>
      <c r="L69" s="9">
        <f t="shared" si="23"/>
        <v>9.2456092004703113E-4</v>
      </c>
      <c r="M69" s="11">
        <f>Table257111315252333353739414549515359121416182022242628303234364042444648[[#This Row],[Thresh]]</f>
        <v>8.825354236812569E-4</v>
      </c>
      <c r="N69" s="9">
        <f>Table257111315252333353739414549515359121416182022242628303234364042444648[[#This Row],[Thresh]]*2.5</f>
        <v>2.2063385592031421E-3</v>
      </c>
      <c r="O69" s="24">
        <f>Table257111315252333353739414549515359121416182022242628303234364042444648[[#This Row],[I]]</f>
        <v>8.0092592592592585E-4</v>
      </c>
      <c r="P69" s="9"/>
      <c r="Q69" s="24"/>
      <c r="R69" s="9"/>
      <c r="S69" s="24"/>
      <c r="T69" s="97"/>
      <c r="U69" s="24"/>
      <c r="V69" s="23" t="s">
        <v>48</v>
      </c>
      <c r="W69" s="108"/>
    </row>
    <row r="70" spans="1:23" ht="17.149999999999999" customHeight="1" x14ac:dyDescent="0.35">
      <c r="A70" s="8" t="s">
        <v>98</v>
      </c>
      <c r="B70" s="9">
        <v>1.0243055555555556E-2</v>
      </c>
      <c r="C70" s="9">
        <v>3.0092592592592588E-3</v>
      </c>
      <c r="D70" s="9">
        <f t="shared" si="24"/>
        <v>5.9594097222222218E-3</v>
      </c>
      <c r="E70" s="10">
        <v>0.58179999999999998</v>
      </c>
      <c r="F70" s="9">
        <f t="shared" si="17"/>
        <v>7.5231481481481471E-4</v>
      </c>
      <c r="G70" s="9">
        <f t="shared" si="18"/>
        <v>7.9458796296296287E-4</v>
      </c>
      <c r="H70" s="9">
        <f t="shared" si="19"/>
        <v>8.1944444444444447E-4</v>
      </c>
      <c r="I70" s="9">
        <f t="shared" si="20"/>
        <v>8.5439565909996003E-4</v>
      </c>
      <c r="J70" s="9">
        <f t="shared" si="21"/>
        <v>8.636825684380031E-4</v>
      </c>
      <c r="K70" s="9">
        <f t="shared" si="22"/>
        <v>9.0294086700336686E-4</v>
      </c>
      <c r="L70" s="9">
        <f t="shared" si="23"/>
        <v>9.4593805114638445E-4</v>
      </c>
      <c r="M70" s="11">
        <f>Table257111315252333353739414549515359121416182022242628303234364042444648[[#This Row],[Thresh]]</f>
        <v>9.0294086700336686E-4</v>
      </c>
      <c r="N70" s="9">
        <f>Table257111315252333353739414549515359121416182022242628303234364042444648[[#This Row],[Thresh]]*2.5</f>
        <v>2.2573521675084171E-3</v>
      </c>
      <c r="O70" s="24">
        <f>Table257111315252333353739414549515359121416182022242628303234364042444648[[#This Row],[I]]</f>
        <v>8.1944444444444447E-4</v>
      </c>
      <c r="P70" s="9"/>
      <c r="Q70" s="24"/>
      <c r="R70" s="9"/>
      <c r="S70" s="24"/>
      <c r="T70" s="97"/>
      <c r="U70" s="100"/>
      <c r="V70" s="23" t="s">
        <v>48</v>
      </c>
      <c r="W70" s="108"/>
    </row>
    <row r="71" spans="1:23" ht="17.149999999999999" customHeight="1" x14ac:dyDescent="0.35">
      <c r="A71" s="8" t="s">
        <v>99</v>
      </c>
      <c r="B71" s="9">
        <v>1.0243055555555556E-2</v>
      </c>
      <c r="C71" s="9">
        <v>3.0092592592592588E-3</v>
      </c>
      <c r="D71" s="9">
        <f t="shared" si="24"/>
        <v>5.9594097222222218E-3</v>
      </c>
      <c r="E71" s="10">
        <v>0.58179999999999998</v>
      </c>
      <c r="F71" s="9">
        <f t="shared" si="17"/>
        <v>7.5231481481481471E-4</v>
      </c>
      <c r="G71" s="9">
        <f t="shared" si="18"/>
        <v>7.9458796296296287E-4</v>
      </c>
      <c r="H71" s="9">
        <f t="shared" si="19"/>
        <v>8.1944444444444447E-4</v>
      </c>
      <c r="I71" s="9">
        <f t="shared" si="20"/>
        <v>8.5439565909996003E-4</v>
      </c>
      <c r="J71" s="9">
        <f t="shared" si="21"/>
        <v>8.636825684380031E-4</v>
      </c>
      <c r="K71" s="9">
        <f t="shared" si="22"/>
        <v>9.0294086700336686E-4</v>
      </c>
      <c r="L71" s="9">
        <f t="shared" si="23"/>
        <v>9.4593805114638445E-4</v>
      </c>
      <c r="M71" s="11">
        <f>Table257111315252333353739414549515359121416182022242628303234364042444648[[#This Row],[Thresh]]</f>
        <v>9.0294086700336686E-4</v>
      </c>
      <c r="N71" s="9">
        <f>Table257111315252333353739414549515359121416182022242628303234364042444648[[#This Row],[Thresh]]*2.5</f>
        <v>2.2573521675084171E-3</v>
      </c>
      <c r="O71" s="24">
        <f>Table257111315252333353739414549515359121416182022242628303234364042444648[[#This Row],[I]]</f>
        <v>8.1944444444444447E-4</v>
      </c>
      <c r="P71" s="12"/>
      <c r="Q71" s="97"/>
      <c r="R71" s="9"/>
      <c r="S71" s="24"/>
      <c r="T71" s="97"/>
      <c r="U71" s="24"/>
      <c r="V71" s="23" t="s">
        <v>48</v>
      </c>
      <c r="W71" s="108"/>
    </row>
    <row r="72" spans="1:23" ht="17.149999999999999" customHeight="1" x14ac:dyDescent="0.35">
      <c r="A72" s="8" t="s">
        <v>100</v>
      </c>
      <c r="B72" s="9">
        <v>1.0243055555555556E-2</v>
      </c>
      <c r="C72" s="9">
        <v>2.9745370370370373E-3</v>
      </c>
      <c r="D72" s="9">
        <f t="shared" si="24"/>
        <v>5.9594097222222218E-3</v>
      </c>
      <c r="E72" s="10">
        <v>0.58179999999999998</v>
      </c>
      <c r="F72" s="9">
        <f t="shared" si="17"/>
        <v>7.4363425925925931E-4</v>
      </c>
      <c r="G72" s="9">
        <f t="shared" si="18"/>
        <v>7.9458796296296287E-4</v>
      </c>
      <c r="H72" s="9">
        <f t="shared" si="19"/>
        <v>8.1944444444444447E-4</v>
      </c>
      <c r="I72" s="9">
        <f t="shared" si="20"/>
        <v>8.5439565909996003E-4</v>
      </c>
      <c r="J72" s="9">
        <f t="shared" si="21"/>
        <v>8.636825684380031E-4</v>
      </c>
      <c r="K72" s="9">
        <f t="shared" si="22"/>
        <v>9.0294086700336686E-4</v>
      </c>
      <c r="L72" s="9">
        <f t="shared" si="23"/>
        <v>9.4593805114638445E-4</v>
      </c>
      <c r="M72" s="11">
        <f>Table257111315252333353739414549515359121416182022242628303234364042444648[[#This Row],[Thresh]]</f>
        <v>9.0294086700336686E-4</v>
      </c>
      <c r="N72" s="9">
        <f>Table257111315252333353739414549515359121416182022242628303234364042444648[[#This Row],[Thresh]]*2.5</f>
        <v>2.2573521675084171E-3</v>
      </c>
      <c r="O72" s="24">
        <f>Table257111315252333353739414549515359121416182022242628303234364042444648[[#This Row],[I]]</f>
        <v>8.1944444444444447E-4</v>
      </c>
      <c r="P72" s="9"/>
      <c r="Q72" s="24"/>
      <c r="R72" s="9"/>
      <c r="S72" s="24"/>
      <c r="T72" s="97"/>
      <c r="U72" s="24"/>
      <c r="V72" s="23" t="s">
        <v>48</v>
      </c>
      <c r="W72" s="108"/>
    </row>
    <row r="73" spans="1:23" ht="17.149999999999999" customHeight="1" x14ac:dyDescent="0.35">
      <c r="A73" s="8" t="s">
        <v>101</v>
      </c>
      <c r="B73" s="9">
        <v>1.0243055555555556E-2</v>
      </c>
      <c r="C73" s="9">
        <v>3.0671296296296297E-3</v>
      </c>
      <c r="D73" s="9">
        <f t="shared" si="24"/>
        <v>5.9594097222222218E-3</v>
      </c>
      <c r="E73" s="10">
        <v>0.58179999999999998</v>
      </c>
      <c r="F73" s="9">
        <f t="shared" si="17"/>
        <v>7.6678240740740743E-4</v>
      </c>
      <c r="G73" s="9">
        <f t="shared" si="18"/>
        <v>7.9458796296296287E-4</v>
      </c>
      <c r="H73" s="9">
        <f t="shared" si="19"/>
        <v>8.1944444444444447E-4</v>
      </c>
      <c r="I73" s="9">
        <f t="shared" si="20"/>
        <v>8.5439565909996003E-4</v>
      </c>
      <c r="J73" s="9">
        <f t="shared" si="21"/>
        <v>8.636825684380031E-4</v>
      </c>
      <c r="K73" s="9">
        <f t="shared" si="22"/>
        <v>9.0294086700336686E-4</v>
      </c>
      <c r="L73" s="9">
        <f t="shared" si="23"/>
        <v>9.4593805114638445E-4</v>
      </c>
      <c r="M73" s="11">
        <f>Table257111315252333353739414549515359121416182022242628303234364042444648[[#This Row],[Thresh]]</f>
        <v>9.0294086700336686E-4</v>
      </c>
      <c r="N73" s="9">
        <f>Table257111315252333353739414549515359121416182022242628303234364042444648[[#This Row],[Thresh]]*2.5</f>
        <v>2.2573521675084171E-3</v>
      </c>
      <c r="O73" s="24">
        <f>Table257111315252333353739414549515359121416182022242628303234364042444648[[#This Row],[I]]</f>
        <v>8.1944444444444447E-4</v>
      </c>
      <c r="P73" s="9"/>
      <c r="Q73" s="24"/>
      <c r="R73" s="9"/>
      <c r="S73" s="24"/>
      <c r="T73" s="97"/>
      <c r="U73" s="24"/>
      <c r="V73" s="23" t="s">
        <v>48</v>
      </c>
      <c r="W73" s="108"/>
    </row>
    <row r="74" spans="1:23" ht="17.149999999999999" customHeight="1" x14ac:dyDescent="0.35">
      <c r="A74" s="8" t="s">
        <v>102</v>
      </c>
      <c r="B74" s="9">
        <v>1.0474537037037037E-2</v>
      </c>
      <c r="C74" s="9">
        <v>3.0671296296296297E-3</v>
      </c>
      <c r="D74" s="9">
        <f t="shared" si="24"/>
        <v>6.094085648148148E-3</v>
      </c>
      <c r="E74" s="10">
        <v>0.58179999999999998</v>
      </c>
      <c r="F74" s="9">
        <f t="shared" si="17"/>
        <v>7.6678240740740743E-4</v>
      </c>
      <c r="G74" s="9">
        <f t="shared" si="18"/>
        <v>8.1254475308641973E-4</v>
      </c>
      <c r="H74" s="9">
        <f t="shared" si="19"/>
        <v>8.3796296296296299E-4</v>
      </c>
      <c r="I74" s="9">
        <f t="shared" si="20"/>
        <v>8.7370403557679541E-4</v>
      </c>
      <c r="J74" s="9">
        <f t="shared" si="21"/>
        <v>8.8320081857219527E-4</v>
      </c>
      <c r="K74" s="9">
        <f t="shared" si="22"/>
        <v>9.2334631032547692E-4</v>
      </c>
      <c r="L74" s="9">
        <f t="shared" si="23"/>
        <v>9.6731518224573777E-4</v>
      </c>
      <c r="M74" s="11">
        <f>Table257111315252333353739414549515359121416182022242628303234364042444648[[#This Row],[Thresh]]</f>
        <v>9.2334631032547692E-4</v>
      </c>
      <c r="N74" s="9">
        <f>Table257111315252333353739414549515359121416182022242628303234364042444648[[#This Row],[Thresh]]*2.5</f>
        <v>2.3083657758136925E-3</v>
      </c>
      <c r="O74" s="24">
        <f>Table257111315252333353739414549515359121416182022242628303234364042444648[[#This Row],[I]]</f>
        <v>8.3796296296296299E-4</v>
      </c>
      <c r="P74" s="12"/>
      <c r="Q74" s="97"/>
      <c r="R74" s="9"/>
      <c r="S74" s="24"/>
      <c r="T74" s="97"/>
      <c r="U74" s="24"/>
      <c r="V74" s="23" t="s">
        <v>48</v>
      </c>
      <c r="W74" s="108"/>
    </row>
    <row r="75" spans="1:23" ht="17.149999999999999" customHeight="1" x14ac:dyDescent="0.35">
      <c r="A75" s="8" t="s">
        <v>103</v>
      </c>
      <c r="B75" s="9">
        <v>1.064814814814815E-2</v>
      </c>
      <c r="C75" s="9">
        <v>3.0671296296296297E-3</v>
      </c>
      <c r="D75" s="9">
        <f t="shared" si="24"/>
        <v>6.1950925925925932E-3</v>
      </c>
      <c r="E75" s="10">
        <v>0.58179999999999998</v>
      </c>
      <c r="F75" s="9">
        <f t="shared" si="17"/>
        <v>7.6678240740740743E-4</v>
      </c>
      <c r="G75" s="9">
        <f t="shared" si="18"/>
        <v>8.2601234567901242E-4</v>
      </c>
      <c r="H75" s="9">
        <f t="shared" si="19"/>
        <v>8.5185185185185201E-4</v>
      </c>
      <c r="I75" s="9">
        <f t="shared" si="20"/>
        <v>8.8818531793442195E-4</v>
      </c>
      <c r="J75" s="9">
        <f t="shared" si="21"/>
        <v>8.9783950617283953E-4</v>
      </c>
      <c r="K75" s="9">
        <f t="shared" si="22"/>
        <v>9.3865039281705955E-4</v>
      </c>
      <c r="L75" s="9">
        <f t="shared" si="23"/>
        <v>9.8334803057025292E-4</v>
      </c>
      <c r="M75" s="11">
        <f>Table257111315252333353739414549515359121416182022242628303234364042444648[[#This Row],[Thresh]]</f>
        <v>9.3865039281705955E-4</v>
      </c>
      <c r="N75" s="9">
        <f>Table257111315252333353739414549515359121416182022242628303234364042444648[[#This Row],[Thresh]]*2.5</f>
        <v>2.3466259820426488E-3</v>
      </c>
      <c r="O75" s="24">
        <f>Table257111315252333353739414549515359121416182022242628303234364042444648[[#This Row],[I]]</f>
        <v>8.5185185185185201E-4</v>
      </c>
      <c r="P75" s="9"/>
      <c r="Q75" s="24"/>
      <c r="R75" s="9"/>
      <c r="S75" s="9"/>
      <c r="T75" s="24"/>
      <c r="V75" s="23" t="s">
        <v>48</v>
      </c>
      <c r="W75" s="108"/>
    </row>
    <row r="76" spans="1:23" ht="17.149999999999999" customHeight="1" x14ac:dyDescent="0.35">
      <c r="A76" s="8" t="s">
        <v>104</v>
      </c>
      <c r="B76" s="9">
        <v>1.064814814814815E-2</v>
      </c>
      <c r="C76" s="9">
        <v>3.1249999999999997E-3</v>
      </c>
      <c r="D76" s="9">
        <f t="shared" si="24"/>
        <v>6.1950925925925932E-3</v>
      </c>
      <c r="E76" s="10">
        <v>0.58179999999999998</v>
      </c>
      <c r="F76" s="9">
        <f t="shared" si="17"/>
        <v>7.8124999999999993E-4</v>
      </c>
      <c r="G76" s="9">
        <f t="shared" si="18"/>
        <v>8.2601234567901242E-4</v>
      </c>
      <c r="H76" s="9">
        <f t="shared" si="19"/>
        <v>8.5185185185185201E-4</v>
      </c>
      <c r="I76" s="9">
        <f t="shared" si="20"/>
        <v>8.8818531793442195E-4</v>
      </c>
      <c r="J76" s="9">
        <f t="shared" si="21"/>
        <v>8.9783950617283953E-4</v>
      </c>
      <c r="K76" s="9">
        <f t="shared" si="22"/>
        <v>9.3865039281705955E-4</v>
      </c>
      <c r="L76" s="9">
        <f t="shared" si="23"/>
        <v>9.8334803057025292E-4</v>
      </c>
      <c r="M76" s="11">
        <f>Table257111315252333353739414549515359121416182022242628303234364042444648[[#This Row],[Thresh]]</f>
        <v>9.3865039281705955E-4</v>
      </c>
      <c r="N76" s="9">
        <f>Table257111315252333353739414549515359121416182022242628303234364042444648[[#This Row],[Thresh]]*2.5</f>
        <v>2.3466259820426488E-3</v>
      </c>
      <c r="O76" s="24">
        <f>Table257111315252333353739414549515359121416182022242628303234364042444648[[#This Row],[I]]</f>
        <v>8.5185185185185201E-4</v>
      </c>
      <c r="P76" s="9"/>
      <c r="Q76" s="24"/>
      <c r="R76" s="9"/>
      <c r="S76" s="9"/>
      <c r="T76" s="24"/>
      <c r="U76" s="24"/>
      <c r="V76" s="23" t="s">
        <v>48</v>
      </c>
      <c r="W76" s="104"/>
    </row>
    <row r="77" spans="1:23" ht="17.149999999999999" customHeight="1" x14ac:dyDescent="0.35">
      <c r="A77" s="8" t="s">
        <v>105</v>
      </c>
      <c r="B77" s="9">
        <v>1.064814814814815E-2</v>
      </c>
      <c r="C77" s="9">
        <v>3.1249999999999997E-3</v>
      </c>
      <c r="D77" s="9">
        <f t="shared" si="24"/>
        <v>6.1950925925925932E-3</v>
      </c>
      <c r="E77" s="10">
        <v>0.58179999999999998</v>
      </c>
      <c r="F77" s="9">
        <f t="shared" si="17"/>
        <v>7.8124999999999993E-4</v>
      </c>
      <c r="G77" s="9">
        <f t="shared" si="18"/>
        <v>8.2601234567901242E-4</v>
      </c>
      <c r="H77" s="9">
        <f t="shared" si="19"/>
        <v>8.5185185185185201E-4</v>
      </c>
      <c r="I77" s="9">
        <f t="shared" si="20"/>
        <v>8.8818531793442195E-4</v>
      </c>
      <c r="J77" s="9">
        <f t="shared" si="21"/>
        <v>8.9783950617283953E-4</v>
      </c>
      <c r="K77" s="9">
        <f t="shared" si="22"/>
        <v>9.3865039281705955E-4</v>
      </c>
      <c r="L77" s="9">
        <f t="shared" si="23"/>
        <v>9.8334803057025292E-4</v>
      </c>
      <c r="M77" s="11">
        <f>Table257111315252333353739414549515359121416182022242628303234364042444648[[#This Row],[Thresh]]</f>
        <v>9.3865039281705955E-4</v>
      </c>
      <c r="N77" s="9">
        <f>Table257111315252333353739414549515359121416182022242628303234364042444648[[#This Row],[Thresh]]*2.5</f>
        <v>2.3466259820426488E-3</v>
      </c>
      <c r="O77" s="24">
        <f>Table257111315252333353739414549515359121416182022242628303234364042444648[[#This Row],[I]]</f>
        <v>8.5185185185185201E-4</v>
      </c>
      <c r="P77" s="9"/>
      <c r="Q77" s="24"/>
      <c r="R77" s="9"/>
      <c r="S77" s="9"/>
      <c r="T77" s="24"/>
      <c r="V77" s="23" t="s">
        <v>48</v>
      </c>
      <c r="W77" s="104"/>
    </row>
    <row r="78" spans="1:23" ht="17.149999999999999" customHeight="1" x14ac:dyDescent="0.35">
      <c r="A78" s="8" t="s">
        <v>106</v>
      </c>
      <c r="B78" s="9">
        <v>1.0763888888888891E-2</v>
      </c>
      <c r="C78" s="9">
        <v>3.1249999999999997E-3</v>
      </c>
      <c r="D78" s="9">
        <f t="shared" si="24"/>
        <v>6.2624305555555567E-3</v>
      </c>
      <c r="E78" s="10">
        <v>0.58179999999999998</v>
      </c>
      <c r="F78" s="9">
        <f t="shared" si="17"/>
        <v>7.8124999999999993E-4</v>
      </c>
      <c r="G78" s="9">
        <f t="shared" si="18"/>
        <v>8.3499074074074085E-4</v>
      </c>
      <c r="H78" s="9">
        <f t="shared" si="19"/>
        <v>8.6111111111111121E-4</v>
      </c>
      <c r="I78" s="9">
        <f t="shared" si="20"/>
        <v>8.9783950617283953E-4</v>
      </c>
      <c r="J78" s="9">
        <f t="shared" si="21"/>
        <v>9.0759863123993567E-4</v>
      </c>
      <c r="K78" s="9">
        <f t="shared" si="22"/>
        <v>9.4885311447811464E-4</v>
      </c>
      <c r="L78" s="9">
        <f t="shared" si="23"/>
        <v>9.9403659611992969E-4</v>
      </c>
      <c r="M78" s="11">
        <f>Table257111315252333353739414549515359121416182022242628303234364042444648[[#This Row],[Thresh]]</f>
        <v>9.4885311447811464E-4</v>
      </c>
      <c r="N78" s="9">
        <f>Table257111315252333353739414549515359121416182022242628303234364042444648[[#This Row],[Thresh]]*2.5</f>
        <v>2.3721327861952867E-3</v>
      </c>
      <c r="O78" s="24">
        <f>Table257111315252333353739414549515359121416182022242628303234364042444648[[#This Row],[I]]</f>
        <v>8.6111111111111121E-4</v>
      </c>
      <c r="P78" s="9"/>
      <c r="Q78" s="24"/>
      <c r="R78" s="9"/>
      <c r="S78" s="9"/>
      <c r="T78" s="24"/>
      <c r="V78" s="23" t="s">
        <v>48</v>
      </c>
      <c r="W78" s="104"/>
    </row>
    <row r="79" spans="1:23" ht="17.149999999999999" customHeight="1" x14ac:dyDescent="0.35">
      <c r="A79" s="8" t="s">
        <v>107</v>
      </c>
      <c r="B79" s="9">
        <v>1.0763888888888891E-2</v>
      </c>
      <c r="C79" s="9">
        <v>3.1249999999999997E-3</v>
      </c>
      <c r="D79" s="9">
        <f t="shared" si="24"/>
        <v>6.2624305555555567E-3</v>
      </c>
      <c r="E79" s="10">
        <v>0.58179999999999998</v>
      </c>
      <c r="F79" s="9">
        <f t="shared" si="17"/>
        <v>7.8124999999999993E-4</v>
      </c>
      <c r="G79" s="9">
        <f t="shared" si="18"/>
        <v>8.3499074074074085E-4</v>
      </c>
      <c r="H79" s="9">
        <f t="shared" si="19"/>
        <v>8.6111111111111121E-4</v>
      </c>
      <c r="I79" s="9">
        <f t="shared" si="20"/>
        <v>8.9783950617283953E-4</v>
      </c>
      <c r="J79" s="9">
        <f t="shared" si="21"/>
        <v>9.0759863123993567E-4</v>
      </c>
      <c r="K79" s="9">
        <f t="shared" si="22"/>
        <v>9.4885311447811464E-4</v>
      </c>
      <c r="L79" s="9">
        <f t="shared" si="23"/>
        <v>9.9403659611992969E-4</v>
      </c>
      <c r="M79" s="11">
        <f>Table257111315252333353739414549515359121416182022242628303234364042444648[[#This Row],[Thresh]]</f>
        <v>9.4885311447811464E-4</v>
      </c>
      <c r="N79" s="9">
        <f>Table257111315252333353739414549515359121416182022242628303234364042444648[[#This Row],[Thresh]]*2.5</f>
        <v>2.3721327861952867E-3</v>
      </c>
      <c r="O79" s="24">
        <f>Table257111315252333353739414549515359121416182022242628303234364042444648[[#This Row],[I]]</f>
        <v>8.6111111111111121E-4</v>
      </c>
      <c r="P79" s="9"/>
      <c r="Q79" s="24"/>
      <c r="R79" s="9"/>
      <c r="S79" s="9"/>
      <c r="T79" s="24"/>
      <c r="V79" s="23" t="s">
        <v>48</v>
      </c>
      <c r="W79" s="104"/>
    </row>
    <row r="80" spans="1:23" ht="17.149999999999999" customHeight="1" x14ac:dyDescent="0.35">
      <c r="A80" s="8" t="s">
        <v>108</v>
      </c>
      <c r="B80" s="9">
        <v>1.0763888888888891E-2</v>
      </c>
      <c r="C80" s="9">
        <v>3.1828703703703702E-3</v>
      </c>
      <c r="D80" s="9">
        <f t="shared" si="24"/>
        <v>6.2624305555555567E-3</v>
      </c>
      <c r="E80" s="10">
        <v>0.58179999999999998</v>
      </c>
      <c r="F80" s="9">
        <f t="shared" si="17"/>
        <v>7.9571759259259255E-4</v>
      </c>
      <c r="G80" s="9">
        <f t="shared" si="18"/>
        <v>8.3499074074074085E-4</v>
      </c>
      <c r="H80" s="9">
        <f t="shared" si="19"/>
        <v>8.6111111111111121E-4</v>
      </c>
      <c r="I80" s="9">
        <f t="shared" si="20"/>
        <v>8.9783950617283953E-4</v>
      </c>
      <c r="J80" s="9">
        <f t="shared" si="21"/>
        <v>9.0759863123993567E-4</v>
      </c>
      <c r="K80" s="9">
        <f t="shared" si="22"/>
        <v>9.4885311447811464E-4</v>
      </c>
      <c r="L80" s="9">
        <f t="shared" si="23"/>
        <v>9.9403659611992969E-4</v>
      </c>
      <c r="M80" s="11">
        <f>Table257111315252333353739414549515359121416182022242628303234364042444648[[#This Row],[Thresh]]</f>
        <v>9.4885311447811464E-4</v>
      </c>
      <c r="N80" s="9">
        <f>Table257111315252333353739414549515359121416182022242628303234364042444648[[#This Row],[Thresh]]*2.5</f>
        <v>2.3721327861952867E-3</v>
      </c>
      <c r="O80" s="24">
        <f>Table257111315252333353739414549515359121416182022242628303234364042444648[[#This Row],[I]]</f>
        <v>8.6111111111111121E-4</v>
      </c>
      <c r="P80" s="9"/>
      <c r="Q80" s="24"/>
      <c r="R80" s="9"/>
      <c r="S80" s="9"/>
      <c r="T80" s="24"/>
      <c r="U80" s="24"/>
      <c r="V80" s="23" t="s">
        <v>48</v>
      </c>
      <c r="W80" s="104"/>
    </row>
    <row r="81" spans="1:23" ht="17.149999999999999" customHeight="1" x14ac:dyDescent="0.35">
      <c r="A81" s="8" t="s">
        <v>109</v>
      </c>
      <c r="B81" s="9">
        <v>1.0763888888888889E-2</v>
      </c>
      <c r="C81" s="9">
        <v>3.1249999999999997E-3</v>
      </c>
      <c r="D81" s="9">
        <f t="shared" si="24"/>
        <v>6.2624305555555549E-3</v>
      </c>
      <c r="E81" s="10">
        <v>0.58179999999999998</v>
      </c>
      <c r="F81" s="9">
        <f t="shared" si="17"/>
        <v>7.8124999999999993E-4</v>
      </c>
      <c r="G81" s="9">
        <f t="shared" si="18"/>
        <v>8.3499074074074064E-4</v>
      </c>
      <c r="H81" s="9">
        <f t="shared" si="19"/>
        <v>8.611111111111111E-4</v>
      </c>
      <c r="I81" s="9">
        <f t="shared" si="20"/>
        <v>8.9783950617283931E-4</v>
      </c>
      <c r="J81" s="9">
        <f t="shared" si="21"/>
        <v>9.0759863123993545E-4</v>
      </c>
      <c r="K81" s="9">
        <f t="shared" si="22"/>
        <v>9.4885311447811432E-4</v>
      </c>
      <c r="L81" s="9">
        <f t="shared" si="23"/>
        <v>9.9403659611992947E-4</v>
      </c>
      <c r="M81" s="11">
        <f>Table257111315252333353739414549515359121416182022242628303234364042444648[[#This Row],[Thresh]]</f>
        <v>9.4885311447811432E-4</v>
      </c>
      <c r="N81" s="9">
        <f>Table257111315252333353739414549515359121416182022242628303234364042444648[[#This Row],[Thresh]]*2.5</f>
        <v>2.3721327861952858E-3</v>
      </c>
      <c r="O81" s="24">
        <f>Table257111315252333353739414549515359121416182022242628303234364042444648[[#This Row],[I]]</f>
        <v>8.611111111111111E-4</v>
      </c>
      <c r="P81" s="12"/>
      <c r="Q81" s="97"/>
      <c r="R81" s="9"/>
      <c r="S81" s="9"/>
      <c r="T81" s="24"/>
      <c r="U81" s="24"/>
      <c r="V81" s="23" t="s">
        <v>48</v>
      </c>
      <c r="W81" s="104"/>
    </row>
    <row r="82" spans="1:23" ht="17.149999999999999" customHeight="1" x14ac:dyDescent="0.35">
      <c r="A82" s="8" t="s">
        <v>110</v>
      </c>
      <c r="B82" s="9">
        <v>1.087962962962963E-2</v>
      </c>
      <c r="C82" s="9">
        <v>3.1249999999999997E-3</v>
      </c>
      <c r="D82" s="9">
        <f t="shared" si="24"/>
        <v>6.3297685185185184E-3</v>
      </c>
      <c r="E82" s="10">
        <v>0.58179999999999998</v>
      </c>
      <c r="F82" s="9">
        <f t="shared" si="17"/>
        <v>7.8124999999999993E-4</v>
      </c>
      <c r="G82" s="9">
        <f t="shared" si="18"/>
        <v>8.4396913580246917E-4</v>
      </c>
      <c r="H82" s="9">
        <f t="shared" si="19"/>
        <v>8.7037037037037042E-4</v>
      </c>
      <c r="I82" s="9">
        <f t="shared" si="20"/>
        <v>9.0749369441125711E-4</v>
      </c>
      <c r="J82" s="9">
        <f t="shared" si="21"/>
        <v>9.173577563070317E-4</v>
      </c>
      <c r="K82" s="9">
        <f t="shared" si="22"/>
        <v>9.5905583613916951E-4</v>
      </c>
      <c r="L82" s="9">
        <f t="shared" si="23"/>
        <v>1.0047251616696062E-3</v>
      </c>
      <c r="M82" s="11">
        <f>Table257111315252333353739414549515359121416182022242628303234364042444648[[#This Row],[Thresh]]</f>
        <v>9.5905583613916951E-4</v>
      </c>
      <c r="N82" s="9">
        <f>Table257111315252333353739414549515359121416182022242628303234364042444648[[#This Row],[Thresh]]*2.5</f>
        <v>2.3976395903479238E-3</v>
      </c>
      <c r="O82" s="24">
        <f>Table257111315252333353739414549515359121416182022242628303234364042444648[[#This Row],[I]]</f>
        <v>8.7037037037037042E-4</v>
      </c>
      <c r="P82" s="12"/>
      <c r="Q82" s="97"/>
      <c r="R82" s="9"/>
      <c r="S82" s="9"/>
      <c r="T82" s="24"/>
      <c r="U82" s="24"/>
      <c r="V82" s="23" t="s">
        <v>48</v>
      </c>
      <c r="W82" s="104"/>
    </row>
    <row r="83" spans="1:23" ht="17.149999999999999" customHeight="1" x14ac:dyDescent="0.35">
      <c r="A83" s="8" t="s">
        <v>111</v>
      </c>
      <c r="B83" s="9">
        <v>1.087962962962963E-2</v>
      </c>
      <c r="C83" s="9">
        <v>3.1828703703703702E-3</v>
      </c>
      <c r="D83" s="9">
        <f t="shared" si="24"/>
        <v>6.3297685185185184E-3</v>
      </c>
      <c r="E83" s="10">
        <v>0.58179999999999998</v>
      </c>
      <c r="F83" s="9">
        <f t="shared" si="17"/>
        <v>7.9571759259259255E-4</v>
      </c>
      <c r="G83" s="9">
        <f t="shared" si="18"/>
        <v>8.4396913580246917E-4</v>
      </c>
      <c r="H83" s="9">
        <f t="shared" si="19"/>
        <v>8.7037037037037042E-4</v>
      </c>
      <c r="I83" s="9">
        <f t="shared" si="20"/>
        <v>9.0749369441125711E-4</v>
      </c>
      <c r="J83" s="9">
        <f t="shared" si="21"/>
        <v>9.173577563070317E-4</v>
      </c>
      <c r="K83" s="9">
        <f t="shared" si="22"/>
        <v>9.5905583613916951E-4</v>
      </c>
      <c r="L83" s="9">
        <f t="shared" si="23"/>
        <v>1.0047251616696062E-3</v>
      </c>
      <c r="M83" s="11">
        <f>Table257111315252333353739414549515359121416182022242628303234364042444648[[#This Row],[Thresh]]</f>
        <v>9.5905583613916951E-4</v>
      </c>
      <c r="N83" s="9">
        <f>Table257111315252333353739414549515359121416182022242628303234364042444648[[#This Row],[Thresh]]*2.5</f>
        <v>2.3976395903479238E-3</v>
      </c>
      <c r="O83" s="24">
        <f>Table257111315252333353739414549515359121416182022242628303234364042444648[[#This Row],[I]]</f>
        <v>8.7037037037037042E-4</v>
      </c>
      <c r="P83" s="12"/>
      <c r="Q83" s="97"/>
      <c r="R83" s="9"/>
      <c r="S83" s="9"/>
      <c r="T83" s="24"/>
      <c r="U83" s="24"/>
      <c r="V83" s="23" t="s">
        <v>48</v>
      </c>
      <c r="W83" s="104"/>
    </row>
    <row r="84" spans="1:23" ht="17.149999999999999" customHeight="1" x14ac:dyDescent="0.35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11"/>
      <c r="N84" s="9"/>
      <c r="O84" s="24"/>
      <c r="P84" s="9"/>
      <c r="Q84" s="24"/>
      <c r="R84" s="9"/>
      <c r="S84" s="12"/>
      <c r="V84" s="23"/>
      <c r="W84" s="104"/>
    </row>
    <row r="85" spans="1:23" ht="17.149999999999999" customHeight="1" x14ac:dyDescent="0.35">
      <c r="A85" s="14"/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30"/>
      <c r="N85" s="15"/>
      <c r="O85" s="15"/>
      <c r="P85" s="15"/>
      <c r="Q85" s="15"/>
      <c r="R85" s="15"/>
      <c r="S85" s="15"/>
      <c r="T85" s="15"/>
      <c r="U85" s="15"/>
      <c r="V85" s="17"/>
      <c r="W85" s="104"/>
    </row>
    <row r="86" spans="1:23" ht="17.149999999999999" customHeight="1" x14ac:dyDescent="0.35">
      <c r="A86" s="8" t="s">
        <v>112</v>
      </c>
      <c r="B86" s="9">
        <v>1.1458333333333334E-2</v>
      </c>
      <c r="C86" s="9">
        <v>3.0671296296296297E-3</v>
      </c>
      <c r="D86" s="9">
        <f>B86*E86</f>
        <v>6.6664583333333333E-3</v>
      </c>
      <c r="E86" s="10">
        <v>0.58179999999999998</v>
      </c>
      <c r="F86" s="9">
        <f>C86/4</f>
        <v>7.6678240740740743E-4</v>
      </c>
      <c r="G86" s="9">
        <f>D86/7.5</f>
        <v>8.888611111111111E-4</v>
      </c>
      <c r="H86" s="9">
        <f>B86/12.5</f>
        <v>9.1666666666666676E-4</v>
      </c>
      <c r="I86" s="9">
        <f>G86/0.93</f>
        <v>9.5576463560334524E-4</v>
      </c>
      <c r="J86" s="9">
        <f>G86/0.92</f>
        <v>9.6615338164251206E-4</v>
      </c>
      <c r="K86" s="9">
        <f>G86/0.88</f>
        <v>1.0100694444444445E-3</v>
      </c>
      <c r="L86" s="9">
        <f>G86/0.84</f>
        <v>1.0581679894179894E-3</v>
      </c>
      <c r="M86" s="11"/>
      <c r="N86" s="9"/>
      <c r="O86" s="24"/>
      <c r="P86" s="9"/>
      <c r="Q86" s="24"/>
      <c r="R86" s="9"/>
      <c r="S86" s="12"/>
      <c r="T86" s="96"/>
      <c r="U86" s="9"/>
      <c r="V86" s="23" t="s">
        <v>53</v>
      </c>
      <c r="W86" s="104"/>
    </row>
    <row r="87" spans="1:23" ht="17.149999999999999" customHeight="1" x14ac:dyDescent="0.35">
      <c r="A87" s="8" t="s">
        <v>113</v>
      </c>
      <c r="B87" s="9">
        <v>1.1805555555555555E-2</v>
      </c>
      <c r="C87" s="9">
        <v>3.414351851851852E-3</v>
      </c>
      <c r="D87" s="9">
        <f>B87*E87</f>
        <v>6.868472222222222E-3</v>
      </c>
      <c r="E87" s="10">
        <v>0.58179999999999998</v>
      </c>
      <c r="F87" s="9">
        <f>C87/4</f>
        <v>8.53587962962963E-4</v>
      </c>
      <c r="G87" s="9">
        <f>D87/7.5</f>
        <v>9.1579629629629628E-4</v>
      </c>
      <c r="H87" s="9">
        <f>B87/12.5</f>
        <v>9.4444444444444437E-4</v>
      </c>
      <c r="I87" s="9">
        <f>G87/0.93</f>
        <v>9.8472720031859799E-4</v>
      </c>
      <c r="J87" s="9">
        <f>G87/0.92</f>
        <v>9.9543075684380036E-4</v>
      </c>
      <c r="K87" s="9">
        <f>G87/0.88</f>
        <v>1.0406776094276093E-3</v>
      </c>
      <c r="L87" s="9">
        <f>G87/0.84</f>
        <v>1.0902336860670195E-3</v>
      </c>
      <c r="M87" s="11"/>
      <c r="N87" s="9"/>
      <c r="O87" s="24"/>
      <c r="P87" s="9"/>
      <c r="Q87" s="24"/>
      <c r="R87" s="9"/>
      <c r="S87" s="24"/>
      <c r="T87" s="24"/>
      <c r="V87" s="23" t="s">
        <v>114</v>
      </c>
      <c r="W87" s="104"/>
    </row>
    <row r="88" spans="1:23" ht="17.149999999999999" customHeight="1" x14ac:dyDescent="0.35">
      <c r="A88" s="8" t="s">
        <v>115</v>
      </c>
      <c r="B88" s="9">
        <v>1.1111111111111112E-2</v>
      </c>
      <c r="C88" s="9">
        <v>3.1249999999999997E-3</v>
      </c>
      <c r="D88" s="9">
        <f>B88*E88</f>
        <v>6.4644444444444445E-3</v>
      </c>
      <c r="E88" s="10">
        <v>0.58179999999999998</v>
      </c>
      <c r="F88" s="9">
        <f>C88/4</f>
        <v>7.8124999999999993E-4</v>
      </c>
      <c r="G88" s="9">
        <f>D88/7.5</f>
        <v>8.6192592592592592E-4</v>
      </c>
      <c r="H88" s="9">
        <f>B88/12.5</f>
        <v>8.8888888888888893E-4</v>
      </c>
      <c r="I88" s="9">
        <f>G88/0.93</f>
        <v>9.2680207088809239E-4</v>
      </c>
      <c r="J88" s="9">
        <f>G88/0.92</f>
        <v>9.3687600644122375E-4</v>
      </c>
      <c r="K88" s="9">
        <f>G88/0.88</f>
        <v>9.7946127946127947E-4</v>
      </c>
      <c r="L88" s="9">
        <f>G88/0.84</f>
        <v>1.0261022927689596E-3</v>
      </c>
      <c r="M88" s="11"/>
      <c r="N88" s="9"/>
      <c r="O88" s="24"/>
      <c r="P88" s="9"/>
      <c r="Q88" s="24"/>
      <c r="R88" s="9"/>
      <c r="S88" s="12"/>
      <c r="T88" s="96"/>
      <c r="U88" s="9"/>
      <c r="V88" s="23" t="s">
        <v>114</v>
      </c>
      <c r="W88" s="104"/>
    </row>
    <row r="89" spans="1:23" ht="17.149999999999999" customHeight="1" x14ac:dyDescent="0.35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P89" s="25"/>
      <c r="Q89" s="25"/>
      <c r="R89" s="25"/>
      <c r="S89" s="25"/>
      <c r="V89" s="23"/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>C91/4</f>
        <v>0</v>
      </c>
      <c r="G91" s="9">
        <f>D91/7.5</f>
        <v>0</v>
      </c>
      <c r="H91" s="9">
        <f>B91/12.5</f>
        <v>0</v>
      </c>
      <c r="I91" s="9">
        <f>G91/0.93</f>
        <v>0</v>
      </c>
      <c r="J91" s="9">
        <f>G91/0.92</f>
        <v>0</v>
      </c>
      <c r="K91" s="9">
        <f>G91/0.88</f>
        <v>0</v>
      </c>
      <c r="L91" s="9">
        <f>G91/0.84</f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P92" s="25"/>
      <c r="Q92" s="25"/>
      <c r="R92" s="25"/>
      <c r="S92" s="25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5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48E-CAE0-46A2-8D19-A4DAC8E52F05}">
  <sheetPr>
    <pageSetUpPr fitToPage="1"/>
  </sheetPr>
  <dimension ref="A1:W99"/>
  <sheetViews>
    <sheetView workbookViewId="0">
      <selection activeCell="V49" sqref="V49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208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133</v>
      </c>
      <c r="P1" s="6" t="s">
        <v>204</v>
      </c>
      <c r="Q1" s="6" t="s">
        <v>205</v>
      </c>
      <c r="R1" s="6" t="s">
        <v>120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210</v>
      </c>
    </row>
    <row r="2" spans="1:23" ht="17.149999999999999" customHeight="1" x14ac:dyDescent="0.35">
      <c r="A2" s="8" t="s">
        <v>52</v>
      </c>
      <c r="B2" s="9">
        <v>1.1805555555555555E-2</v>
      </c>
      <c r="C2" s="9">
        <v>3.472222222222222E-3</v>
      </c>
      <c r="D2" s="9">
        <f>B2*E2</f>
        <v>6.868472222222222E-3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9.1579629629629628E-4</v>
      </c>
      <c r="H2" s="9">
        <f t="shared" ref="H2:H15" si="2">B2/12.5</f>
        <v>9.4444444444444437E-4</v>
      </c>
      <c r="I2" s="9">
        <f t="shared" ref="I2:I15" si="3">G2/0.93</f>
        <v>9.8472720031859799E-4</v>
      </c>
      <c r="J2" s="9">
        <f t="shared" ref="J2:J15" si="4">G2/0.92</f>
        <v>9.9543075684380036E-4</v>
      </c>
      <c r="K2" s="9">
        <f t="shared" ref="K2:K15" si="5">G2/0.88</f>
        <v>1.0406776094276093E-3</v>
      </c>
      <c r="L2" s="9">
        <f t="shared" ref="L2:L15" si="6">G2/0.84</f>
        <v>1.0902336860670195E-3</v>
      </c>
      <c r="M2" s="11">
        <f>Table14610121424223234363840444850524811131517192123252729[[#This Row],[Thresh]]</f>
        <v>1.0406776094276093E-3</v>
      </c>
      <c r="N2" s="9">
        <f>Table14610121424223234363840444850524811131517192123252729[[#This Row],[T (400)]]*2</f>
        <v>2.0813552188552187E-3</v>
      </c>
      <c r="O2" s="12">
        <f>Table14610121424223234363840444850524811131517192123252729[[#This Row],[R]]/2</f>
        <v>4.3402777777777775E-4</v>
      </c>
      <c r="P2" s="9">
        <f>Table14610121424223234363840444850524811131517192123252729[[#This Row],[VO2]]/2</f>
        <v>4.5789814814814814E-4</v>
      </c>
      <c r="Q2" s="12">
        <f>Table14610121424223234363840444850524811131517192123252729[[#This Row],[VO2 (200)]]*1.5</f>
        <v>6.8684722222222216E-4</v>
      </c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26</v>
      </c>
      <c r="B3" s="9">
        <v>1.2152777777777778E-2</v>
      </c>
      <c r="C3" s="9">
        <v>3.472222222222222E-3</v>
      </c>
      <c r="D3" s="9">
        <f>B3*E3</f>
        <v>7.0704861111111107E-3</v>
      </c>
      <c r="E3" s="10">
        <v>0.58179999999999998</v>
      </c>
      <c r="F3" s="9">
        <f t="shared" si="0"/>
        <v>8.6805555555555551E-4</v>
      </c>
      <c r="G3" s="9">
        <f t="shared" si="1"/>
        <v>9.4273148148148146E-4</v>
      </c>
      <c r="H3" s="9">
        <f t="shared" si="2"/>
        <v>9.7222222222222219E-4</v>
      </c>
      <c r="I3" s="9">
        <f t="shared" si="3"/>
        <v>1.0136897650338511E-3</v>
      </c>
      <c r="J3" s="9">
        <f t="shared" si="4"/>
        <v>1.0247081320450884E-3</v>
      </c>
      <c r="K3" s="9">
        <f t="shared" si="5"/>
        <v>1.0712857744107744E-3</v>
      </c>
      <c r="L3" s="9">
        <f t="shared" si="6"/>
        <v>1.1222993827160494E-3</v>
      </c>
      <c r="M3" s="11">
        <f>Table14610121424223234363840444850524811131517192123252729[[#This Row],[Thresh]]</f>
        <v>1.0712857744107744E-3</v>
      </c>
      <c r="N3" s="9">
        <f>Table14610121424223234363840444850524811131517192123252729[[#This Row],[T (400)]]*2</f>
        <v>2.1425715488215488E-3</v>
      </c>
      <c r="O3" s="12">
        <f>Table14610121424223234363840444850524811131517192123252729[[#This Row],[R]]/2</f>
        <v>4.3402777777777775E-4</v>
      </c>
      <c r="P3" s="9">
        <f>Table14610121424223234363840444850524811131517192123252729[[#This Row],[VO2]]/2</f>
        <v>4.7136574074074073E-4</v>
      </c>
      <c r="Q3" s="12">
        <f>Table14610121424223234363840444850524811131517192123252729[[#This Row],[VO2 (200)]]*1.5</f>
        <v>7.0704861111111109E-4</v>
      </c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Table14610121424223234363840444850524811131517192123252729[[#This Row],[Thresh]]</f>
        <v>1.1478061868686869E-3</v>
      </c>
      <c r="N4" s="9">
        <f>Table14610121424223234363840444850524811131517192123252729[[#This Row],[T (400)]]*2</f>
        <v>2.2956123737373738E-3</v>
      </c>
      <c r="O4" s="12">
        <f>Table14610121424223234363840444850524811131517192123252729[[#This Row],[R]]/2</f>
        <v>4.6296296296296293E-4</v>
      </c>
      <c r="P4" s="9">
        <f>Table14610121424223234363840444850524811131517192123252729[[#This Row],[VO2]]/2</f>
        <v>5.0503472222222226E-4</v>
      </c>
      <c r="Q4" s="12">
        <f>Table14610121424223234363840444850524811131517192123252729[[#This Row],[VO2 (200)]]*1.5</f>
        <v>7.5755208333333338E-4</v>
      </c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36</v>
      </c>
      <c r="B5" s="9">
        <v>1.3020833333333334E-2</v>
      </c>
      <c r="C5" s="9">
        <v>3.7615740740740739E-3</v>
      </c>
      <c r="D5" s="9">
        <f>B5*E5</f>
        <v>7.5755208333333334E-3</v>
      </c>
      <c r="E5" s="10">
        <v>0.58179999999999998</v>
      </c>
      <c r="F5" s="9">
        <f t="shared" si="0"/>
        <v>9.4039351851851847E-4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Table14610121424223234363840444850524811131517192123252729[[#This Row],[Thresh]]</f>
        <v>1.1478061868686869E-3</v>
      </c>
      <c r="N5" s="9">
        <f>Table14610121424223234363840444850524811131517192123252729[[#This Row],[T (400)]]*2</f>
        <v>2.2956123737373738E-3</v>
      </c>
      <c r="O5" s="12">
        <f>Table14610121424223234363840444850524811131517192123252729[[#This Row],[R]]/2</f>
        <v>4.7019675925925923E-4</v>
      </c>
      <c r="P5" s="9">
        <f>Table14610121424223234363840444850524811131517192123252729[[#This Row],[VO2]]/2</f>
        <v>5.0503472222222226E-4</v>
      </c>
      <c r="Q5" s="12">
        <f>Table14610121424223234363840444850524811131517192123252729[[#This Row],[VO2 (200)]]*1.5</f>
        <v>7.5755208333333338E-4</v>
      </c>
      <c r="R5" s="9"/>
      <c r="S5" s="12"/>
      <c r="T5" s="9"/>
      <c r="U5" s="9"/>
      <c r="V5" s="13" t="s">
        <v>30</v>
      </c>
      <c r="W5" s="104"/>
    </row>
    <row r="6" spans="1:23" ht="17.149999999999999" customHeight="1" x14ac:dyDescent="0.35">
      <c r="A6" s="8" t="s">
        <v>25</v>
      </c>
      <c r="B6" s="9">
        <v>1.3020833333333334E-2</v>
      </c>
      <c r="C6" s="9">
        <v>3.7037037037037038E-3</v>
      </c>
      <c r="D6" s="9">
        <f>B6*E6</f>
        <v>7.5755208333333334E-3</v>
      </c>
      <c r="E6" s="10">
        <v>0.58179999999999998</v>
      </c>
      <c r="F6" s="9">
        <f t="shared" si="0"/>
        <v>9.2592592592592596E-4</v>
      </c>
      <c r="G6" s="9">
        <f t="shared" si="1"/>
        <v>1.0100694444444445E-3</v>
      </c>
      <c r="H6" s="9">
        <f t="shared" si="2"/>
        <v>1.0416666666666667E-3</v>
      </c>
      <c r="I6" s="9">
        <f t="shared" si="3"/>
        <v>1.0860961768219832E-3</v>
      </c>
      <c r="J6" s="9">
        <f t="shared" si="4"/>
        <v>1.0979015700483092E-3</v>
      </c>
      <c r="K6" s="9">
        <f t="shared" si="5"/>
        <v>1.1478061868686869E-3</v>
      </c>
      <c r="L6" s="9">
        <f t="shared" si="6"/>
        <v>1.2024636243386244E-3</v>
      </c>
      <c r="M6" s="11">
        <f>Table14610121424223234363840444850524811131517192123252729[[#This Row],[Thresh]]</f>
        <v>1.1478061868686869E-3</v>
      </c>
      <c r="N6" s="9">
        <f>Table14610121424223234363840444850524811131517192123252729[[#This Row],[T (400)]]*2</f>
        <v>2.2956123737373738E-3</v>
      </c>
      <c r="O6" s="12">
        <f>Table14610121424223234363840444850524811131517192123252729[[#This Row],[R]]/2</f>
        <v>4.6296296296296298E-4</v>
      </c>
      <c r="P6" s="9">
        <f>Table14610121424223234363840444850524811131517192123252729[[#This Row],[VO2]]/2</f>
        <v>5.0503472222222226E-4</v>
      </c>
      <c r="Q6" s="12">
        <f>Table14610121424223234363840444850524811131517192123252729[[#This Row],[VO2 (200)]]*1.5</f>
        <v>7.5755208333333338E-4</v>
      </c>
      <c r="R6" s="9"/>
      <c r="S6" s="12"/>
      <c r="T6" s="9"/>
      <c r="U6" s="9"/>
      <c r="V6" s="13" t="s">
        <v>24</v>
      </c>
      <c r="W6" s="104"/>
    </row>
    <row r="7" spans="1:23" ht="17.149999999999999" customHeight="1" x14ac:dyDescent="0.35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4"/>
    </row>
    <row r="8" spans="1:23" ht="17.149999999999999" customHeight="1" x14ac:dyDescent="0.35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 t="s">
        <v>12</v>
      </c>
      <c r="N8" s="15" t="s">
        <v>13</v>
      </c>
      <c r="O8" s="15" t="s">
        <v>27</v>
      </c>
      <c r="P8" s="15" t="s">
        <v>133</v>
      </c>
      <c r="Q8" s="15"/>
      <c r="R8" s="15"/>
      <c r="S8" s="15"/>
      <c r="T8" s="15"/>
      <c r="U8" s="15"/>
      <c r="V8" s="17"/>
      <c r="W8" s="104"/>
    </row>
    <row r="9" spans="1:23" ht="17.149999999999999" customHeight="1" x14ac:dyDescent="0.35">
      <c r="A9" s="8" t="s">
        <v>28</v>
      </c>
      <c r="B9" s="9">
        <v>1.1689814814814814E-2</v>
      </c>
      <c r="C9" s="9">
        <v>3.3564814814814811E-3</v>
      </c>
      <c r="D9" s="9">
        <f t="shared" ref="D9:D15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Table14610121424223234363840444850524811131517192123252729[[#This Row],[Thresh]]</f>
        <v>1.0304748877665545E-3</v>
      </c>
      <c r="N9" s="9">
        <f>Table14610121424223234363840444850524811131517192123252729[[#This Row],[T (400)]]*2</f>
        <v>2.0609497755331089E-3</v>
      </c>
      <c r="O9" s="12">
        <f>Table14610121424223234363840444850524811131517192123252729[[#This Row],[R]]</f>
        <v>8.3912037037037028E-4</v>
      </c>
      <c r="P9" s="9">
        <f>Table14610121424223234363840444850524811131517192123252729[[#This Row],[200 R]]/2</f>
        <v>4.1956018518518514E-4</v>
      </c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31</v>
      </c>
      <c r="B10" s="9">
        <v>1.1689814814814814E-2</v>
      </c>
      <c r="C10" s="9">
        <v>3.3564814814814811E-3</v>
      </c>
      <c r="D10" s="9">
        <f t="shared" si="7"/>
        <v>6.8011342592592585E-3</v>
      </c>
      <c r="E10" s="10">
        <v>0.58179999999999998</v>
      </c>
      <c r="F10" s="9">
        <f t="shared" si="0"/>
        <v>8.3912037037037028E-4</v>
      </c>
      <c r="G10" s="9">
        <f t="shared" si="1"/>
        <v>9.0681790123456785E-4</v>
      </c>
      <c r="H10" s="9">
        <f t="shared" si="2"/>
        <v>9.3518518518518516E-4</v>
      </c>
      <c r="I10" s="9">
        <f t="shared" si="3"/>
        <v>9.7507301208018041E-4</v>
      </c>
      <c r="J10" s="9">
        <f t="shared" si="4"/>
        <v>9.8567163177670412E-4</v>
      </c>
      <c r="K10" s="9">
        <f t="shared" si="5"/>
        <v>1.0304748877665545E-3</v>
      </c>
      <c r="L10" s="9">
        <f t="shared" si="6"/>
        <v>1.0795451205173427E-3</v>
      </c>
      <c r="M10" s="11">
        <f>Table14610121424223234363840444850524811131517192123252729[[#This Row],[Thresh]]</f>
        <v>1.0304748877665545E-3</v>
      </c>
      <c r="N10" s="9">
        <f>Table14610121424223234363840444850524811131517192123252729[[#This Row],[T (400)]]*2</f>
        <v>2.0609497755331089E-3</v>
      </c>
      <c r="O10" s="12">
        <f>Table14610121424223234363840444850524811131517192123252729[[#This Row],[R]]</f>
        <v>8.3912037037037028E-4</v>
      </c>
      <c r="P10" s="9">
        <f>Table14610121424223234363840444850524811131517192123252729[[#This Row],[200 R]]/2</f>
        <v>4.1956018518518514E-4</v>
      </c>
      <c r="Q10" s="12"/>
      <c r="R10" s="9"/>
      <c r="S10" s="12"/>
      <c r="T10" s="9"/>
      <c r="U10" s="9"/>
      <c r="V10" s="13" t="s">
        <v>30</v>
      </c>
      <c r="W10" s="104" t="s">
        <v>211</v>
      </c>
    </row>
    <row r="11" spans="1:23" ht="17.149999999999999" customHeight="1" x14ac:dyDescent="0.35">
      <c r="A11" s="8" t="s">
        <v>39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Table14610121424223234363840444850524811131517192123252729[[#This Row],[Thresh]]</f>
        <v>1.1478061868686869E-3</v>
      </c>
      <c r="N11" s="9">
        <f>Table14610121424223234363840444850524811131517192123252729[[#This Row],[T (400)]]*2</f>
        <v>2.2956123737373738E-3</v>
      </c>
      <c r="O11" s="12">
        <f>Table14610121424223234363840444850524811131517192123252729[[#This Row],[R]]</f>
        <v>9.5486111111111108E-4</v>
      </c>
      <c r="P11" s="9">
        <f>Table14610121424223234363840444850524811131517192123252729[[#This Row],[200 R]]/2</f>
        <v>4.7743055555555554E-4</v>
      </c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41</v>
      </c>
      <c r="B12" s="9">
        <v>1.3541666666666667E-2</v>
      </c>
      <c r="C12" s="9">
        <v>4.0509259259259257E-3</v>
      </c>
      <c r="D12" s="9">
        <f t="shared" si="7"/>
        <v>7.8785416666666674E-3</v>
      </c>
      <c r="E12" s="10">
        <v>0.58179999999999998</v>
      </c>
      <c r="F12" s="9">
        <f t="shared" si="0"/>
        <v>1.0127314814814814E-3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Table14610121424223234363840444850524811131517192123252729[[#This Row],[Thresh]]</f>
        <v>1.1937184343434346E-3</v>
      </c>
      <c r="N12" s="9">
        <f>Table14610121424223234363840444850524811131517192123252729[[#This Row],[T (400)]]*2</f>
        <v>2.3874368686868691E-3</v>
      </c>
      <c r="O12" s="12">
        <f>Table14610121424223234363840444850524811131517192123252729[[#This Row],[R]]</f>
        <v>1.0127314814814814E-3</v>
      </c>
      <c r="P12" s="9">
        <f>Table14610121424223234363840444850524811131517192123252729[[#This Row],[200 R]]/2</f>
        <v>5.0636574074074071E-4</v>
      </c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42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Table14610121424223234363840444850524811131517192123252729[[#This Row],[Thresh]]</f>
        <v>1.2549347643097644E-3</v>
      </c>
      <c r="N13" s="9">
        <f>Table14610121424223234363840444850524811131517192123252729[[#This Row],[T (400)]]*2</f>
        <v>2.5098695286195289E-3</v>
      </c>
      <c r="O13" s="12">
        <f>Table14610121424223234363840444850524811131517192123252729[[#This Row],[R]]</f>
        <v>1.0127314814814814E-3</v>
      </c>
      <c r="P13" s="9">
        <f>Table14610121424223234363840444850524811131517192123252729[[#This Row],[200 R]]/2</f>
        <v>5.0636574074074071E-4</v>
      </c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Table14610121424223234363840444850524811131517192123252729[[#This Row],[Thresh]]</f>
        <v>1.2549347643097644E-3</v>
      </c>
      <c r="N14" s="9">
        <f>Table14610121424223234363840444850524811131517192123252729[[#This Row],[T (400)]]*2</f>
        <v>2.5098695286195289E-3</v>
      </c>
      <c r="O14" s="12">
        <f>Table14610121424223234363840444850524811131517192123252729[[#This Row],[R]]</f>
        <v>1.0127314814814814E-3</v>
      </c>
      <c r="P14" s="9">
        <f>Table14610121424223234363840444850524811131517192123252729[[#This Row],[200 R]]/2</f>
        <v>5.0636574074074071E-4</v>
      </c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Table14610121424223234363840444850524811131517192123252729[[#This Row],[Thresh]]</f>
        <v>1.2549347643097644E-3</v>
      </c>
      <c r="N15" s="9">
        <f>Table14610121424223234363840444850524811131517192123252729[[#This Row],[T (400)]]*2</f>
        <v>2.5098695286195289E-3</v>
      </c>
      <c r="O15" s="12">
        <f>Table14610121424223234363840444850524811131517192123252729[[#This Row],[R]]</f>
        <v>1.0416666666666667E-3</v>
      </c>
      <c r="P15" s="9">
        <f>Table14610121424223234363840444850524811131517192123252729[[#This Row],[200 R]]/2</f>
        <v>5.2083333333333333E-4</v>
      </c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14"/>
      <c r="B17" s="15"/>
      <c r="C17" s="15"/>
      <c r="D17" s="15"/>
      <c r="E17" s="16"/>
      <c r="F17" s="15">
        <f t="shared" ref="F17:F23" si="8">C17/4</f>
        <v>0</v>
      </c>
      <c r="G17" s="15">
        <f t="shared" ref="G17:G23" si="9">D17/7.5</f>
        <v>0</v>
      </c>
      <c r="H17" s="15">
        <f t="shared" ref="H17:H23" si="10">B17/12.5</f>
        <v>0</v>
      </c>
      <c r="I17" s="15">
        <f t="shared" ref="I17:I23" si="11">G17/0.93</f>
        <v>0</v>
      </c>
      <c r="J17" s="15">
        <f t="shared" ref="J17:J23" si="12">G17/0.92</f>
        <v>0</v>
      </c>
      <c r="K17" s="15">
        <f t="shared" ref="K17:K23" si="13">G17/0.88</f>
        <v>0</v>
      </c>
      <c r="L17" s="15">
        <f t="shared" ref="L17:L23" si="14">G17/0.84</f>
        <v>0</v>
      </c>
      <c r="M17" s="30" t="s">
        <v>12</v>
      </c>
      <c r="N17" s="15" t="s">
        <v>13</v>
      </c>
      <c r="O17" s="15" t="s">
        <v>142</v>
      </c>
      <c r="P17" s="15" t="s">
        <v>151</v>
      </c>
      <c r="Q17" s="15" t="s">
        <v>136</v>
      </c>
      <c r="R17" s="15" t="s">
        <v>144</v>
      </c>
      <c r="S17" s="15" t="s">
        <v>143</v>
      </c>
      <c r="T17" s="15" t="s">
        <v>133</v>
      </c>
      <c r="U17" s="15"/>
      <c r="V17" s="17"/>
      <c r="W17" s="104"/>
    </row>
    <row r="18" spans="1:23" ht="17.149999999999999" customHeight="1" x14ac:dyDescent="0.35">
      <c r="A18" s="8" t="s">
        <v>47</v>
      </c>
      <c r="B18" s="9">
        <v>1.2268518518518519E-2</v>
      </c>
      <c r="C18" s="9">
        <v>3.7037037037037034E-3</v>
      </c>
      <c r="D18" s="9">
        <f t="shared" ref="D18:D23" si="15">B18*E18</f>
        <v>7.1378240740740742E-3</v>
      </c>
      <c r="E18" s="10">
        <v>0.58179999999999998</v>
      </c>
      <c r="F18" s="9">
        <f t="shared" si="8"/>
        <v>9.2592592592592585E-4</v>
      </c>
      <c r="G18" s="9">
        <f t="shared" si="9"/>
        <v>9.5170987654320989E-4</v>
      </c>
      <c r="H18" s="9">
        <f t="shared" si="10"/>
        <v>9.8148148148148161E-4</v>
      </c>
      <c r="I18" s="9">
        <f t="shared" si="11"/>
        <v>1.0233439532722685E-3</v>
      </c>
      <c r="J18" s="9">
        <f t="shared" si="12"/>
        <v>1.0344672571121847E-3</v>
      </c>
      <c r="K18" s="9">
        <f t="shared" si="13"/>
        <v>1.0814884960718295E-3</v>
      </c>
      <c r="L18" s="9">
        <f t="shared" si="14"/>
        <v>1.1329879482657262E-3</v>
      </c>
      <c r="M18" s="11">
        <f>Table14610121424223234363840444850524811131517192123252729[[#This Row],[Thresh]]</f>
        <v>1.0814884960718295E-3</v>
      </c>
      <c r="N18" s="9">
        <f>Table14610121424223234363840444850524811131517192123252729[[#This Row],[T (400)]]*2</f>
        <v>2.1629769921436589E-3</v>
      </c>
      <c r="O18" s="12">
        <f>Table14610121424223234363840444850524811131517192123252729[[#This Row],[I]]</f>
        <v>9.8148148148148161E-4</v>
      </c>
      <c r="P18" s="9">
        <f>Table14610121424223234363840444850524811131517192123252729[[#This Row],[200 R]]*2</f>
        <v>1.9629629629629632E-3</v>
      </c>
      <c r="Q18" s="12">
        <f>Table14610121424223234363840444850524811131517192123252729[[#This Row],[CV]]</f>
        <v>1.0344672571121847E-3</v>
      </c>
      <c r="R18" s="9">
        <f>Table14610121424223234363840444850524811131517192123252729[[#This Row],[300 VO2]]*2</f>
        <v>2.0689345142243694E-3</v>
      </c>
      <c r="S18" s="12">
        <f>Table14610121424223234363840444850524811131517192123252729[[#This Row],[200 R]]*1.5</f>
        <v>1.4722222222222224E-3</v>
      </c>
      <c r="T18" s="9">
        <f>Table14610121424223234363840444850524811131517192123252729[[#This Row],[R]]/2</f>
        <v>4.6296296296296293E-4</v>
      </c>
      <c r="U18" s="9"/>
      <c r="V18" s="13" t="s">
        <v>34</v>
      </c>
      <c r="W18" s="104"/>
    </row>
    <row r="19" spans="1:23" ht="17.149999999999999" customHeight="1" x14ac:dyDescent="0.35">
      <c r="A19" s="8" t="s">
        <v>32</v>
      </c>
      <c r="B19" s="9">
        <v>1.238425925925926E-2</v>
      </c>
      <c r="C19" s="9">
        <v>3.5879629629629629E-3</v>
      </c>
      <c r="D19" s="9">
        <f t="shared" si="15"/>
        <v>7.2051620370370368E-3</v>
      </c>
      <c r="E19" s="10">
        <v>0.58179999999999998</v>
      </c>
      <c r="F19" s="9">
        <f>C19/4</f>
        <v>8.9699074074074073E-4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>
        <f>Table14610121424223234363840444850524811131517192123252729[[#This Row],[Thresh]]</f>
        <v>1.0916912177328843E-3</v>
      </c>
      <c r="N19" s="9">
        <f>Table14610121424223234363840444850524811131517192123252729[[#This Row],[T (400)]]*2</f>
        <v>2.1833824354657687E-3</v>
      </c>
      <c r="O19" s="12">
        <f>Table14610121424223234363840444850524811131517192123252729[[#This Row],[I]]</f>
        <v>9.9074074074074082E-4</v>
      </c>
      <c r="P19" s="9">
        <f>Table14610121424223234363840444850524811131517192123252729[[#This Row],[200 R]]*2</f>
        <v>1.9814814814814816E-3</v>
      </c>
      <c r="Q19" s="12">
        <f>Table14610121424223234363840444850524811131517192123252729[[#This Row],[CV]]</f>
        <v>1.0442263821792807E-3</v>
      </c>
      <c r="R19" s="9">
        <f>Table14610121424223234363840444850524811131517192123252729[[#This Row],[300 VO2]]*2</f>
        <v>2.0884527643585614E-3</v>
      </c>
      <c r="S19" s="12">
        <f>Table14610121424223234363840444850524811131517192123252729[[#This Row],[200 R]]*1.5</f>
        <v>1.4861111111111112E-3</v>
      </c>
      <c r="T19" s="9">
        <f>Table14610121424223234363840444850524811131517192123252729[[#This Row],[R]]/2</f>
        <v>4.4849537037037037E-4</v>
      </c>
      <c r="U19" s="9"/>
      <c r="V19" s="13" t="s">
        <v>48</v>
      </c>
      <c r="W19" s="104" t="s">
        <v>212</v>
      </c>
    </row>
    <row r="20" spans="1:23" ht="17.149999999999999" customHeight="1" x14ac:dyDescent="0.35">
      <c r="A20" s="8" t="s">
        <v>38</v>
      </c>
      <c r="B20" s="9">
        <v>1.238425925925926E-2</v>
      </c>
      <c r="C20" s="9">
        <v>3.8194444444444443E-3</v>
      </c>
      <c r="D20" s="9">
        <f t="shared" si="15"/>
        <v>7.2051620370370368E-3</v>
      </c>
      <c r="E20" s="10">
        <v>0.58179999999999998</v>
      </c>
      <c r="F20" s="9">
        <f t="shared" si="8"/>
        <v>9.5486111111111108E-4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Table14610121424223234363840444850524811131517192123252729[[#This Row],[Thresh]]</f>
        <v>1.0916912177328843E-3</v>
      </c>
      <c r="N20" s="9">
        <f>Table14610121424223234363840444850524811131517192123252729[[#This Row],[T (400)]]*2</f>
        <v>2.1833824354657687E-3</v>
      </c>
      <c r="O20" s="12">
        <f>Table14610121424223234363840444850524811131517192123252729[[#This Row],[I]]</f>
        <v>9.9074074074074082E-4</v>
      </c>
      <c r="P20" s="9">
        <f>Table14610121424223234363840444850524811131517192123252729[[#This Row],[200 R]]*2</f>
        <v>1.9814814814814816E-3</v>
      </c>
      <c r="Q20" s="12">
        <f>Table14610121424223234363840444850524811131517192123252729[[#This Row],[CV]]</f>
        <v>1.0442263821792807E-3</v>
      </c>
      <c r="R20" s="9">
        <f>Table14610121424223234363840444850524811131517192123252729[[#This Row],[300 VO2]]*2</f>
        <v>2.0884527643585614E-3</v>
      </c>
      <c r="S20" s="12">
        <f>Table14610121424223234363840444850524811131517192123252729[[#This Row],[200 R]]*1.5</f>
        <v>1.4861111111111112E-3</v>
      </c>
      <c r="T20" s="9">
        <f>Table14610121424223234363840444850524811131517192123252729[[#This Row],[R]]/2</f>
        <v>4.7743055555555554E-4</v>
      </c>
      <c r="U20" s="9"/>
      <c r="V20" s="13" t="s">
        <v>34</v>
      </c>
      <c r="W20" s="104"/>
    </row>
    <row r="21" spans="1:23" ht="17.149999999999999" customHeight="1" x14ac:dyDescent="0.35">
      <c r="A21" s="8" t="s">
        <v>51</v>
      </c>
      <c r="B21" s="9">
        <v>1.2499999999999999E-2</v>
      </c>
      <c r="C21" s="9">
        <v>3.7037037037037034E-3</v>
      </c>
      <c r="D21" s="9">
        <f t="shared" si="15"/>
        <v>7.2724999999999995E-3</v>
      </c>
      <c r="E21" s="10">
        <v>0.58179999999999998</v>
      </c>
      <c r="F21" s="9">
        <f t="shared" si="8"/>
        <v>9.2592592592592585E-4</v>
      </c>
      <c r="G21" s="9">
        <f t="shared" si="9"/>
        <v>9.6966666666666664E-4</v>
      </c>
      <c r="H21" s="9">
        <f t="shared" si="10"/>
        <v>1E-3</v>
      </c>
      <c r="I21" s="9">
        <f t="shared" si="11"/>
        <v>1.0426523297491039E-3</v>
      </c>
      <c r="J21" s="9">
        <f t="shared" si="12"/>
        <v>1.0539855072463768E-3</v>
      </c>
      <c r="K21" s="9">
        <f t="shared" si="13"/>
        <v>1.1018939393939394E-3</v>
      </c>
      <c r="L21" s="9">
        <f t="shared" si="14"/>
        <v>1.1543650793650795E-3</v>
      </c>
      <c r="M21" s="11">
        <f>Table14610121424223234363840444850524811131517192123252729[[#This Row],[Thresh]]</f>
        <v>1.1018939393939394E-3</v>
      </c>
      <c r="N21" s="9">
        <f>Table14610121424223234363840444850524811131517192123252729[[#This Row],[T (400)]]*2</f>
        <v>2.2037878787878789E-3</v>
      </c>
      <c r="O21" s="12">
        <f>Table14610121424223234363840444850524811131517192123252729[[#This Row],[I]]</f>
        <v>1E-3</v>
      </c>
      <c r="P21" s="9">
        <f>Table14610121424223234363840444850524811131517192123252729[[#This Row],[200 R]]*2</f>
        <v>2E-3</v>
      </c>
      <c r="Q21" s="12">
        <f>Table14610121424223234363840444850524811131517192123252729[[#This Row],[CV]]</f>
        <v>1.0539855072463768E-3</v>
      </c>
      <c r="R21" s="9">
        <f>Table14610121424223234363840444850524811131517192123252729[[#This Row],[300 VO2]]*2</f>
        <v>2.1079710144927535E-3</v>
      </c>
      <c r="S21" s="12">
        <f>Table14610121424223234363840444850524811131517192123252729[[#This Row],[200 R]]*1.5</f>
        <v>1.5E-3</v>
      </c>
      <c r="T21" s="9">
        <f>Table14610121424223234363840444850524811131517192123252729[[#This Row],[R]]/2</f>
        <v>4.6296296296296293E-4</v>
      </c>
      <c r="U21" s="9"/>
      <c r="V21" s="13" t="s">
        <v>34</v>
      </c>
      <c r="W21" s="104"/>
    </row>
    <row r="22" spans="1:23" ht="17.149999999999999" customHeight="1" x14ac:dyDescent="0.35">
      <c r="A22" s="8" t="s">
        <v>50</v>
      </c>
      <c r="B22" s="9">
        <v>1.2499999999999999E-2</v>
      </c>
      <c r="C22" s="9">
        <v>3.9351851851851857E-3</v>
      </c>
      <c r="D22" s="9">
        <f t="shared" si="15"/>
        <v>7.2724999999999995E-3</v>
      </c>
      <c r="E22" s="10">
        <v>0.58179999999999998</v>
      </c>
      <c r="F22" s="9">
        <f t="shared" si="8"/>
        <v>9.8379629629629642E-4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Table14610121424223234363840444850524811131517192123252729[[#This Row],[Thresh]]</f>
        <v>1.1018939393939394E-3</v>
      </c>
      <c r="N22" s="9">
        <f>Table14610121424223234363840444850524811131517192123252729[[#This Row],[T (400)]]*2</f>
        <v>2.2037878787878789E-3</v>
      </c>
      <c r="O22" s="12">
        <f>Table14610121424223234363840444850524811131517192123252729[[#This Row],[I]]</f>
        <v>1E-3</v>
      </c>
      <c r="P22" s="9">
        <f>Table14610121424223234363840444850524811131517192123252729[[#This Row],[200 R]]*2</f>
        <v>2E-3</v>
      </c>
      <c r="Q22" s="12">
        <f>Table14610121424223234363840444850524811131517192123252729[[#This Row],[CV]]</f>
        <v>1.0539855072463768E-3</v>
      </c>
      <c r="R22" s="9">
        <f>Table14610121424223234363840444850524811131517192123252729[[#This Row],[300 VO2]]*2</f>
        <v>2.1079710144927535E-3</v>
      </c>
      <c r="S22" s="12">
        <f>Table14610121424223234363840444850524811131517192123252729[[#This Row],[200 R]]*1.5</f>
        <v>1.5E-3</v>
      </c>
      <c r="T22" s="9">
        <f>Table14610121424223234363840444850524811131517192123252729[[#This Row],[R]]/2</f>
        <v>4.9189814814814821E-4</v>
      </c>
      <c r="U22" s="9"/>
      <c r="V22" s="13" t="s">
        <v>34</v>
      </c>
      <c r="W22" s="104"/>
    </row>
    <row r="23" spans="1:23" ht="17.149999999999999" customHeight="1" x14ac:dyDescent="0.35">
      <c r="A23" s="8" t="s">
        <v>40</v>
      </c>
      <c r="B23" s="9">
        <v>1.3020833333333334E-2</v>
      </c>
      <c r="C23" s="9">
        <v>3.8194444444444443E-3</v>
      </c>
      <c r="D23" s="9">
        <f t="shared" si="15"/>
        <v>7.5755208333333334E-3</v>
      </c>
      <c r="E23" s="10">
        <v>0.58179999999999998</v>
      </c>
      <c r="F23" s="9">
        <f t="shared" si="8"/>
        <v>9.5486111111111108E-4</v>
      </c>
      <c r="G23" s="9">
        <f t="shared" si="9"/>
        <v>1.0100694444444445E-3</v>
      </c>
      <c r="H23" s="9">
        <f t="shared" si="10"/>
        <v>1.0416666666666667E-3</v>
      </c>
      <c r="I23" s="9">
        <f t="shared" si="11"/>
        <v>1.0860961768219832E-3</v>
      </c>
      <c r="J23" s="9">
        <f t="shared" si="12"/>
        <v>1.0979015700483092E-3</v>
      </c>
      <c r="K23" s="9">
        <f t="shared" si="13"/>
        <v>1.1478061868686869E-3</v>
      </c>
      <c r="L23" s="9">
        <f t="shared" si="14"/>
        <v>1.2024636243386244E-3</v>
      </c>
      <c r="M23" s="11">
        <f>Table14610121424223234363840444850524811131517192123252729[[#This Row],[Thresh]]</f>
        <v>1.1478061868686869E-3</v>
      </c>
      <c r="N23" s="9">
        <f>Table14610121424223234363840444850524811131517192123252729[[#This Row],[T (400)]]*2</f>
        <v>2.2956123737373738E-3</v>
      </c>
      <c r="O23" s="12">
        <f>Table14610121424223234363840444850524811131517192123252729[[#This Row],[I]]</f>
        <v>1.0416666666666667E-3</v>
      </c>
      <c r="P23" s="9">
        <f>Table14610121424223234363840444850524811131517192123252729[[#This Row],[200 R]]*2</f>
        <v>2.0833333333333333E-3</v>
      </c>
      <c r="Q23" s="12">
        <f>Table14610121424223234363840444850524811131517192123252729[[#This Row],[CV]]</f>
        <v>1.0979015700483092E-3</v>
      </c>
      <c r="R23" s="9">
        <f>Table14610121424223234363840444850524811131517192123252729[[#This Row],[300 VO2]]*2</f>
        <v>2.1958031400966184E-3</v>
      </c>
      <c r="S23" s="12">
        <f>Table14610121424223234363840444850524811131517192123252729[[#This Row],[200 R]]*1.5</f>
        <v>1.5625000000000001E-3</v>
      </c>
      <c r="T23" s="9">
        <f>Table14610121424223234363840444850524811131517192123252729[[#This Row],[R]]/2</f>
        <v>4.7743055555555554E-4</v>
      </c>
      <c r="U23" s="9"/>
      <c r="V23" s="13" t="s">
        <v>34</v>
      </c>
      <c r="W23" s="104"/>
    </row>
    <row r="24" spans="1:23" ht="17.149999999999999" customHeight="1" x14ac:dyDescent="0.35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4"/>
    </row>
    <row r="25" spans="1:23" ht="17.149999999999999" customHeight="1" x14ac:dyDescent="0.35">
      <c r="A25" s="14"/>
      <c r="B25" s="15"/>
      <c r="C25" s="15"/>
      <c r="D25" s="15"/>
      <c r="E25" s="16"/>
      <c r="F25" s="15">
        <f t="shared" ref="F25:F31" si="16">C25/4</f>
        <v>0</v>
      </c>
      <c r="G25" s="15">
        <f t="shared" ref="G25:G31" si="17">D25/7.5</f>
        <v>0</v>
      </c>
      <c r="H25" s="15">
        <f t="shared" ref="H25:H31" si="18">B25/12.5</f>
        <v>0</v>
      </c>
      <c r="I25" s="15">
        <f t="shared" ref="I25:I31" si="19">G25/0.93</f>
        <v>0</v>
      </c>
      <c r="J25" s="15">
        <f t="shared" ref="J25:J31" si="20">G25/0.92</f>
        <v>0</v>
      </c>
      <c r="K25" s="15">
        <f t="shared" ref="K25:K31" si="21">G25/0.88</f>
        <v>0</v>
      </c>
      <c r="L25" s="15">
        <f t="shared" ref="L25:L31" si="22">G25/0.84</f>
        <v>0</v>
      </c>
      <c r="M25" s="30"/>
      <c r="N25" s="15"/>
      <c r="O25" s="15"/>
      <c r="P25" s="15"/>
      <c r="Q25" s="15"/>
      <c r="R25" s="15"/>
      <c r="S25" s="15"/>
      <c r="T25" s="15"/>
      <c r="U25" s="15"/>
      <c r="V25" s="17"/>
      <c r="W25" s="104"/>
    </row>
    <row r="26" spans="1:23" ht="17.149999999999999" customHeight="1" x14ac:dyDescent="0.35">
      <c r="A26" s="8" t="s">
        <v>55</v>
      </c>
      <c r="B26" s="9">
        <v>1.1689814814814814E-2</v>
      </c>
      <c r="C26" s="9">
        <v>3.472222222222222E-3</v>
      </c>
      <c r="D26" s="9">
        <f t="shared" ref="D26:D31" si="23">B26*E26</f>
        <v>6.8011342592592585E-3</v>
      </c>
      <c r="E26" s="10">
        <v>0.58179999999999998</v>
      </c>
      <c r="F26" s="9">
        <f t="shared" si="16"/>
        <v>8.6805555555555551E-4</v>
      </c>
      <c r="G26" s="9">
        <f t="shared" si="17"/>
        <v>9.0681790123456785E-4</v>
      </c>
      <c r="H26" s="9">
        <f t="shared" si="18"/>
        <v>9.3518518518518516E-4</v>
      </c>
      <c r="I26" s="9">
        <f t="shared" si="19"/>
        <v>9.7507301208018041E-4</v>
      </c>
      <c r="J26" s="9">
        <f t="shared" si="20"/>
        <v>9.8567163177670412E-4</v>
      </c>
      <c r="K26" s="9">
        <f t="shared" si="21"/>
        <v>1.0304748877665545E-3</v>
      </c>
      <c r="L26" s="9">
        <f t="shared" si="22"/>
        <v>1.0795451205173427E-3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48</v>
      </c>
      <c r="W26" s="104"/>
    </row>
    <row r="27" spans="1:23" ht="17.149999999999999" customHeight="1" x14ac:dyDescent="0.35">
      <c r="A27" s="8" t="s">
        <v>33</v>
      </c>
      <c r="B27" s="9">
        <v>1.2268518518518519E-2</v>
      </c>
      <c r="C27" s="9">
        <v>3.645833333333333E-3</v>
      </c>
      <c r="D27" s="9">
        <f t="shared" si="23"/>
        <v>7.1378240740740742E-3</v>
      </c>
      <c r="E27" s="10">
        <v>0.58179999999999998</v>
      </c>
      <c r="F27" s="9">
        <f t="shared" si="16"/>
        <v>9.1145833333333324E-4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48</v>
      </c>
      <c r="W27" s="104"/>
    </row>
    <row r="28" spans="1:23" ht="17.149999999999999" customHeight="1" x14ac:dyDescent="0.35">
      <c r="A28" s="8" t="s">
        <v>49</v>
      </c>
      <c r="B28" s="9">
        <v>1.2268518518518519E-2</v>
      </c>
      <c r="C28" s="9">
        <v>3.7037037037037034E-3</v>
      </c>
      <c r="D28" s="9">
        <f t="shared" si="23"/>
        <v>7.1378240740740742E-3</v>
      </c>
      <c r="E28" s="10">
        <v>0.58179999999999998</v>
      </c>
      <c r="F28" s="9">
        <f t="shared" si="16"/>
        <v>9.2592592592592585E-4</v>
      </c>
      <c r="G28" s="9">
        <f t="shared" si="17"/>
        <v>9.5170987654320989E-4</v>
      </c>
      <c r="H28" s="9">
        <f t="shared" si="18"/>
        <v>9.8148148148148161E-4</v>
      </c>
      <c r="I28" s="9">
        <f t="shared" si="19"/>
        <v>1.0233439532722685E-3</v>
      </c>
      <c r="J28" s="9">
        <f t="shared" si="20"/>
        <v>1.0344672571121847E-3</v>
      </c>
      <c r="K28" s="9">
        <f t="shared" si="21"/>
        <v>1.0814884960718295E-3</v>
      </c>
      <c r="L28" s="9">
        <f t="shared" si="22"/>
        <v>1.1329879482657262E-3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48</v>
      </c>
      <c r="W28" s="104" t="s">
        <v>213</v>
      </c>
    </row>
    <row r="29" spans="1:23" ht="17.149999999999999" customHeight="1" x14ac:dyDescent="0.35">
      <c r="A29" s="8" t="s">
        <v>37</v>
      </c>
      <c r="B29" s="9">
        <v>1.238425925925926E-2</v>
      </c>
      <c r="C29" s="9">
        <v>3.8194444444444443E-3</v>
      </c>
      <c r="D29" s="9">
        <f t="shared" si="23"/>
        <v>7.2051620370370368E-3</v>
      </c>
      <c r="E29" s="10">
        <v>0.58179999999999998</v>
      </c>
      <c r="F29" s="9">
        <f t="shared" si="16"/>
        <v>9.5486111111111108E-4</v>
      </c>
      <c r="G29" s="9">
        <f t="shared" si="17"/>
        <v>9.6068827160493821E-4</v>
      </c>
      <c r="H29" s="9">
        <f t="shared" si="18"/>
        <v>9.9074074074074082E-4</v>
      </c>
      <c r="I29" s="9">
        <f t="shared" si="19"/>
        <v>1.0329981415106862E-3</v>
      </c>
      <c r="J29" s="9">
        <f t="shared" si="20"/>
        <v>1.0442263821792807E-3</v>
      </c>
      <c r="K29" s="9">
        <f t="shared" si="21"/>
        <v>1.0916912177328843E-3</v>
      </c>
      <c r="L29" s="9">
        <f t="shared" si="22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48</v>
      </c>
      <c r="W29" s="104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4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53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208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133</v>
      </c>
      <c r="P34" s="6" t="s">
        <v>204</v>
      </c>
      <c r="Q34" s="6" t="s">
        <v>205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214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3" si="24">B35*E35</f>
        <v>6.0604166666666662E-3</v>
      </c>
      <c r="E35" s="10">
        <v>0.58179999999999998</v>
      </c>
      <c r="F35" s="9">
        <f t="shared" ref="F35:F44" si="25">C35/4</f>
        <v>7.233796296296297E-4</v>
      </c>
      <c r="G35" s="9">
        <f t="shared" ref="G35:G44" si="26">D35/7.5</f>
        <v>8.0805555555555546E-4</v>
      </c>
      <c r="H35" s="9">
        <f t="shared" ref="H35:H44" si="27">B35/12.5</f>
        <v>8.3333333333333328E-4</v>
      </c>
      <c r="I35" s="9">
        <f t="shared" ref="I35:I44" si="28">G35/0.93</f>
        <v>8.6887694145758646E-4</v>
      </c>
      <c r="J35" s="9">
        <f t="shared" ref="J35:J44" si="29">G35/0.92</f>
        <v>8.7832125603864715E-4</v>
      </c>
      <c r="K35" s="9">
        <f t="shared" ref="K35:K44" si="30">G35/0.88</f>
        <v>9.1824494949494938E-4</v>
      </c>
      <c r="L35" s="9">
        <f t="shared" ref="L35:L44" si="31">G35/0.84</f>
        <v>9.6197089947089938E-4</v>
      </c>
      <c r="M35" s="11">
        <f>Table25711131525233335373941454951535912141618202224262830[[#This Row],[Thresh]]</f>
        <v>9.1824494949494938E-4</v>
      </c>
      <c r="N35" s="9">
        <f>Table25711131525233335373941454951535912141618202224262830[[#This Row],[T (400)]]*2</f>
        <v>1.8364898989898988E-3</v>
      </c>
      <c r="O35" s="24">
        <f>Table25711131525233335373941454951535912141618202224262830[[#This Row],[R]]/2</f>
        <v>3.6168981481481485E-4</v>
      </c>
      <c r="P35" s="9">
        <f>Table25711131525233335373941454951535912141618202224262830[[#This Row],[VO2]]/2</f>
        <v>4.0402777777777773E-4</v>
      </c>
      <c r="Q35" s="24">
        <f>Table25711131525233335373941454951535912141618202224262830[[#This Row],[VO2 (200)]]*1.5</f>
        <v>6.0604166666666662E-4</v>
      </c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si="24"/>
        <v>6.0604166666666662E-3</v>
      </c>
      <c r="E36" s="10">
        <v>0.58179999999999998</v>
      </c>
      <c r="F36" s="9">
        <f t="shared" si="25"/>
        <v>7.378472222222222E-4</v>
      </c>
      <c r="G36" s="9">
        <f t="shared" si="26"/>
        <v>8.0805555555555546E-4</v>
      </c>
      <c r="H36" s="9">
        <f t="shared" si="27"/>
        <v>8.3333333333333328E-4</v>
      </c>
      <c r="I36" s="9">
        <f t="shared" si="28"/>
        <v>8.6887694145758646E-4</v>
      </c>
      <c r="J36" s="9">
        <f t="shared" si="29"/>
        <v>8.7832125603864715E-4</v>
      </c>
      <c r="K36" s="9">
        <f t="shared" si="30"/>
        <v>9.1824494949494938E-4</v>
      </c>
      <c r="L36" s="9">
        <f t="shared" si="31"/>
        <v>9.6197089947089938E-4</v>
      </c>
      <c r="M36" s="11">
        <f>Table25711131525233335373941454951535912141618202224262830[[#This Row],[Thresh]]</f>
        <v>9.1824494949494938E-4</v>
      </c>
      <c r="N36" s="9">
        <f>Table25711131525233335373941454951535912141618202224262830[[#This Row],[T (400)]]*2</f>
        <v>1.8364898989898988E-3</v>
      </c>
      <c r="O36" s="24">
        <f>Table25711131525233335373941454951535912141618202224262830[[#This Row],[R]]/2</f>
        <v>3.689236111111111E-4</v>
      </c>
      <c r="P36" s="9">
        <f>Table25711131525233335373941454951535912141618202224262830[[#This Row],[VO2]]/2</f>
        <v>4.0402777777777773E-4</v>
      </c>
      <c r="Q36" s="24">
        <f>Table25711131525233335373941454951535912141618202224262830[[#This Row],[VO2 (200)]]*1.5</f>
        <v>6.0604166666666662E-4</v>
      </c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24"/>
        <v>6.0604166666666662E-3</v>
      </c>
      <c r="E37" s="10">
        <v>0.58179999999999998</v>
      </c>
      <c r="F37" s="9">
        <f t="shared" si="25"/>
        <v>7.4363425925925931E-4</v>
      </c>
      <c r="G37" s="9">
        <f t="shared" si="26"/>
        <v>8.0805555555555546E-4</v>
      </c>
      <c r="H37" s="9">
        <f t="shared" si="27"/>
        <v>8.3333333333333328E-4</v>
      </c>
      <c r="I37" s="9">
        <f t="shared" si="28"/>
        <v>8.6887694145758646E-4</v>
      </c>
      <c r="J37" s="9">
        <f t="shared" si="29"/>
        <v>8.7832125603864715E-4</v>
      </c>
      <c r="K37" s="9">
        <f t="shared" si="30"/>
        <v>9.1824494949494938E-4</v>
      </c>
      <c r="L37" s="9">
        <f t="shared" si="31"/>
        <v>9.6197089947089938E-4</v>
      </c>
      <c r="M37" s="11">
        <f>Table25711131525233335373941454951535912141618202224262830[[#This Row],[Thresh]]</f>
        <v>9.1824494949494938E-4</v>
      </c>
      <c r="N37" s="9">
        <f>Table25711131525233335373941454951535912141618202224262830[[#This Row],[T (400)]]*2</f>
        <v>1.8364898989898988E-3</v>
      </c>
      <c r="O37" s="24">
        <f>Table25711131525233335373941454951535912141618202224262830[[#This Row],[R]]/2</f>
        <v>3.7181712962962966E-4</v>
      </c>
      <c r="P37" s="9">
        <f>Table25711131525233335373941454951535912141618202224262830[[#This Row],[VO2]]/2</f>
        <v>4.0402777777777773E-4</v>
      </c>
      <c r="Q37" s="24">
        <f>Table25711131525233335373941454951535912141618202224262830[[#This Row],[VO2 (200)]]*1.5</f>
        <v>6.0604166666666662E-4</v>
      </c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24"/>
        <v>6.3297685185185184E-3</v>
      </c>
      <c r="E38" s="10">
        <v>0.58179999999999998</v>
      </c>
      <c r="F38" s="9">
        <f t="shared" si="25"/>
        <v>7.5231481481481471E-4</v>
      </c>
      <c r="G38" s="9">
        <f t="shared" si="26"/>
        <v>8.4396913580246917E-4</v>
      </c>
      <c r="H38" s="9">
        <f t="shared" si="27"/>
        <v>8.7037037037037042E-4</v>
      </c>
      <c r="I38" s="9">
        <f t="shared" si="28"/>
        <v>9.0749369441125711E-4</v>
      </c>
      <c r="J38" s="9">
        <f t="shared" si="29"/>
        <v>9.173577563070317E-4</v>
      </c>
      <c r="K38" s="9">
        <f t="shared" si="30"/>
        <v>9.5905583613916951E-4</v>
      </c>
      <c r="L38" s="9">
        <f t="shared" si="31"/>
        <v>1.0047251616696062E-3</v>
      </c>
      <c r="M38" s="11">
        <f>Table25711131525233335373941454951535912141618202224262830[[#This Row],[Thresh]]</f>
        <v>9.5905583613916951E-4</v>
      </c>
      <c r="N38" s="9">
        <f>Table25711131525233335373941454951535912141618202224262830[[#This Row],[T (400)]]*2</f>
        <v>1.918111672278339E-3</v>
      </c>
      <c r="O38" s="24">
        <f>Table25711131525233335373941454951535912141618202224262830[[#This Row],[R]]/2</f>
        <v>3.7615740740740735E-4</v>
      </c>
      <c r="P38" s="9">
        <f>Table25711131525233335373941454951535912141618202224262830[[#This Row],[VO2]]/2</f>
        <v>4.2198456790123459E-4</v>
      </c>
      <c r="Q38" s="24">
        <f>Table25711131525233335373941454951535912141618202224262830[[#This Row],[VO2 (200)]]*1.5</f>
        <v>6.3297685185185191E-4</v>
      </c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24"/>
        <v>6.3297685185185184E-3</v>
      </c>
      <c r="E39" s="10">
        <v>0.58179999999999998</v>
      </c>
      <c r="F39" s="9">
        <f t="shared" si="25"/>
        <v>7.5231481481481471E-4</v>
      </c>
      <c r="G39" s="9">
        <f t="shared" si="26"/>
        <v>8.4396913580246917E-4</v>
      </c>
      <c r="H39" s="9">
        <f t="shared" si="27"/>
        <v>8.7037037037037042E-4</v>
      </c>
      <c r="I39" s="9">
        <f t="shared" si="28"/>
        <v>9.0749369441125711E-4</v>
      </c>
      <c r="J39" s="9">
        <f t="shared" si="29"/>
        <v>9.173577563070317E-4</v>
      </c>
      <c r="K39" s="9">
        <f t="shared" si="30"/>
        <v>9.5905583613916951E-4</v>
      </c>
      <c r="L39" s="9">
        <f t="shared" si="31"/>
        <v>1.0047251616696062E-3</v>
      </c>
      <c r="M39" s="11">
        <f>Table25711131525233335373941454951535912141618202224262830[[#This Row],[Thresh]]</f>
        <v>9.5905583613916951E-4</v>
      </c>
      <c r="N39" s="9">
        <f>Table25711131525233335373941454951535912141618202224262830[[#This Row],[T (400)]]*2</f>
        <v>1.918111672278339E-3</v>
      </c>
      <c r="O39" s="24">
        <f>Table25711131525233335373941454951535912141618202224262830[[#This Row],[R]]/2</f>
        <v>3.7615740740740735E-4</v>
      </c>
      <c r="P39" s="9">
        <f>Table25711131525233335373941454951535912141618202224262830[[#This Row],[VO2]]/2</f>
        <v>4.2198456790123459E-4</v>
      </c>
      <c r="Q39" s="24">
        <f>Table25711131525233335373941454951535912141618202224262830[[#This Row],[VO2 (200)]]*1.5</f>
        <v>6.3297685185185191E-4</v>
      </c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24"/>
        <v>6.5317824074074089E-3</v>
      </c>
      <c r="E40" s="10">
        <v>0.58179999999999998</v>
      </c>
      <c r="F40" s="9">
        <f t="shared" si="25"/>
        <v>7.8124999999999993E-4</v>
      </c>
      <c r="G40" s="9">
        <f t="shared" si="26"/>
        <v>8.7090432098765457E-4</v>
      </c>
      <c r="H40" s="9">
        <f t="shared" si="27"/>
        <v>8.9814814814814835E-4</v>
      </c>
      <c r="I40" s="9">
        <f t="shared" si="28"/>
        <v>9.3645625912651019E-4</v>
      </c>
      <c r="J40" s="9">
        <f t="shared" si="29"/>
        <v>9.4663513150832011E-4</v>
      </c>
      <c r="K40" s="9">
        <f t="shared" si="30"/>
        <v>9.8966400112233477E-4</v>
      </c>
      <c r="L40" s="9">
        <f t="shared" si="31"/>
        <v>1.0367908583186363E-3</v>
      </c>
      <c r="M40" s="11">
        <f>Table25711131525233335373941454951535912141618202224262830[[#This Row],[Thresh]]</f>
        <v>9.8966400112233477E-4</v>
      </c>
      <c r="N40" s="9">
        <f>Table25711131525233335373941454951535912141618202224262830[[#This Row],[T (400)]]*2</f>
        <v>1.9793280022446695E-3</v>
      </c>
      <c r="O40" s="24">
        <f>Table25711131525233335373941454951535912141618202224262830[[#This Row],[R]]/2</f>
        <v>3.9062499999999997E-4</v>
      </c>
      <c r="P40" s="9">
        <f>Table25711131525233335373941454951535912141618202224262830[[#This Row],[VO2]]/2</f>
        <v>4.3545216049382728E-4</v>
      </c>
      <c r="Q40" s="24">
        <f>Table25711131525233335373941454951535912141618202224262830[[#This Row],[VO2 (200)]]*1.5</f>
        <v>6.5317824074074095E-4</v>
      </c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24"/>
        <v>6.5317824074074089E-3</v>
      </c>
      <c r="E41" s="10">
        <v>0.58179999999999998</v>
      </c>
      <c r="F41" s="9">
        <f t="shared" si="25"/>
        <v>7.8124999999999993E-4</v>
      </c>
      <c r="G41" s="9">
        <f t="shared" si="26"/>
        <v>8.7090432098765457E-4</v>
      </c>
      <c r="H41" s="9">
        <f t="shared" si="27"/>
        <v>8.9814814814814835E-4</v>
      </c>
      <c r="I41" s="9">
        <f t="shared" si="28"/>
        <v>9.3645625912651019E-4</v>
      </c>
      <c r="J41" s="9">
        <f t="shared" si="29"/>
        <v>9.4663513150832011E-4</v>
      </c>
      <c r="K41" s="9">
        <f t="shared" si="30"/>
        <v>9.8966400112233477E-4</v>
      </c>
      <c r="L41" s="9">
        <f t="shared" si="31"/>
        <v>1.0367908583186363E-3</v>
      </c>
      <c r="M41" s="11">
        <f>Table25711131525233335373941454951535912141618202224262830[[#This Row],[Thresh]]</f>
        <v>9.8966400112233477E-4</v>
      </c>
      <c r="N41" s="9">
        <f>Table25711131525233335373941454951535912141618202224262830[[#This Row],[T (400)]]*2</f>
        <v>1.9793280022446695E-3</v>
      </c>
      <c r="O41" s="24">
        <f>Table25711131525233335373941454951535912141618202224262830[[#This Row],[R]]/2</f>
        <v>3.9062499999999997E-4</v>
      </c>
      <c r="P41" s="9">
        <f>Table25711131525233335373941454951535912141618202224262830[[#This Row],[VO2]]/2</f>
        <v>4.3545216049382728E-4</v>
      </c>
      <c r="Q41" s="24">
        <f>Table25711131525233335373941454951535912141618202224262830[[#This Row],[VO2 (200)]]*1.5</f>
        <v>6.5317824074074095E-4</v>
      </c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68</v>
      </c>
      <c r="B42" s="9">
        <v>1.1226851851851854E-2</v>
      </c>
      <c r="C42" s="9">
        <v>3.1828703703703702E-3</v>
      </c>
      <c r="D42" s="9">
        <f t="shared" si="24"/>
        <v>6.5317824074074089E-3</v>
      </c>
      <c r="E42" s="10">
        <v>0.58179999999999998</v>
      </c>
      <c r="F42" s="9">
        <f t="shared" si="25"/>
        <v>7.9571759259259255E-4</v>
      </c>
      <c r="G42" s="9">
        <f t="shared" si="26"/>
        <v>8.7090432098765457E-4</v>
      </c>
      <c r="H42" s="9">
        <f t="shared" si="27"/>
        <v>8.9814814814814835E-4</v>
      </c>
      <c r="I42" s="9">
        <f t="shared" si="28"/>
        <v>9.3645625912651019E-4</v>
      </c>
      <c r="J42" s="9">
        <f t="shared" si="29"/>
        <v>9.4663513150832011E-4</v>
      </c>
      <c r="K42" s="9">
        <f t="shared" si="30"/>
        <v>9.8966400112233477E-4</v>
      </c>
      <c r="L42" s="9">
        <f t="shared" si="31"/>
        <v>1.0367908583186363E-3</v>
      </c>
      <c r="M42" s="11">
        <f>Table25711131525233335373941454951535912141618202224262830[[#This Row],[Thresh]]</f>
        <v>9.8966400112233477E-4</v>
      </c>
      <c r="N42" s="9">
        <f>Table25711131525233335373941454951535912141618202224262830[[#This Row],[T (400)]]*2</f>
        <v>1.9793280022446695E-3</v>
      </c>
      <c r="O42" s="24">
        <f>Table25711131525233335373941454951535912141618202224262830[[#This Row],[R]]/2</f>
        <v>3.9785879629629627E-4</v>
      </c>
      <c r="P42" s="9">
        <f>Table25711131525233335373941454951535912141618202224262830[[#This Row],[VO2]]/2</f>
        <v>4.3545216049382728E-4</v>
      </c>
      <c r="Q42" s="24">
        <f>Table25711131525233335373941454951535912141618202224262830[[#This Row],[VO2 (200)]]*1.5</f>
        <v>6.5317824074074095E-4</v>
      </c>
      <c r="R42" s="9"/>
      <c r="S42" s="12"/>
      <c r="T42" s="25"/>
      <c r="V42" s="23" t="s">
        <v>24</v>
      </c>
      <c r="W42" s="104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24"/>
        <v>6.6664583333333333E-3</v>
      </c>
      <c r="E43" s="10">
        <v>0.58179999999999998</v>
      </c>
      <c r="F43" s="9">
        <f t="shared" si="25"/>
        <v>7.6678240740740743E-4</v>
      </c>
      <c r="G43" s="9">
        <f t="shared" si="26"/>
        <v>8.888611111111111E-4</v>
      </c>
      <c r="H43" s="9">
        <f t="shared" si="27"/>
        <v>9.1666666666666676E-4</v>
      </c>
      <c r="I43" s="9">
        <f t="shared" si="28"/>
        <v>9.5576463560334524E-4</v>
      </c>
      <c r="J43" s="9">
        <f t="shared" si="29"/>
        <v>9.6615338164251206E-4</v>
      </c>
      <c r="K43" s="9">
        <f t="shared" si="30"/>
        <v>1.0100694444444445E-3</v>
      </c>
      <c r="L43" s="9">
        <f t="shared" si="31"/>
        <v>1.0581679894179894E-3</v>
      </c>
      <c r="M43" s="11">
        <f>Table25711131525233335373941454951535912141618202224262830[[#This Row],[Thresh]]</f>
        <v>1.0100694444444445E-3</v>
      </c>
      <c r="N43" s="9">
        <f>Table25711131525233335373941454951535912141618202224262830[[#This Row],[T (400)]]*2</f>
        <v>2.020138888888889E-3</v>
      </c>
      <c r="O43" s="24">
        <f>Table25711131525233335373941454951535912141618202224262830[[#This Row],[R]]/2</f>
        <v>3.8339120370370371E-4</v>
      </c>
      <c r="P43" s="9">
        <f>Table25711131525233335373941454951535912141618202224262830[[#This Row],[VO2]]/2</f>
        <v>4.4443055555555555E-4</v>
      </c>
      <c r="Q43" s="24">
        <f>Table25711131525233335373941454951535912141618202224262830[[#This Row],[VO2 (200)]]*1.5</f>
        <v>6.6664583333333333E-4</v>
      </c>
      <c r="R43" s="9"/>
      <c r="S43" s="12"/>
      <c r="T43" s="96"/>
      <c r="U43" s="9"/>
      <c r="V43" s="23" t="s">
        <v>24</v>
      </c>
      <c r="W43" s="104" t="s">
        <v>215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25"/>
        <v>0</v>
      </c>
      <c r="G44" s="9">
        <f t="shared" si="26"/>
        <v>0</v>
      </c>
      <c r="H44" s="9">
        <f t="shared" si="27"/>
        <v>0</v>
      </c>
      <c r="I44" s="9">
        <f t="shared" si="28"/>
        <v>0</v>
      </c>
      <c r="J44" s="9">
        <f t="shared" si="29"/>
        <v>0</v>
      </c>
      <c r="K44" s="9">
        <f t="shared" si="30"/>
        <v>0</v>
      </c>
      <c r="L44" s="9">
        <f t="shared" si="31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 t="s">
        <v>12</v>
      </c>
      <c r="N45" s="15" t="s">
        <v>13</v>
      </c>
      <c r="O45" s="15" t="s">
        <v>27</v>
      </c>
      <c r="P45" s="15" t="s">
        <v>133</v>
      </c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70</v>
      </c>
      <c r="B46" s="9">
        <v>9.780092592592592E-3</v>
      </c>
      <c r="C46" s="9">
        <v>2.8124999999999995E-3</v>
      </c>
      <c r="D46" s="9">
        <f t="shared" ref="D46:D61" si="32">B46*E46</f>
        <v>5.6900578703703696E-3</v>
      </c>
      <c r="E46" s="10">
        <v>0.58179999999999998</v>
      </c>
      <c r="F46" s="9">
        <f t="shared" ref="F46:F63" si="33">C46/4</f>
        <v>7.0312499999999987E-4</v>
      </c>
      <c r="G46" s="9">
        <f t="shared" ref="G46:G63" si="34">D46/7.5</f>
        <v>7.5867438271604926E-4</v>
      </c>
      <c r="H46" s="9">
        <f t="shared" ref="H46:H63" si="35">B46/12.5</f>
        <v>7.8240740740740734E-4</v>
      </c>
      <c r="I46" s="9">
        <f t="shared" ref="I46:I63" si="36">G46/0.93</f>
        <v>8.1577890614628948E-4</v>
      </c>
      <c r="J46" s="9">
        <f t="shared" ref="J46:J63" si="37">G46/0.92</f>
        <v>8.2464606816961877E-4</v>
      </c>
      <c r="K46" s="9">
        <f t="shared" ref="K46:K63" si="38">G46/0.88</f>
        <v>8.6212998035914683E-4</v>
      </c>
      <c r="L46" s="9">
        <f t="shared" ref="L46:L63" si="39">G46/0.84</f>
        <v>9.031837889476777E-4</v>
      </c>
      <c r="M46" s="11">
        <f>Table25711131525233335373941454951535912141618202224262830[[#This Row],[Thresh]]</f>
        <v>8.6212998035914683E-4</v>
      </c>
      <c r="N46" s="9">
        <f>Table25711131525233335373941454951535912141618202224262830[[#This Row],[T (400)]]*2</f>
        <v>1.7242599607182937E-3</v>
      </c>
      <c r="O46" s="24">
        <f>Table25711131525233335373941454951535912141618202224262830[[#This Row],[R]]</f>
        <v>7.0312499999999987E-4</v>
      </c>
      <c r="P46" s="9">
        <f>Table25711131525233335373941454951535912141618202224262830[[#This Row],[200 R]]/2</f>
        <v>3.5156249999999993E-4</v>
      </c>
      <c r="Q46" s="24"/>
      <c r="R46" s="9"/>
      <c r="S46" s="12"/>
      <c r="T46" s="25"/>
      <c r="V46" s="23" t="s">
        <v>134</v>
      </c>
      <c r="W46" s="104"/>
    </row>
    <row r="47" spans="1:23" ht="17.149999999999999" customHeight="1" x14ac:dyDescent="0.35">
      <c r="A47" s="8" t="s">
        <v>72</v>
      </c>
      <c r="B47" s="9">
        <v>1.0127314814814815E-2</v>
      </c>
      <c r="C47" s="9">
        <v>2.8935185185185188E-3</v>
      </c>
      <c r="D47" s="9">
        <f t="shared" si="32"/>
        <v>5.8920717592592592E-3</v>
      </c>
      <c r="E47" s="10">
        <v>0.58179999999999998</v>
      </c>
      <c r="F47" s="9">
        <f t="shared" si="33"/>
        <v>7.233796296296297E-4</v>
      </c>
      <c r="G47" s="9">
        <f t="shared" si="34"/>
        <v>7.8560956790123455E-4</v>
      </c>
      <c r="H47" s="9">
        <f t="shared" si="35"/>
        <v>8.1018518518518516E-4</v>
      </c>
      <c r="I47" s="9">
        <f t="shared" si="36"/>
        <v>8.4474147086154245E-4</v>
      </c>
      <c r="J47" s="9">
        <f t="shared" si="37"/>
        <v>8.5392344337090708E-4</v>
      </c>
      <c r="K47" s="9">
        <f t="shared" si="38"/>
        <v>8.9273814534231199E-4</v>
      </c>
      <c r="L47" s="9">
        <f t="shared" si="39"/>
        <v>9.3524948559670779E-4</v>
      </c>
      <c r="M47" s="11">
        <f>Table25711131525233335373941454951535912141618202224262830[[#This Row],[Thresh]]</f>
        <v>8.9273814534231199E-4</v>
      </c>
      <c r="N47" s="9">
        <f>Table25711131525233335373941454951535912141618202224262830[[#This Row],[T (400)]]*2</f>
        <v>1.785476290684624E-3</v>
      </c>
      <c r="O47" s="24">
        <f>Table25711131525233335373941454951535912141618202224262830[[#This Row],[R]]</f>
        <v>7.233796296296297E-4</v>
      </c>
      <c r="P47" s="9">
        <f>Table25711131525233335373941454951535912141618202224262830[[#This Row],[200 R]]/2</f>
        <v>3.6168981481481485E-4</v>
      </c>
      <c r="Q47" s="24"/>
      <c r="R47" s="9"/>
      <c r="S47" s="12"/>
      <c r="T47" s="25"/>
      <c r="V47" s="23" t="s">
        <v>134</v>
      </c>
      <c r="W47" s="104"/>
    </row>
    <row r="48" spans="1:23" ht="17.149999999999999" customHeight="1" x14ac:dyDescent="0.35">
      <c r="A48" s="8" t="s">
        <v>71</v>
      </c>
      <c r="B48" s="9">
        <v>1.0011574074074074E-2</v>
      </c>
      <c r="C48" s="9">
        <v>2.8935185185185188E-3</v>
      </c>
      <c r="D48" s="9">
        <f t="shared" si="32"/>
        <v>5.8247337962962957E-3</v>
      </c>
      <c r="E48" s="10">
        <v>0.58179999999999998</v>
      </c>
      <c r="F48" s="9">
        <f t="shared" si="33"/>
        <v>7.233796296296297E-4</v>
      </c>
      <c r="G48" s="9">
        <f t="shared" si="34"/>
        <v>7.7663117283950612E-4</v>
      </c>
      <c r="H48" s="9">
        <f t="shared" si="35"/>
        <v>8.0092592592592585E-4</v>
      </c>
      <c r="I48" s="9">
        <f t="shared" si="36"/>
        <v>8.3508728262312486E-4</v>
      </c>
      <c r="J48" s="9">
        <f t="shared" si="37"/>
        <v>8.4416431830381094E-4</v>
      </c>
      <c r="K48" s="9">
        <f t="shared" si="38"/>
        <v>8.825354236812569E-4</v>
      </c>
      <c r="L48" s="9">
        <f t="shared" si="39"/>
        <v>9.2456092004703113E-4</v>
      </c>
      <c r="M48" s="11">
        <f>Table25711131525233335373941454951535912141618202224262830[[#This Row],[Thresh]]</f>
        <v>8.825354236812569E-4</v>
      </c>
      <c r="N48" s="9">
        <f>Table25711131525233335373941454951535912141618202224262830[[#This Row],[T (400)]]*2</f>
        <v>1.7650708473625138E-3</v>
      </c>
      <c r="O48" s="24">
        <f>Table25711131525233335373941454951535912141618202224262830[[#This Row],[R]]</f>
        <v>7.233796296296297E-4</v>
      </c>
      <c r="P48" s="9">
        <f>Table25711131525233335373941454951535912141618202224262830[[#This Row],[200 R]]/2</f>
        <v>3.6168981481481485E-4</v>
      </c>
      <c r="Q48" s="24"/>
      <c r="R48" s="9"/>
      <c r="S48" s="24"/>
      <c r="T48" s="24"/>
      <c r="U48" s="24"/>
      <c r="V48" s="23" t="s">
        <v>134</v>
      </c>
      <c r="W48" s="104"/>
    </row>
    <row r="49" spans="1:23" ht="17.149999999999999" customHeight="1" x14ac:dyDescent="0.35">
      <c r="A49" s="8" t="s">
        <v>73</v>
      </c>
      <c r="B49" s="9">
        <v>1.0011574074074074E-2</v>
      </c>
      <c r="C49" s="9">
        <v>2.8935185185185188E-3</v>
      </c>
      <c r="D49" s="9">
        <f t="shared" si="32"/>
        <v>5.8247337962962957E-3</v>
      </c>
      <c r="E49" s="10">
        <v>0.58179999999999998</v>
      </c>
      <c r="F49" s="9">
        <f t="shared" si="33"/>
        <v>7.233796296296297E-4</v>
      </c>
      <c r="G49" s="9">
        <f t="shared" si="34"/>
        <v>7.7663117283950612E-4</v>
      </c>
      <c r="H49" s="9">
        <f t="shared" si="35"/>
        <v>8.0092592592592585E-4</v>
      </c>
      <c r="I49" s="9">
        <f t="shared" si="36"/>
        <v>8.3508728262312486E-4</v>
      </c>
      <c r="J49" s="9">
        <f t="shared" si="37"/>
        <v>8.4416431830381094E-4</v>
      </c>
      <c r="K49" s="9">
        <f t="shared" si="38"/>
        <v>8.825354236812569E-4</v>
      </c>
      <c r="L49" s="9">
        <f t="shared" si="39"/>
        <v>9.2456092004703113E-4</v>
      </c>
      <c r="M49" s="11">
        <f>Table25711131525233335373941454951535912141618202224262830[[#This Row],[Thresh]]</f>
        <v>8.825354236812569E-4</v>
      </c>
      <c r="N49" s="9">
        <f>Table25711131525233335373941454951535912141618202224262830[[#This Row],[T (400)]]*2</f>
        <v>1.7650708473625138E-3</v>
      </c>
      <c r="O49" s="24">
        <f>Table25711131525233335373941454951535912141618202224262830[[#This Row],[R]]</f>
        <v>7.233796296296297E-4</v>
      </c>
      <c r="P49" s="9">
        <f>Table25711131525233335373941454951535912141618202224262830[[#This Row],[200 R]]/2</f>
        <v>3.6168981481481485E-4</v>
      </c>
      <c r="Q49" s="24"/>
      <c r="R49" s="9"/>
      <c r="S49" s="24"/>
      <c r="T49" s="24"/>
      <c r="U49" s="24"/>
      <c r="V49" s="23" t="s">
        <v>30</v>
      </c>
      <c r="W49" s="104"/>
    </row>
    <row r="50" spans="1:23" ht="17.149999999999999" customHeight="1" x14ac:dyDescent="0.35">
      <c r="A50" s="8" t="s">
        <v>74</v>
      </c>
      <c r="B50" s="9">
        <v>1.0243055555555556E-2</v>
      </c>
      <c r="C50" s="9">
        <v>2.9513888888888888E-3</v>
      </c>
      <c r="D50" s="9">
        <f t="shared" si="32"/>
        <v>5.9594097222222218E-3</v>
      </c>
      <c r="E50" s="10">
        <v>0.58179999999999998</v>
      </c>
      <c r="F50" s="9">
        <f t="shared" si="33"/>
        <v>7.378472222222222E-4</v>
      </c>
      <c r="G50" s="9">
        <f t="shared" si="34"/>
        <v>7.9458796296296287E-4</v>
      </c>
      <c r="H50" s="9">
        <f t="shared" si="35"/>
        <v>8.1944444444444447E-4</v>
      </c>
      <c r="I50" s="9">
        <f t="shared" si="36"/>
        <v>8.5439565909996003E-4</v>
      </c>
      <c r="J50" s="9">
        <f t="shared" si="37"/>
        <v>8.636825684380031E-4</v>
      </c>
      <c r="K50" s="9">
        <f t="shared" si="38"/>
        <v>9.0294086700336686E-4</v>
      </c>
      <c r="L50" s="9">
        <f t="shared" si="39"/>
        <v>9.4593805114638445E-4</v>
      </c>
      <c r="M50" s="11">
        <f>Table25711131525233335373941454951535912141618202224262830[[#This Row],[Thresh]]</f>
        <v>9.0294086700336686E-4</v>
      </c>
      <c r="N50" s="9">
        <f>Table25711131525233335373941454951535912141618202224262830[[#This Row],[T (400)]]*2</f>
        <v>1.8058817340067337E-3</v>
      </c>
      <c r="O50" s="24">
        <f>Table25711131525233335373941454951535912141618202224262830[[#This Row],[R]]</f>
        <v>7.378472222222222E-4</v>
      </c>
      <c r="P50" s="9">
        <f>Table25711131525233335373941454951535912141618202224262830[[#This Row],[200 R]]/2</f>
        <v>3.689236111111111E-4</v>
      </c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76</v>
      </c>
      <c r="B51" s="9">
        <v>1.0011574074074074E-2</v>
      </c>
      <c r="C51" s="9">
        <v>2.9513888888888888E-3</v>
      </c>
      <c r="D51" s="9">
        <f t="shared" si="32"/>
        <v>5.8247337962962957E-3</v>
      </c>
      <c r="E51" s="10">
        <v>0.58179999999999998</v>
      </c>
      <c r="F51" s="9">
        <f t="shared" si="33"/>
        <v>7.378472222222222E-4</v>
      </c>
      <c r="G51" s="9">
        <f t="shared" si="34"/>
        <v>7.7663117283950612E-4</v>
      </c>
      <c r="H51" s="9">
        <f t="shared" si="35"/>
        <v>8.0092592592592585E-4</v>
      </c>
      <c r="I51" s="9">
        <f t="shared" si="36"/>
        <v>8.3508728262312486E-4</v>
      </c>
      <c r="J51" s="9">
        <f t="shared" si="37"/>
        <v>8.4416431830381094E-4</v>
      </c>
      <c r="K51" s="9">
        <f t="shared" si="38"/>
        <v>8.825354236812569E-4</v>
      </c>
      <c r="L51" s="9">
        <f t="shared" si="39"/>
        <v>9.2456092004703113E-4</v>
      </c>
      <c r="M51" s="11">
        <f>Table25711131525233335373941454951535912141618202224262830[[#This Row],[Thresh]]</f>
        <v>8.825354236812569E-4</v>
      </c>
      <c r="N51" s="9">
        <f>Table25711131525233335373941454951535912141618202224262830[[#This Row],[T (400)]]*2</f>
        <v>1.7650708473625138E-3</v>
      </c>
      <c r="O51" s="24">
        <f>Table25711131525233335373941454951535912141618202224262830[[#This Row],[R]]</f>
        <v>7.378472222222222E-4</v>
      </c>
      <c r="P51" s="9">
        <f>Table25711131525233335373941454951535912141618202224262830[[#This Row],[200 R]]/2</f>
        <v>3.689236111111111E-4</v>
      </c>
      <c r="Q51" s="24"/>
      <c r="R51" s="9"/>
      <c r="S51" s="24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75</v>
      </c>
      <c r="B52" s="9">
        <v>1.087962962962963E-2</v>
      </c>
      <c r="C52" s="9">
        <v>2.9513888888888888E-3</v>
      </c>
      <c r="D52" s="9">
        <f t="shared" si="32"/>
        <v>6.3297685185185184E-3</v>
      </c>
      <c r="E52" s="10">
        <v>0.58179999999999998</v>
      </c>
      <c r="F52" s="9">
        <f t="shared" si="33"/>
        <v>7.378472222222222E-4</v>
      </c>
      <c r="G52" s="9">
        <f t="shared" si="34"/>
        <v>8.4396913580246917E-4</v>
      </c>
      <c r="H52" s="9">
        <f t="shared" si="35"/>
        <v>8.7037037037037042E-4</v>
      </c>
      <c r="I52" s="9">
        <f t="shared" si="36"/>
        <v>9.0749369441125711E-4</v>
      </c>
      <c r="J52" s="9">
        <f t="shared" si="37"/>
        <v>9.173577563070317E-4</v>
      </c>
      <c r="K52" s="9">
        <f t="shared" si="38"/>
        <v>9.5905583613916951E-4</v>
      </c>
      <c r="L52" s="9">
        <f t="shared" si="39"/>
        <v>1.0047251616696062E-3</v>
      </c>
      <c r="M52" s="11">
        <f>Table25711131525233335373941454951535912141618202224262830[[#This Row],[Thresh]]</f>
        <v>9.5905583613916951E-4</v>
      </c>
      <c r="N52" s="9">
        <f>Table25711131525233335373941454951535912141618202224262830[[#This Row],[T (400)]]*2</f>
        <v>1.918111672278339E-3</v>
      </c>
      <c r="O52" s="24">
        <f>Table25711131525233335373941454951535912141618202224262830[[#This Row],[R]]</f>
        <v>7.378472222222222E-4</v>
      </c>
      <c r="P52" s="9">
        <f>Table25711131525233335373941454951535912141618202224262830[[#This Row],[200 R]]/2</f>
        <v>3.689236111111111E-4</v>
      </c>
      <c r="Q52" s="24"/>
      <c r="R52" s="9"/>
      <c r="S52" s="12"/>
      <c r="T52" s="25"/>
      <c r="U52" s="9"/>
      <c r="V52" s="23" t="s">
        <v>30</v>
      </c>
      <c r="W52" s="104" t="s">
        <v>216</v>
      </c>
    </row>
    <row r="53" spans="1:23" ht="17.149999999999999" customHeight="1" x14ac:dyDescent="0.35">
      <c r="A53" s="8" t="s">
        <v>81</v>
      </c>
      <c r="B53" s="9">
        <v>1.0763888888888891E-2</v>
      </c>
      <c r="C53" s="9">
        <v>3.0092592592592593E-3</v>
      </c>
      <c r="D53" s="9">
        <f t="shared" si="32"/>
        <v>6.2624305555555567E-3</v>
      </c>
      <c r="E53" s="10">
        <v>0.58179999999999998</v>
      </c>
      <c r="F53" s="9">
        <f t="shared" si="33"/>
        <v>7.5231481481481482E-4</v>
      </c>
      <c r="G53" s="9">
        <f t="shared" si="34"/>
        <v>8.3499074074074085E-4</v>
      </c>
      <c r="H53" s="9">
        <f t="shared" si="35"/>
        <v>8.6111111111111121E-4</v>
      </c>
      <c r="I53" s="9">
        <f t="shared" si="36"/>
        <v>8.9783950617283953E-4</v>
      </c>
      <c r="J53" s="9">
        <f t="shared" si="37"/>
        <v>9.0759863123993567E-4</v>
      </c>
      <c r="K53" s="9">
        <f t="shared" si="38"/>
        <v>9.4885311447811464E-4</v>
      </c>
      <c r="L53" s="9">
        <f t="shared" si="39"/>
        <v>9.9403659611992969E-4</v>
      </c>
      <c r="M53" s="11">
        <f>Table25711131525233335373941454951535912141618202224262830[[#This Row],[Thresh]]</f>
        <v>9.4885311447811464E-4</v>
      </c>
      <c r="N53" s="9">
        <f>Table25711131525233335373941454951535912141618202224262830[[#This Row],[T (400)]]*2</f>
        <v>1.8977062289562293E-3</v>
      </c>
      <c r="O53" s="24">
        <f>Table25711131525233335373941454951535912141618202224262830[[#This Row],[R]]</f>
        <v>7.5231481481481482E-4</v>
      </c>
      <c r="P53" s="9">
        <f>Table25711131525233335373941454951535912141618202224262830[[#This Row],[200 R]]/2</f>
        <v>3.7615740740740741E-4</v>
      </c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86</v>
      </c>
      <c r="B54" s="9">
        <v>1.087962962962963E-2</v>
      </c>
      <c r="C54" s="9">
        <v>3.1249999999999997E-3</v>
      </c>
      <c r="D54" s="9">
        <f t="shared" si="32"/>
        <v>6.3297685185185184E-3</v>
      </c>
      <c r="E54" s="10">
        <v>0.58179999999999998</v>
      </c>
      <c r="F54" s="9">
        <f t="shared" si="33"/>
        <v>7.8124999999999993E-4</v>
      </c>
      <c r="G54" s="9">
        <f t="shared" si="34"/>
        <v>8.4396913580246917E-4</v>
      </c>
      <c r="H54" s="9">
        <f t="shared" si="35"/>
        <v>8.7037037037037042E-4</v>
      </c>
      <c r="I54" s="9">
        <f t="shared" si="36"/>
        <v>9.0749369441125711E-4</v>
      </c>
      <c r="J54" s="9">
        <f t="shared" si="37"/>
        <v>9.173577563070317E-4</v>
      </c>
      <c r="K54" s="9">
        <f t="shared" si="38"/>
        <v>9.5905583613916951E-4</v>
      </c>
      <c r="L54" s="9">
        <f t="shared" si="39"/>
        <v>1.0047251616696062E-3</v>
      </c>
      <c r="M54" s="11">
        <f>Table25711131525233335373941454951535912141618202224262830[[#This Row],[Thresh]]</f>
        <v>9.5905583613916951E-4</v>
      </c>
      <c r="N54" s="9">
        <f>Table25711131525233335373941454951535912141618202224262830[[#This Row],[T (400)]]*2</f>
        <v>1.918111672278339E-3</v>
      </c>
      <c r="O54" s="24">
        <f>Table25711131525233335373941454951535912141618202224262830[[#This Row],[R]]</f>
        <v>7.8124999999999993E-4</v>
      </c>
      <c r="P54" s="9">
        <f>Table25711131525233335373941454951535912141618202224262830[[#This Row],[200 R]]/2</f>
        <v>3.9062499999999997E-4</v>
      </c>
      <c r="Q54" s="24"/>
      <c r="R54" s="9"/>
      <c r="S54" s="24"/>
      <c r="T54" s="24"/>
      <c r="U54" s="24"/>
      <c r="V54" s="23" t="s">
        <v>30</v>
      </c>
      <c r="W54" s="104"/>
    </row>
    <row r="55" spans="1:23" ht="17.149999999999999" customHeight="1" x14ac:dyDescent="0.35">
      <c r="A55" s="8" t="s">
        <v>78</v>
      </c>
      <c r="B55" s="9">
        <v>1.0243055555555556E-2</v>
      </c>
      <c r="C55" s="9">
        <v>2.9745370370370373E-3</v>
      </c>
      <c r="D55" s="9">
        <f t="shared" si="32"/>
        <v>5.9594097222222218E-3</v>
      </c>
      <c r="E55" s="10">
        <v>0.58179999999999998</v>
      </c>
      <c r="F55" s="9">
        <f t="shared" si="33"/>
        <v>7.4363425925925931E-4</v>
      </c>
      <c r="G55" s="9">
        <f t="shared" si="34"/>
        <v>7.9458796296296287E-4</v>
      </c>
      <c r="H55" s="9">
        <f t="shared" si="35"/>
        <v>8.1944444444444447E-4</v>
      </c>
      <c r="I55" s="9">
        <f t="shared" si="36"/>
        <v>8.5439565909996003E-4</v>
      </c>
      <c r="J55" s="9">
        <f t="shared" si="37"/>
        <v>8.636825684380031E-4</v>
      </c>
      <c r="K55" s="9">
        <f t="shared" si="38"/>
        <v>9.0294086700336686E-4</v>
      </c>
      <c r="L55" s="9">
        <f t="shared" si="39"/>
        <v>9.4593805114638445E-4</v>
      </c>
      <c r="M55" s="11">
        <f>Table25711131525233335373941454951535912141618202224262830[[#This Row],[Thresh]]</f>
        <v>9.0294086700336686E-4</v>
      </c>
      <c r="N55" s="9">
        <f>Table25711131525233335373941454951535912141618202224262830[[#This Row],[T (400)]]*2</f>
        <v>1.8058817340067337E-3</v>
      </c>
      <c r="O55" s="24">
        <f>Table25711131525233335373941454951535912141618202224262830[[#This Row],[R]]</f>
        <v>7.4363425925925931E-4</v>
      </c>
      <c r="P55" s="9">
        <f>Table25711131525233335373941454951535912141618202224262830[[#This Row],[200 R]]/2</f>
        <v>3.7181712962962966E-4</v>
      </c>
      <c r="Q55" s="24"/>
      <c r="R55" s="9"/>
      <c r="S55" s="24"/>
      <c r="T55" s="24"/>
      <c r="U55" s="24"/>
      <c r="V55" s="23" t="s">
        <v>30</v>
      </c>
      <c r="W55" s="104"/>
    </row>
    <row r="56" spans="1:23" ht="17.149999999999999" customHeight="1" x14ac:dyDescent="0.35">
      <c r="A56" s="8" t="s">
        <v>83</v>
      </c>
      <c r="B56" s="9">
        <v>1.0995370370370371E-2</v>
      </c>
      <c r="C56" s="9">
        <v>3.0092592592592588E-3</v>
      </c>
      <c r="D56" s="9">
        <f t="shared" si="32"/>
        <v>6.397106481481481E-3</v>
      </c>
      <c r="E56" s="10">
        <v>0.58179999999999998</v>
      </c>
      <c r="F56" s="9">
        <f t="shared" si="33"/>
        <v>7.5231481481481471E-4</v>
      </c>
      <c r="G56" s="9">
        <f t="shared" si="34"/>
        <v>8.5294753086419749E-4</v>
      </c>
      <c r="H56" s="9">
        <f t="shared" si="35"/>
        <v>8.7962962962962962E-4</v>
      </c>
      <c r="I56" s="9">
        <f t="shared" si="36"/>
        <v>9.171478826496747E-4</v>
      </c>
      <c r="J56" s="9">
        <f t="shared" si="37"/>
        <v>9.2711688137412762E-4</v>
      </c>
      <c r="K56" s="9">
        <f t="shared" si="38"/>
        <v>9.6925855780022438E-4</v>
      </c>
      <c r="L56" s="9">
        <f t="shared" si="39"/>
        <v>1.0154137272192828E-3</v>
      </c>
      <c r="M56" s="11">
        <f>Table25711131525233335373941454951535912141618202224262830[[#This Row],[Thresh]]</f>
        <v>9.6925855780022438E-4</v>
      </c>
      <c r="N56" s="9">
        <f>Table25711131525233335373941454951535912141618202224262830[[#This Row],[T (400)]]*2</f>
        <v>1.9385171156004488E-3</v>
      </c>
      <c r="O56" s="24">
        <f>Table25711131525233335373941454951535912141618202224262830[[#This Row],[R]]</f>
        <v>7.5231481481481471E-4</v>
      </c>
      <c r="P56" s="9">
        <f>Table25711131525233335373941454951535912141618202224262830[[#This Row],[200 R]]/2</f>
        <v>3.7615740740740735E-4</v>
      </c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92</v>
      </c>
      <c r="B57" s="9">
        <v>1.1458333333333334E-2</v>
      </c>
      <c r="C57" s="9">
        <v>3.2407407407407406E-3</v>
      </c>
      <c r="D57" s="9">
        <f t="shared" si="32"/>
        <v>6.6664583333333333E-3</v>
      </c>
      <c r="E57" s="10">
        <v>0.58179999999999998</v>
      </c>
      <c r="F57" s="9">
        <f t="shared" si="33"/>
        <v>8.1018518518518516E-4</v>
      </c>
      <c r="G57" s="9">
        <f t="shared" si="34"/>
        <v>8.888611111111111E-4</v>
      </c>
      <c r="H57" s="9">
        <f t="shared" si="35"/>
        <v>9.1666666666666676E-4</v>
      </c>
      <c r="I57" s="9">
        <f t="shared" si="36"/>
        <v>9.5576463560334524E-4</v>
      </c>
      <c r="J57" s="9">
        <f t="shared" si="37"/>
        <v>9.6615338164251206E-4</v>
      </c>
      <c r="K57" s="9">
        <f t="shared" si="38"/>
        <v>1.0100694444444445E-3</v>
      </c>
      <c r="L57" s="9">
        <f t="shared" si="39"/>
        <v>1.0581679894179894E-3</v>
      </c>
      <c r="M57" s="11">
        <f>Table25711131525233335373941454951535912141618202224262830[[#This Row],[Thresh]]</f>
        <v>1.0100694444444445E-3</v>
      </c>
      <c r="N57" s="9">
        <f>Table25711131525233335373941454951535912141618202224262830[[#This Row],[T (400)]]*2</f>
        <v>2.020138888888889E-3</v>
      </c>
      <c r="O57" s="24">
        <f>Table25711131525233335373941454951535912141618202224262830[[#This Row],[R]]</f>
        <v>8.1018518518518516E-4</v>
      </c>
      <c r="P57" s="9">
        <f>Table25711131525233335373941454951535912141618202224262830[[#This Row],[200 R]]/2</f>
        <v>4.0509259259259258E-4</v>
      </c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91</v>
      </c>
      <c r="B58" s="9">
        <v>1.1458333333333334E-2</v>
      </c>
      <c r="C58" s="9">
        <v>3.2407407407407406E-3</v>
      </c>
      <c r="D58" s="9">
        <f t="shared" si="32"/>
        <v>6.6664583333333333E-3</v>
      </c>
      <c r="E58" s="10">
        <v>0.58179999999999998</v>
      </c>
      <c r="F58" s="9">
        <f t="shared" si="33"/>
        <v>8.1018518518518516E-4</v>
      </c>
      <c r="G58" s="9">
        <f t="shared" si="34"/>
        <v>8.888611111111111E-4</v>
      </c>
      <c r="H58" s="9">
        <f t="shared" si="35"/>
        <v>9.1666666666666676E-4</v>
      </c>
      <c r="I58" s="9">
        <f t="shared" si="36"/>
        <v>9.5576463560334524E-4</v>
      </c>
      <c r="J58" s="9">
        <f t="shared" si="37"/>
        <v>9.6615338164251206E-4</v>
      </c>
      <c r="K58" s="9">
        <f t="shared" si="38"/>
        <v>1.0100694444444445E-3</v>
      </c>
      <c r="L58" s="9">
        <f t="shared" si="39"/>
        <v>1.0581679894179894E-3</v>
      </c>
      <c r="M58" s="11">
        <f>Table25711131525233335373941454951535912141618202224262830[[#This Row],[Thresh]]</f>
        <v>1.0100694444444445E-3</v>
      </c>
      <c r="N58" s="9">
        <f>Table25711131525233335373941454951535912141618202224262830[[#This Row],[T (400)]]*2</f>
        <v>2.020138888888889E-3</v>
      </c>
      <c r="O58" s="24">
        <f>Table25711131525233335373941454951535912141618202224262830[[#This Row],[R]]</f>
        <v>8.1018518518518516E-4</v>
      </c>
      <c r="P58" s="9">
        <f>Table25711131525233335373941454951535912141618202224262830[[#This Row],[200 R]]/2</f>
        <v>4.0509259259259258E-4</v>
      </c>
      <c r="Q58" s="24"/>
      <c r="R58" s="9"/>
      <c r="S58" s="12"/>
      <c r="V58" s="23" t="s">
        <v>30</v>
      </c>
      <c r="W58" s="104"/>
    </row>
    <row r="59" spans="1:23" ht="17.149999999999999" customHeight="1" x14ac:dyDescent="0.35">
      <c r="A59" s="8" t="s">
        <v>93</v>
      </c>
      <c r="B59" s="9">
        <v>1.1921296296296298E-2</v>
      </c>
      <c r="C59" s="9">
        <v>3.414351851851852E-3</v>
      </c>
      <c r="D59" s="9">
        <f t="shared" si="32"/>
        <v>6.9358101851851863E-3</v>
      </c>
      <c r="E59" s="10">
        <v>0.58179999999999998</v>
      </c>
      <c r="F59" s="9">
        <f t="shared" si="33"/>
        <v>8.53587962962963E-4</v>
      </c>
      <c r="G59" s="9">
        <f t="shared" si="34"/>
        <v>9.2477469135802482E-4</v>
      </c>
      <c r="H59" s="9">
        <f t="shared" si="35"/>
        <v>9.5370370370370379E-4</v>
      </c>
      <c r="I59" s="9">
        <f t="shared" si="36"/>
        <v>9.943813885570159E-4</v>
      </c>
      <c r="J59" s="9">
        <f t="shared" si="37"/>
        <v>1.0051898819108964E-3</v>
      </c>
      <c r="K59" s="9">
        <f t="shared" si="38"/>
        <v>1.0508803310886646E-3</v>
      </c>
      <c r="L59" s="9">
        <f t="shared" si="39"/>
        <v>1.1009222516166963E-3</v>
      </c>
      <c r="M59" s="11">
        <f>Table25711131525233335373941454951535912141618202224262830[[#This Row],[Thresh]]</f>
        <v>1.0508803310886646E-3</v>
      </c>
      <c r="N59" s="9">
        <f>Table25711131525233335373941454951535912141618202224262830[[#This Row],[T (400)]]*2</f>
        <v>2.1017606621773293E-3</v>
      </c>
      <c r="O59" s="24">
        <f>Table25711131525233335373941454951535912141618202224262830[[#This Row],[R]]</f>
        <v>8.53587962962963E-4</v>
      </c>
      <c r="P59" s="9">
        <f>Table25711131525233335373941454951535912141618202224262830[[#This Row],[200 R]]/2</f>
        <v>4.267939814814815E-4</v>
      </c>
      <c r="Q59" s="24"/>
      <c r="R59" s="9"/>
      <c r="S59" s="12"/>
      <c r="T59" s="25"/>
      <c r="V59" s="23" t="s">
        <v>30</v>
      </c>
      <c r="W59" s="104"/>
    </row>
    <row r="60" spans="1:23" ht="17.149999999999999" customHeight="1" x14ac:dyDescent="0.35">
      <c r="A60" s="8" t="s">
        <v>113</v>
      </c>
      <c r="B60" s="9">
        <v>1.1805555555555555E-2</v>
      </c>
      <c r="C60" s="9">
        <v>3.414351851851852E-3</v>
      </c>
      <c r="D60" s="9">
        <f t="shared" si="32"/>
        <v>6.868472222222222E-3</v>
      </c>
      <c r="E60" s="10">
        <v>0.58179999999999998</v>
      </c>
      <c r="F60" s="9">
        <f t="shared" si="33"/>
        <v>8.53587962962963E-4</v>
      </c>
      <c r="G60" s="9">
        <f t="shared" si="34"/>
        <v>9.1579629629629628E-4</v>
      </c>
      <c r="H60" s="9">
        <f t="shared" si="35"/>
        <v>9.4444444444444437E-4</v>
      </c>
      <c r="I60" s="9">
        <f t="shared" si="36"/>
        <v>9.8472720031859799E-4</v>
      </c>
      <c r="J60" s="9">
        <f t="shared" si="37"/>
        <v>9.9543075684380036E-4</v>
      </c>
      <c r="K60" s="9">
        <f t="shared" si="38"/>
        <v>1.0406776094276093E-3</v>
      </c>
      <c r="L60" s="9">
        <f t="shared" si="39"/>
        <v>1.0902336860670195E-3</v>
      </c>
      <c r="M60" s="11">
        <f>Table25711131525233335373941454951535912141618202224262830[[#This Row],[Thresh]]</f>
        <v>1.0406776094276093E-3</v>
      </c>
      <c r="N60" s="9">
        <f>Table25711131525233335373941454951535912141618202224262830[[#This Row],[T (400)]]*2</f>
        <v>2.0813552188552187E-3</v>
      </c>
      <c r="O60" s="24">
        <f>Table25711131525233335373941454951535912141618202224262830[[#This Row],[R]]</f>
        <v>8.53587962962963E-4</v>
      </c>
      <c r="P60" s="9">
        <f>Table25711131525233335373941454951535912141618202224262830[[#This Row],[200 R]]/2</f>
        <v>4.267939814814815E-4</v>
      </c>
      <c r="Q60" s="24"/>
      <c r="R60" s="9"/>
      <c r="S60" s="12"/>
      <c r="T60" s="25"/>
      <c r="V60" s="23" t="s">
        <v>30</v>
      </c>
      <c r="W60" s="104"/>
    </row>
    <row r="61" spans="1:23" ht="17.149999999999999" customHeight="1" x14ac:dyDescent="0.35">
      <c r="A61" s="8" t="s">
        <v>94</v>
      </c>
      <c r="B61" s="9">
        <v>1.1689814814814814E-2</v>
      </c>
      <c r="C61" s="9">
        <v>3.414351851851852E-3</v>
      </c>
      <c r="D61" s="9">
        <f t="shared" si="32"/>
        <v>6.8011342592592585E-3</v>
      </c>
      <c r="E61" s="10">
        <v>0.58179999999999998</v>
      </c>
      <c r="F61" s="9">
        <f t="shared" si="33"/>
        <v>8.53587962962963E-4</v>
      </c>
      <c r="G61" s="9">
        <f t="shared" si="34"/>
        <v>9.0681790123456785E-4</v>
      </c>
      <c r="H61" s="9">
        <f t="shared" si="35"/>
        <v>9.3518518518518516E-4</v>
      </c>
      <c r="I61" s="9">
        <f t="shared" si="36"/>
        <v>9.7507301208018041E-4</v>
      </c>
      <c r="J61" s="9">
        <f t="shared" si="37"/>
        <v>9.8567163177670412E-4</v>
      </c>
      <c r="K61" s="9">
        <f t="shared" si="38"/>
        <v>1.0304748877665545E-3</v>
      </c>
      <c r="L61" s="9">
        <f t="shared" si="39"/>
        <v>1.0795451205173427E-3</v>
      </c>
      <c r="M61" s="11">
        <f>Table25711131525233335373941454951535912141618202224262830[[#This Row],[Thresh]]</f>
        <v>1.0304748877665545E-3</v>
      </c>
      <c r="N61" s="9">
        <f>Table25711131525233335373941454951535912141618202224262830[[#This Row],[T (400)]]*2</f>
        <v>2.0609497755331089E-3</v>
      </c>
      <c r="O61" s="24">
        <f>Table25711131525233335373941454951535912141618202224262830[[#This Row],[R]]</f>
        <v>8.53587962962963E-4</v>
      </c>
      <c r="P61" s="9">
        <f>Table25711131525233335373941454951535912141618202224262830[[#This Row],[200 R]]/2</f>
        <v>4.267939814814815E-4</v>
      </c>
      <c r="Q61" s="24"/>
      <c r="R61" s="9"/>
      <c r="S61" s="12"/>
      <c r="V61" s="23" t="s">
        <v>30</v>
      </c>
      <c r="W61" s="104" t="s">
        <v>217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3"/>
        <v>0</v>
      </c>
      <c r="G62" s="9">
        <f t="shared" si="34"/>
        <v>0</v>
      </c>
      <c r="H62" s="9">
        <f t="shared" si="35"/>
        <v>0</v>
      </c>
      <c r="I62" s="9">
        <f t="shared" si="36"/>
        <v>0</v>
      </c>
      <c r="J62" s="9">
        <f t="shared" si="37"/>
        <v>0</v>
      </c>
      <c r="K62" s="9">
        <f t="shared" si="38"/>
        <v>0</v>
      </c>
      <c r="L62" s="9">
        <f t="shared" si="39"/>
        <v>0</v>
      </c>
      <c r="M62" s="11"/>
      <c r="P62" s="25"/>
      <c r="Q62" s="25"/>
      <c r="R62" s="25"/>
      <c r="S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33"/>
        <v>0</v>
      </c>
      <c r="G63" s="9">
        <f t="shared" si="34"/>
        <v>0</v>
      </c>
      <c r="H63" s="9">
        <f t="shared" si="35"/>
        <v>0</v>
      </c>
      <c r="I63" s="9">
        <f t="shared" si="36"/>
        <v>0</v>
      </c>
      <c r="J63" s="9">
        <f t="shared" si="37"/>
        <v>0</v>
      </c>
      <c r="K63" s="9">
        <f t="shared" si="38"/>
        <v>0</v>
      </c>
      <c r="L63" s="9">
        <f t="shared" si="39"/>
        <v>0</v>
      </c>
      <c r="M63" s="11"/>
      <c r="P63" s="25"/>
      <c r="Q63" s="25"/>
      <c r="R63" s="25"/>
      <c r="S63" s="25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9"/>
    </row>
    <row r="67" spans="1:23" ht="17.149999999999999" customHeight="1" x14ac:dyDescent="0.35">
      <c r="A67" s="14" t="s">
        <v>208</v>
      </c>
      <c r="B67" s="15"/>
      <c r="C67" s="15"/>
      <c r="D67" s="15"/>
      <c r="E67" s="16"/>
      <c r="F67" s="15">
        <f t="shared" ref="F67:F92" si="40">C67/4</f>
        <v>0</v>
      </c>
      <c r="G67" s="15">
        <f t="shared" ref="G67:G92" si="41">D67/7.5</f>
        <v>0</v>
      </c>
      <c r="H67" s="15">
        <f t="shared" ref="H67:H92" si="42">B67/12.5</f>
        <v>0</v>
      </c>
      <c r="I67" s="15">
        <f t="shared" ref="I67:I92" si="43">G67/0.93</f>
        <v>0</v>
      </c>
      <c r="J67" s="15">
        <f t="shared" ref="J67:J92" si="44">G67/0.92</f>
        <v>0</v>
      </c>
      <c r="K67" s="15">
        <f t="shared" ref="K67:K92" si="45">G67/0.88</f>
        <v>0</v>
      </c>
      <c r="L67" s="15">
        <f t="shared" ref="L67:L92" si="46">G67/0.84</f>
        <v>0</v>
      </c>
      <c r="M67" s="30" t="s">
        <v>12</v>
      </c>
      <c r="N67" s="15" t="s">
        <v>13</v>
      </c>
      <c r="O67" s="15" t="s">
        <v>142</v>
      </c>
      <c r="P67" s="15" t="s">
        <v>151</v>
      </c>
      <c r="Q67" s="15" t="s">
        <v>136</v>
      </c>
      <c r="R67" s="15" t="s">
        <v>144</v>
      </c>
      <c r="S67" s="15" t="s">
        <v>143</v>
      </c>
      <c r="T67" s="15" t="s">
        <v>133</v>
      </c>
      <c r="U67" s="15"/>
      <c r="V67" s="17"/>
      <c r="W67" s="104" t="s">
        <v>216</v>
      </c>
    </row>
    <row r="68" spans="1:23" ht="17.149999999999999" customHeight="1" x14ac:dyDescent="0.35">
      <c r="A68" s="8" t="s">
        <v>82</v>
      </c>
      <c r="B68" s="9">
        <v>1.0416666666666666E-2</v>
      </c>
      <c r="C68" s="9">
        <v>3.0092592592592588E-3</v>
      </c>
      <c r="D68" s="9">
        <f t="shared" ref="D68:D82" si="47">B68*E68</f>
        <v>6.0604166666666662E-3</v>
      </c>
      <c r="E68" s="10">
        <v>0.58179999999999998</v>
      </c>
      <c r="F68" s="9">
        <f t="shared" si="40"/>
        <v>7.5231481481481471E-4</v>
      </c>
      <c r="G68" s="9">
        <f t="shared" si="41"/>
        <v>8.0805555555555546E-4</v>
      </c>
      <c r="H68" s="9">
        <f t="shared" si="42"/>
        <v>8.3333333333333328E-4</v>
      </c>
      <c r="I68" s="9">
        <f t="shared" si="43"/>
        <v>8.6887694145758646E-4</v>
      </c>
      <c r="J68" s="9">
        <f t="shared" si="44"/>
        <v>8.7832125603864715E-4</v>
      </c>
      <c r="K68" s="9">
        <f t="shared" si="45"/>
        <v>9.1824494949494938E-4</v>
      </c>
      <c r="L68" s="9">
        <f t="shared" si="46"/>
        <v>9.6197089947089938E-4</v>
      </c>
      <c r="M68" s="11">
        <f>Table25711131525233335373941454951535912141618202224262830[[#This Row],[Thresh]]</f>
        <v>9.1824494949494938E-4</v>
      </c>
      <c r="N68" s="9">
        <f>Table25711131525233335373941454951535912141618202224262830[[#This Row],[T (400)]]*2</f>
        <v>1.8364898989898988E-3</v>
      </c>
      <c r="O68" s="24">
        <f>Table25711131525233335373941454951535912141618202224262830[[#This Row],[I]]</f>
        <v>8.3333333333333328E-4</v>
      </c>
      <c r="P68" s="9">
        <f>Table25711131525233335373941454951535912141618202224262830[[#This Row],[200 R]]*2</f>
        <v>1.6666666666666666E-3</v>
      </c>
      <c r="Q68" s="24">
        <f>Table25711131525233335373941454951535912141618202224262830[[#This Row],[CV]]</f>
        <v>8.7832125603864715E-4</v>
      </c>
      <c r="R68" s="9">
        <f>Table25711131525233335373941454951535912141618202224262830[[#This Row],[300 VO2]]*2</f>
        <v>1.7566425120772943E-3</v>
      </c>
      <c r="S68" s="9">
        <f>Table25711131525233335373941454951535912141618202224262830[[#This Row],[200 R]]*1.5</f>
        <v>1.2499999999999998E-3</v>
      </c>
      <c r="T68" s="24">
        <f>Table25711131525233335373941454951535912141618202224262830[[#This Row],[R]]/2</f>
        <v>3.7615740740740735E-4</v>
      </c>
      <c r="U68" s="24"/>
      <c r="V68" s="23" t="s">
        <v>34</v>
      </c>
      <c r="W68" s="104"/>
    </row>
    <row r="69" spans="1:23" ht="17.149999999999999" customHeight="1" x14ac:dyDescent="0.35">
      <c r="A69" s="8" t="s">
        <v>77</v>
      </c>
      <c r="B69" s="9">
        <v>1.0416666666666666E-2</v>
      </c>
      <c r="C69" s="9">
        <v>2.9745370370370373E-3</v>
      </c>
      <c r="D69" s="9">
        <f t="shared" si="47"/>
        <v>6.0604166666666662E-3</v>
      </c>
      <c r="E69" s="10">
        <v>0.58179999999999998</v>
      </c>
      <c r="F69" s="9">
        <f t="shared" si="40"/>
        <v>7.4363425925925931E-4</v>
      </c>
      <c r="G69" s="9">
        <f t="shared" si="41"/>
        <v>8.0805555555555546E-4</v>
      </c>
      <c r="H69" s="9">
        <f t="shared" si="42"/>
        <v>8.3333333333333328E-4</v>
      </c>
      <c r="I69" s="9">
        <f t="shared" si="43"/>
        <v>8.6887694145758646E-4</v>
      </c>
      <c r="J69" s="9">
        <f t="shared" si="44"/>
        <v>8.7832125603864715E-4</v>
      </c>
      <c r="K69" s="9">
        <f t="shared" si="45"/>
        <v>9.1824494949494938E-4</v>
      </c>
      <c r="L69" s="9">
        <f t="shared" si="46"/>
        <v>9.6197089947089938E-4</v>
      </c>
      <c r="M69" s="11">
        <f>Table25711131525233335373941454951535912141618202224262830[[#This Row],[Thresh]]</f>
        <v>9.1824494949494938E-4</v>
      </c>
      <c r="N69" s="9">
        <f>Table25711131525233335373941454951535912141618202224262830[[#This Row],[T (400)]]*2</f>
        <v>1.8364898989898988E-3</v>
      </c>
      <c r="O69" s="24">
        <f>Table25711131525233335373941454951535912141618202224262830[[#This Row],[I]]</f>
        <v>8.3333333333333328E-4</v>
      </c>
      <c r="P69" s="9">
        <f>Table25711131525233335373941454951535912141618202224262830[[#This Row],[200 R]]*2</f>
        <v>1.6666666666666666E-3</v>
      </c>
      <c r="Q69" s="24">
        <f>Table25711131525233335373941454951535912141618202224262830[[#This Row],[CV]]</f>
        <v>8.7832125603864715E-4</v>
      </c>
      <c r="R69" s="9">
        <f>Table25711131525233335373941454951535912141618202224262830[[#This Row],[300 VO2]]*2</f>
        <v>1.7566425120772943E-3</v>
      </c>
      <c r="S69" s="9">
        <f>Table25711131525233335373941454951535912141618202224262830[[#This Row],[200 R]]*1.5</f>
        <v>1.2499999999999998E-3</v>
      </c>
      <c r="T69" s="24">
        <f>Table25711131525233335373941454951535912141618202224262830[[#This Row],[R]]/2</f>
        <v>3.7181712962962966E-4</v>
      </c>
      <c r="U69" s="24"/>
      <c r="V69" s="23" t="s">
        <v>34</v>
      </c>
      <c r="W69" s="104"/>
    </row>
    <row r="70" spans="1:23" ht="17.149999999999999" customHeight="1" x14ac:dyDescent="0.35">
      <c r="A70" s="8" t="s">
        <v>102</v>
      </c>
      <c r="B70" s="9">
        <v>1.0474537037037037E-2</v>
      </c>
      <c r="C70" s="9">
        <v>3.0671296296296297E-3</v>
      </c>
      <c r="D70" s="9">
        <f t="shared" si="47"/>
        <v>6.094085648148148E-3</v>
      </c>
      <c r="E70" s="10">
        <v>0.58179999999999998</v>
      </c>
      <c r="F70" s="9">
        <f t="shared" si="40"/>
        <v>7.6678240740740743E-4</v>
      </c>
      <c r="G70" s="9">
        <f t="shared" si="41"/>
        <v>8.1254475308641973E-4</v>
      </c>
      <c r="H70" s="9">
        <f t="shared" si="42"/>
        <v>8.3796296296296299E-4</v>
      </c>
      <c r="I70" s="9">
        <f t="shared" si="43"/>
        <v>8.7370403557679541E-4</v>
      </c>
      <c r="J70" s="9">
        <f t="shared" si="44"/>
        <v>8.8320081857219527E-4</v>
      </c>
      <c r="K70" s="9">
        <f t="shared" si="45"/>
        <v>9.2334631032547692E-4</v>
      </c>
      <c r="L70" s="9">
        <f t="shared" si="46"/>
        <v>9.6731518224573777E-4</v>
      </c>
      <c r="M70" s="11">
        <f>Table25711131525233335373941454951535912141618202224262830[[#This Row],[Thresh]]</f>
        <v>9.2334631032547692E-4</v>
      </c>
      <c r="N70" s="9">
        <f>Table25711131525233335373941454951535912141618202224262830[[#This Row],[T (400)]]*2</f>
        <v>1.8466926206509538E-3</v>
      </c>
      <c r="O70" s="24">
        <f>Table25711131525233335373941454951535912141618202224262830[[#This Row],[I]]</f>
        <v>8.3796296296296299E-4</v>
      </c>
      <c r="P70" s="9">
        <f>Table25711131525233335373941454951535912141618202224262830[[#This Row],[200 R]]*2</f>
        <v>1.675925925925926E-3</v>
      </c>
      <c r="Q70" s="24">
        <f>Table25711131525233335373941454951535912141618202224262830[[#This Row],[CV]]</f>
        <v>8.8320081857219527E-4</v>
      </c>
      <c r="R70" s="9">
        <f>Table25711131525233335373941454951535912141618202224262830[[#This Row],[300 VO2]]*2</f>
        <v>1.7664016371443905E-3</v>
      </c>
      <c r="S70" s="9">
        <f>Table25711131525233335373941454951535912141618202224262830[[#This Row],[200 R]]*1.5</f>
        <v>1.2569444444444444E-3</v>
      </c>
      <c r="T70" s="24">
        <f>Table25711131525233335373941454951535912141618202224262830[[#This Row],[R]]/2</f>
        <v>3.8339120370370371E-4</v>
      </c>
      <c r="U70" s="26"/>
      <c r="V70" s="23" t="s">
        <v>34</v>
      </c>
      <c r="W70" s="104"/>
    </row>
    <row r="71" spans="1:23" ht="17.149999999999999" customHeight="1" x14ac:dyDescent="0.35">
      <c r="A71" s="8" t="s">
        <v>84</v>
      </c>
      <c r="B71" s="9">
        <v>1.064814814814815E-2</v>
      </c>
      <c r="C71" s="9">
        <v>3.0671296296296297E-3</v>
      </c>
      <c r="D71" s="9">
        <f t="shared" si="47"/>
        <v>6.1950925925925932E-3</v>
      </c>
      <c r="E71" s="10">
        <v>0.58179999999999998</v>
      </c>
      <c r="F71" s="9">
        <f t="shared" si="40"/>
        <v>7.6678240740740743E-4</v>
      </c>
      <c r="G71" s="9">
        <f t="shared" si="41"/>
        <v>8.2601234567901242E-4</v>
      </c>
      <c r="H71" s="9">
        <f t="shared" si="42"/>
        <v>8.5185185185185201E-4</v>
      </c>
      <c r="I71" s="9">
        <f t="shared" si="43"/>
        <v>8.8818531793442195E-4</v>
      </c>
      <c r="J71" s="9">
        <f t="shared" si="44"/>
        <v>8.9783950617283953E-4</v>
      </c>
      <c r="K71" s="9">
        <f t="shared" si="45"/>
        <v>9.3865039281705955E-4</v>
      </c>
      <c r="L71" s="9">
        <f t="shared" si="46"/>
        <v>9.8334803057025292E-4</v>
      </c>
      <c r="M71" s="11">
        <f>Table25711131525233335373941454951535912141618202224262830[[#This Row],[Thresh]]</f>
        <v>9.3865039281705955E-4</v>
      </c>
      <c r="N71" s="9">
        <f>Table25711131525233335373941454951535912141618202224262830[[#This Row],[T (400)]]*2</f>
        <v>1.8773007856341191E-3</v>
      </c>
      <c r="O71" s="24">
        <f>Table25711131525233335373941454951535912141618202224262830[[#This Row],[I]]</f>
        <v>8.5185185185185201E-4</v>
      </c>
      <c r="P71" s="9">
        <f>Table25711131525233335373941454951535912141618202224262830[[#This Row],[200 R]]*2</f>
        <v>1.703703703703704E-3</v>
      </c>
      <c r="Q71" s="24">
        <f>Table25711131525233335373941454951535912141618202224262830[[#This Row],[CV]]</f>
        <v>8.9783950617283953E-4</v>
      </c>
      <c r="R71" s="9">
        <f>Table25711131525233335373941454951535912141618202224262830[[#This Row],[300 VO2]]*2</f>
        <v>1.7956790123456791E-3</v>
      </c>
      <c r="S71" s="9">
        <f>Table25711131525233335373941454951535912141618202224262830[[#This Row],[200 R]]*1.5</f>
        <v>1.2777777777777781E-3</v>
      </c>
      <c r="T71" s="24">
        <f>Table25711131525233335373941454951535912141618202224262830[[#This Row],[R]]/2</f>
        <v>3.8339120370370371E-4</v>
      </c>
      <c r="V71" s="23" t="s">
        <v>34</v>
      </c>
      <c r="W71" s="104"/>
    </row>
    <row r="72" spans="1:23" ht="17.149999999999999" customHeight="1" x14ac:dyDescent="0.35">
      <c r="A72" s="8" t="s">
        <v>103</v>
      </c>
      <c r="B72" s="9">
        <v>1.064814814814815E-2</v>
      </c>
      <c r="C72" s="9">
        <v>3.0671296296296297E-3</v>
      </c>
      <c r="D72" s="9">
        <f t="shared" si="47"/>
        <v>6.1950925925925932E-3</v>
      </c>
      <c r="E72" s="10">
        <v>0.58179999999999998</v>
      </c>
      <c r="F72" s="9">
        <f t="shared" si="40"/>
        <v>7.6678240740740743E-4</v>
      </c>
      <c r="G72" s="9">
        <f t="shared" si="41"/>
        <v>8.2601234567901242E-4</v>
      </c>
      <c r="H72" s="9">
        <f t="shared" si="42"/>
        <v>8.5185185185185201E-4</v>
      </c>
      <c r="I72" s="9">
        <f t="shared" si="43"/>
        <v>8.8818531793442195E-4</v>
      </c>
      <c r="J72" s="9">
        <f t="shared" si="44"/>
        <v>8.9783950617283953E-4</v>
      </c>
      <c r="K72" s="9">
        <f t="shared" si="45"/>
        <v>9.3865039281705955E-4</v>
      </c>
      <c r="L72" s="9">
        <f t="shared" si="46"/>
        <v>9.8334803057025292E-4</v>
      </c>
      <c r="M72" s="11">
        <f>Table25711131525233335373941454951535912141618202224262830[[#This Row],[Thresh]]</f>
        <v>9.3865039281705955E-4</v>
      </c>
      <c r="N72" s="9">
        <f>Table25711131525233335373941454951535912141618202224262830[[#This Row],[T (400)]]*2</f>
        <v>1.8773007856341191E-3</v>
      </c>
      <c r="O72" s="24">
        <f>Table25711131525233335373941454951535912141618202224262830[[#This Row],[I]]</f>
        <v>8.5185185185185201E-4</v>
      </c>
      <c r="P72" s="9">
        <f>Table25711131525233335373941454951535912141618202224262830[[#This Row],[200 R]]*2</f>
        <v>1.703703703703704E-3</v>
      </c>
      <c r="Q72" s="24">
        <f>Table25711131525233335373941454951535912141618202224262830[[#This Row],[CV]]</f>
        <v>8.9783950617283953E-4</v>
      </c>
      <c r="R72" s="9">
        <f>Table25711131525233335373941454951535912141618202224262830[[#This Row],[300 VO2]]*2</f>
        <v>1.7956790123456791E-3</v>
      </c>
      <c r="S72" s="9">
        <f>Table25711131525233335373941454951535912141618202224262830[[#This Row],[200 R]]*1.5</f>
        <v>1.2777777777777781E-3</v>
      </c>
      <c r="T72" s="24">
        <f>Table25711131525233335373941454951535912141618202224262830[[#This Row],[R]]/2</f>
        <v>3.8339120370370371E-4</v>
      </c>
      <c r="V72" s="23" t="s">
        <v>34</v>
      </c>
      <c r="W72" s="104"/>
    </row>
    <row r="73" spans="1:23" ht="17.149999999999999" customHeight="1" x14ac:dyDescent="0.35">
      <c r="A73" s="8" t="s">
        <v>104</v>
      </c>
      <c r="B73" s="9">
        <v>1.064814814814815E-2</v>
      </c>
      <c r="C73" s="9">
        <v>3.1249999999999997E-3</v>
      </c>
      <c r="D73" s="9">
        <f t="shared" si="47"/>
        <v>6.1950925925925932E-3</v>
      </c>
      <c r="E73" s="10">
        <v>0.58179999999999998</v>
      </c>
      <c r="F73" s="9">
        <f t="shared" si="40"/>
        <v>7.8124999999999993E-4</v>
      </c>
      <c r="G73" s="9">
        <f t="shared" si="41"/>
        <v>8.2601234567901242E-4</v>
      </c>
      <c r="H73" s="9">
        <f t="shared" si="42"/>
        <v>8.5185185185185201E-4</v>
      </c>
      <c r="I73" s="9">
        <f t="shared" si="43"/>
        <v>8.8818531793442195E-4</v>
      </c>
      <c r="J73" s="9">
        <f t="shared" si="44"/>
        <v>8.9783950617283953E-4</v>
      </c>
      <c r="K73" s="9">
        <f t="shared" si="45"/>
        <v>9.3865039281705955E-4</v>
      </c>
      <c r="L73" s="9">
        <f t="shared" si="46"/>
        <v>9.8334803057025292E-4</v>
      </c>
      <c r="M73" s="11">
        <f>Table25711131525233335373941454951535912141618202224262830[[#This Row],[Thresh]]</f>
        <v>9.3865039281705955E-4</v>
      </c>
      <c r="N73" s="9">
        <f>Table25711131525233335373941454951535912141618202224262830[[#This Row],[T (400)]]*2</f>
        <v>1.8773007856341191E-3</v>
      </c>
      <c r="O73" s="24">
        <f>Table25711131525233335373941454951535912141618202224262830[[#This Row],[I]]</f>
        <v>8.5185185185185201E-4</v>
      </c>
      <c r="P73" s="9">
        <f>Table25711131525233335373941454951535912141618202224262830[[#This Row],[200 R]]*2</f>
        <v>1.703703703703704E-3</v>
      </c>
      <c r="Q73" s="24">
        <f>Table25711131525233335373941454951535912141618202224262830[[#This Row],[CV]]</f>
        <v>8.9783950617283953E-4</v>
      </c>
      <c r="R73" s="9">
        <f>Table25711131525233335373941454951535912141618202224262830[[#This Row],[300 VO2]]*2</f>
        <v>1.7956790123456791E-3</v>
      </c>
      <c r="S73" s="9">
        <f>Table25711131525233335373941454951535912141618202224262830[[#This Row],[200 R]]*1.5</f>
        <v>1.2777777777777781E-3</v>
      </c>
      <c r="T73" s="24">
        <f>Table25711131525233335373941454951535912141618202224262830[[#This Row],[R]]/2</f>
        <v>3.9062499999999997E-4</v>
      </c>
      <c r="U73" s="24"/>
      <c r="V73" s="23" t="s">
        <v>34</v>
      </c>
      <c r="W73" s="104"/>
    </row>
    <row r="74" spans="1:23" ht="17.149999999999999" customHeight="1" x14ac:dyDescent="0.35">
      <c r="A74" s="8" t="s">
        <v>106</v>
      </c>
      <c r="B74" s="9">
        <v>1.064814814814815E-2</v>
      </c>
      <c r="C74" s="9">
        <v>3.1249999999999997E-3</v>
      </c>
      <c r="D74" s="9">
        <f t="shared" si="47"/>
        <v>6.1950925925925932E-3</v>
      </c>
      <c r="E74" s="10">
        <v>0.58179999999999998</v>
      </c>
      <c r="F74" s="9">
        <f t="shared" si="40"/>
        <v>7.8124999999999993E-4</v>
      </c>
      <c r="G74" s="9">
        <f t="shared" si="41"/>
        <v>8.2601234567901242E-4</v>
      </c>
      <c r="H74" s="9">
        <f t="shared" si="42"/>
        <v>8.5185185185185201E-4</v>
      </c>
      <c r="I74" s="9">
        <f t="shared" si="43"/>
        <v>8.8818531793442195E-4</v>
      </c>
      <c r="J74" s="9">
        <f t="shared" si="44"/>
        <v>8.9783950617283953E-4</v>
      </c>
      <c r="K74" s="9">
        <f t="shared" si="45"/>
        <v>9.3865039281705955E-4</v>
      </c>
      <c r="L74" s="9">
        <f t="shared" si="46"/>
        <v>9.8334803057025292E-4</v>
      </c>
      <c r="M74" s="11">
        <f>Table25711131525233335373941454951535912141618202224262830[[#This Row],[Thresh]]</f>
        <v>9.3865039281705955E-4</v>
      </c>
      <c r="N74" s="9">
        <f>Table25711131525233335373941454951535912141618202224262830[[#This Row],[T (400)]]*2</f>
        <v>1.8773007856341191E-3</v>
      </c>
      <c r="O74" s="24">
        <f>Table25711131525233335373941454951535912141618202224262830[[#This Row],[I]]</f>
        <v>8.5185185185185201E-4</v>
      </c>
      <c r="P74" s="9">
        <f>Table25711131525233335373941454951535912141618202224262830[[#This Row],[200 R]]*2</f>
        <v>1.703703703703704E-3</v>
      </c>
      <c r="Q74" s="24">
        <f>Table25711131525233335373941454951535912141618202224262830[[#This Row],[CV]]</f>
        <v>8.9783950617283953E-4</v>
      </c>
      <c r="R74" s="9">
        <f>Table25711131525233335373941454951535912141618202224262830[[#This Row],[300 VO2]]*2</f>
        <v>1.7956790123456791E-3</v>
      </c>
      <c r="S74" s="9">
        <f>Table25711131525233335373941454951535912141618202224262830[[#This Row],[200 R]]*1.5</f>
        <v>1.2777777777777781E-3</v>
      </c>
      <c r="T74" s="24">
        <f>Table25711131525233335373941454951535912141618202224262830[[#This Row],[R]]/2</f>
        <v>3.9062499999999997E-4</v>
      </c>
      <c r="V74" s="23" t="s">
        <v>34</v>
      </c>
      <c r="W74" s="104"/>
    </row>
    <row r="75" spans="1:23" ht="17.149999999999999" customHeight="1" x14ac:dyDescent="0.35">
      <c r="A75" s="8" t="s">
        <v>105</v>
      </c>
      <c r="B75" s="9">
        <v>1.064814814814815E-2</v>
      </c>
      <c r="C75" s="9">
        <v>3.1249999999999997E-3</v>
      </c>
      <c r="D75" s="9">
        <f t="shared" si="47"/>
        <v>6.1950925925925932E-3</v>
      </c>
      <c r="E75" s="10">
        <v>0.58179999999999998</v>
      </c>
      <c r="F75" s="9">
        <f t="shared" si="40"/>
        <v>7.8124999999999993E-4</v>
      </c>
      <c r="G75" s="9">
        <f t="shared" si="41"/>
        <v>8.2601234567901242E-4</v>
      </c>
      <c r="H75" s="9">
        <f t="shared" si="42"/>
        <v>8.5185185185185201E-4</v>
      </c>
      <c r="I75" s="9">
        <f t="shared" si="43"/>
        <v>8.8818531793442195E-4</v>
      </c>
      <c r="J75" s="9">
        <f t="shared" si="44"/>
        <v>8.9783950617283953E-4</v>
      </c>
      <c r="K75" s="9">
        <f t="shared" si="45"/>
        <v>9.3865039281705955E-4</v>
      </c>
      <c r="L75" s="9">
        <f t="shared" si="46"/>
        <v>9.8334803057025292E-4</v>
      </c>
      <c r="M75" s="11">
        <f>Table25711131525233335373941454951535912141618202224262830[[#This Row],[Thresh]]</f>
        <v>9.3865039281705955E-4</v>
      </c>
      <c r="N75" s="9">
        <f>Table25711131525233335373941454951535912141618202224262830[[#This Row],[T (400)]]*2</f>
        <v>1.8773007856341191E-3</v>
      </c>
      <c r="O75" s="24">
        <f>Table25711131525233335373941454951535912141618202224262830[[#This Row],[I]]</f>
        <v>8.5185185185185201E-4</v>
      </c>
      <c r="P75" s="9">
        <f>Table25711131525233335373941454951535912141618202224262830[[#This Row],[200 R]]*2</f>
        <v>1.703703703703704E-3</v>
      </c>
      <c r="Q75" s="24">
        <f>Table25711131525233335373941454951535912141618202224262830[[#This Row],[CV]]</f>
        <v>8.9783950617283953E-4</v>
      </c>
      <c r="R75" s="9">
        <f>Table25711131525233335373941454951535912141618202224262830[[#This Row],[300 VO2]]*2</f>
        <v>1.7956790123456791E-3</v>
      </c>
      <c r="S75" s="9">
        <f>Table25711131525233335373941454951535912141618202224262830[[#This Row],[200 R]]*1.5</f>
        <v>1.2777777777777781E-3</v>
      </c>
      <c r="T75" s="24">
        <f>Table25711131525233335373941454951535912141618202224262830[[#This Row],[R]]/2</f>
        <v>3.9062499999999997E-4</v>
      </c>
      <c r="V75" s="23" t="s">
        <v>34</v>
      </c>
      <c r="W75" s="104"/>
    </row>
    <row r="76" spans="1:23" ht="17.149999999999999" customHeight="1" x14ac:dyDescent="0.35">
      <c r="A76" s="8" t="s">
        <v>107</v>
      </c>
      <c r="B76" s="9">
        <v>1.0648148148148148E-2</v>
      </c>
      <c r="C76" s="9">
        <v>3.1249999999999997E-3</v>
      </c>
      <c r="D76" s="9">
        <f t="shared" si="47"/>
        <v>6.1950925925925923E-3</v>
      </c>
      <c r="E76" s="10">
        <v>0.58179999999999998</v>
      </c>
      <c r="F76" s="9">
        <f t="shared" si="40"/>
        <v>7.8124999999999993E-4</v>
      </c>
      <c r="G76" s="9">
        <f t="shared" si="41"/>
        <v>8.2601234567901232E-4</v>
      </c>
      <c r="H76" s="9">
        <f t="shared" si="42"/>
        <v>8.5185185185185179E-4</v>
      </c>
      <c r="I76" s="9">
        <f t="shared" si="43"/>
        <v>8.8818531793442184E-4</v>
      </c>
      <c r="J76" s="9">
        <f t="shared" si="44"/>
        <v>8.9783950617283942E-4</v>
      </c>
      <c r="K76" s="9">
        <f t="shared" si="45"/>
        <v>9.3865039281705945E-4</v>
      </c>
      <c r="L76" s="9">
        <f t="shared" si="46"/>
        <v>9.833480305702527E-4</v>
      </c>
      <c r="M76" s="11">
        <f>Table25711131525233335373941454951535912141618202224262830[[#This Row],[Thresh]]</f>
        <v>9.3865039281705945E-4</v>
      </c>
      <c r="N76" s="9">
        <f>Table25711131525233335373941454951535912141618202224262830[[#This Row],[T (400)]]*2</f>
        <v>1.8773007856341189E-3</v>
      </c>
      <c r="O76" s="24">
        <f>Table25711131525233335373941454951535912141618202224262830[[#This Row],[I]]</f>
        <v>8.5185185185185179E-4</v>
      </c>
      <c r="P76" s="9">
        <f>Table25711131525233335373941454951535912141618202224262830[[#This Row],[200 R]]*2</f>
        <v>1.7037037037037036E-3</v>
      </c>
      <c r="Q76" s="24">
        <f>Table25711131525233335373941454951535912141618202224262830[[#This Row],[CV]]</f>
        <v>8.9783950617283942E-4</v>
      </c>
      <c r="R76" s="9">
        <f>Table25711131525233335373941454951535912141618202224262830[[#This Row],[300 VO2]]*2</f>
        <v>1.7956790123456788E-3</v>
      </c>
      <c r="S76" s="9">
        <f>Table25711131525233335373941454951535912141618202224262830[[#This Row],[200 R]]*1.5</f>
        <v>1.2777777777777776E-3</v>
      </c>
      <c r="T76" s="24">
        <f>Table25711131525233335373941454951535912141618202224262830[[#This Row],[R]]/2</f>
        <v>3.9062499999999997E-4</v>
      </c>
      <c r="V76" s="23" t="s">
        <v>34</v>
      </c>
      <c r="W76" s="104"/>
    </row>
    <row r="77" spans="1:23" ht="17.149999999999999" customHeight="1" x14ac:dyDescent="0.35">
      <c r="A77" s="8" t="s">
        <v>108</v>
      </c>
      <c r="B77" s="9">
        <v>1.0763888888888891E-2</v>
      </c>
      <c r="C77" s="9">
        <v>3.1828703703703702E-3</v>
      </c>
      <c r="D77" s="9">
        <f t="shared" si="47"/>
        <v>6.2624305555555567E-3</v>
      </c>
      <c r="E77" s="10">
        <v>0.58179999999999998</v>
      </c>
      <c r="F77" s="9">
        <f t="shared" si="40"/>
        <v>7.9571759259259255E-4</v>
      </c>
      <c r="G77" s="9">
        <f t="shared" si="41"/>
        <v>8.3499074074074085E-4</v>
      </c>
      <c r="H77" s="9">
        <f t="shared" si="42"/>
        <v>8.6111111111111121E-4</v>
      </c>
      <c r="I77" s="9">
        <f t="shared" si="43"/>
        <v>8.9783950617283953E-4</v>
      </c>
      <c r="J77" s="9">
        <f t="shared" si="44"/>
        <v>9.0759863123993567E-4</v>
      </c>
      <c r="K77" s="9">
        <f t="shared" si="45"/>
        <v>9.4885311447811464E-4</v>
      </c>
      <c r="L77" s="9">
        <f t="shared" si="46"/>
        <v>9.9403659611992969E-4</v>
      </c>
      <c r="M77" s="11">
        <f>Table25711131525233335373941454951535912141618202224262830[[#This Row],[Thresh]]</f>
        <v>9.4885311447811464E-4</v>
      </c>
      <c r="N77" s="9">
        <f>Table25711131525233335373941454951535912141618202224262830[[#This Row],[T (400)]]*2</f>
        <v>1.8977062289562293E-3</v>
      </c>
      <c r="O77" s="24">
        <f>Table25711131525233335373941454951535912141618202224262830[[#This Row],[I]]</f>
        <v>8.6111111111111121E-4</v>
      </c>
      <c r="P77" s="9">
        <f>Table25711131525233335373941454951535912141618202224262830[[#This Row],[200 R]]*2</f>
        <v>1.7222222222222224E-3</v>
      </c>
      <c r="Q77" s="24">
        <f>Table25711131525233335373941454951535912141618202224262830[[#This Row],[CV]]</f>
        <v>9.0759863123993567E-4</v>
      </c>
      <c r="R77" s="9">
        <f>Table25711131525233335373941454951535912141618202224262830[[#This Row],[300 VO2]]*2</f>
        <v>1.8151972624798713E-3</v>
      </c>
      <c r="S77" s="9">
        <f>Table25711131525233335373941454951535912141618202224262830[[#This Row],[200 R]]*1.5</f>
        <v>1.2916666666666669E-3</v>
      </c>
      <c r="T77" s="24">
        <f>Table25711131525233335373941454951535912141618202224262830[[#This Row],[R]]/2</f>
        <v>3.9785879629629627E-4</v>
      </c>
      <c r="U77" s="24"/>
      <c r="V77" s="23" t="s">
        <v>34</v>
      </c>
      <c r="W77" s="104"/>
    </row>
    <row r="78" spans="1:23" ht="17.149999999999999" customHeight="1" x14ac:dyDescent="0.35">
      <c r="A78" s="8" t="s">
        <v>87</v>
      </c>
      <c r="B78" s="9">
        <v>1.0763888888888891E-2</v>
      </c>
      <c r="C78" s="9">
        <v>3.1249999999999997E-3</v>
      </c>
      <c r="D78" s="9">
        <f t="shared" si="47"/>
        <v>6.2624305555555567E-3</v>
      </c>
      <c r="E78" s="10">
        <v>0.58179999999999998</v>
      </c>
      <c r="F78" s="9">
        <f t="shared" si="40"/>
        <v>7.8124999999999993E-4</v>
      </c>
      <c r="G78" s="9">
        <f t="shared" si="41"/>
        <v>8.3499074074074085E-4</v>
      </c>
      <c r="H78" s="9">
        <f t="shared" si="42"/>
        <v>8.6111111111111121E-4</v>
      </c>
      <c r="I78" s="9">
        <f t="shared" si="43"/>
        <v>8.9783950617283953E-4</v>
      </c>
      <c r="J78" s="9">
        <f t="shared" si="44"/>
        <v>9.0759863123993567E-4</v>
      </c>
      <c r="K78" s="9">
        <f t="shared" si="45"/>
        <v>9.4885311447811464E-4</v>
      </c>
      <c r="L78" s="9">
        <f t="shared" si="46"/>
        <v>9.9403659611992969E-4</v>
      </c>
      <c r="M78" s="11">
        <f>Table25711131525233335373941454951535912141618202224262830[[#This Row],[Thresh]]</f>
        <v>9.4885311447811464E-4</v>
      </c>
      <c r="N78" s="9">
        <f>Table25711131525233335373941454951535912141618202224262830[[#This Row],[T (400)]]*2</f>
        <v>1.8977062289562293E-3</v>
      </c>
      <c r="O78" s="24">
        <f>Table25711131525233335373941454951535912141618202224262830[[#This Row],[I]]</f>
        <v>8.6111111111111121E-4</v>
      </c>
      <c r="P78" s="9">
        <f>Table25711131525233335373941454951535912141618202224262830[[#This Row],[200 R]]*2</f>
        <v>1.7222222222222224E-3</v>
      </c>
      <c r="Q78" s="24">
        <f>Table25711131525233335373941454951535912141618202224262830[[#This Row],[CV]]</f>
        <v>9.0759863123993567E-4</v>
      </c>
      <c r="R78" s="9">
        <f>Table25711131525233335373941454951535912141618202224262830[[#This Row],[300 VO2]]*2</f>
        <v>1.8151972624798713E-3</v>
      </c>
      <c r="S78" s="9">
        <f>Table25711131525233335373941454951535912141618202224262830[[#This Row],[200 R]]*1.5</f>
        <v>1.2916666666666669E-3</v>
      </c>
      <c r="T78" s="24">
        <f>Table25711131525233335373941454951535912141618202224262830[[#This Row],[R]]/2</f>
        <v>3.9062499999999997E-4</v>
      </c>
      <c r="U78" s="24"/>
      <c r="V78" s="23" t="s">
        <v>34</v>
      </c>
      <c r="W78" s="104"/>
    </row>
    <row r="79" spans="1:23" ht="17.149999999999999" customHeight="1" x14ac:dyDescent="0.35">
      <c r="A79" s="8" t="s">
        <v>109</v>
      </c>
      <c r="B79" s="9">
        <v>1.0763888888888889E-2</v>
      </c>
      <c r="C79" s="9">
        <v>3.1249999999999997E-3</v>
      </c>
      <c r="D79" s="9">
        <f t="shared" si="47"/>
        <v>6.2624305555555549E-3</v>
      </c>
      <c r="E79" s="10">
        <v>0.58179999999999998</v>
      </c>
      <c r="F79" s="9">
        <f t="shared" si="40"/>
        <v>7.8124999999999993E-4</v>
      </c>
      <c r="G79" s="9">
        <f t="shared" si="41"/>
        <v>8.3499074074074064E-4</v>
      </c>
      <c r="H79" s="9">
        <f t="shared" si="42"/>
        <v>8.611111111111111E-4</v>
      </c>
      <c r="I79" s="9">
        <f t="shared" si="43"/>
        <v>8.9783950617283931E-4</v>
      </c>
      <c r="J79" s="9">
        <f t="shared" si="44"/>
        <v>9.0759863123993545E-4</v>
      </c>
      <c r="K79" s="9">
        <f t="shared" si="45"/>
        <v>9.4885311447811432E-4</v>
      </c>
      <c r="L79" s="9">
        <f t="shared" si="46"/>
        <v>9.9403659611992947E-4</v>
      </c>
      <c r="M79" s="11">
        <f>Table25711131525233335373941454951535912141618202224262830[[#This Row],[Thresh]]</f>
        <v>9.4885311447811432E-4</v>
      </c>
      <c r="N79" s="9">
        <f>Table25711131525233335373941454951535912141618202224262830[[#This Row],[T (400)]]*2</f>
        <v>1.8977062289562286E-3</v>
      </c>
      <c r="O79" s="24">
        <f>Table25711131525233335373941454951535912141618202224262830[[#This Row],[I]]</f>
        <v>8.611111111111111E-4</v>
      </c>
      <c r="P79" s="9">
        <f>Table25711131525233335373941454951535912141618202224262830[[#This Row],[200 R]]*2</f>
        <v>1.7222222222222222E-3</v>
      </c>
      <c r="Q79" s="24">
        <f>Table25711131525233335373941454951535912141618202224262830[[#This Row],[CV]]</f>
        <v>9.0759863123993545E-4</v>
      </c>
      <c r="R79" s="9">
        <f>Table25711131525233335373941454951535912141618202224262830[[#This Row],[300 VO2]]*2</f>
        <v>1.8151972624798709E-3</v>
      </c>
      <c r="S79" s="9">
        <f>Table25711131525233335373941454951535912141618202224262830[[#This Row],[200 R]]*1.5</f>
        <v>1.2916666666666667E-3</v>
      </c>
      <c r="T79" s="24">
        <f>Table25711131525233335373941454951535912141618202224262830[[#This Row],[R]]/2</f>
        <v>3.9062499999999997E-4</v>
      </c>
      <c r="U79" s="24"/>
      <c r="V79" s="23" t="s">
        <v>34</v>
      </c>
      <c r="W79" s="104"/>
    </row>
    <row r="80" spans="1:23" ht="17.149999999999999" customHeight="1" x14ac:dyDescent="0.35">
      <c r="A80" s="8" t="s">
        <v>110</v>
      </c>
      <c r="B80" s="9">
        <v>1.087962962962963E-2</v>
      </c>
      <c r="C80" s="9">
        <v>3.1249999999999997E-3</v>
      </c>
      <c r="D80" s="9">
        <f t="shared" si="47"/>
        <v>6.3297685185185184E-3</v>
      </c>
      <c r="E80" s="10">
        <v>0.58179999999999998</v>
      </c>
      <c r="F80" s="9">
        <f t="shared" si="40"/>
        <v>7.8124999999999993E-4</v>
      </c>
      <c r="G80" s="9">
        <f t="shared" si="41"/>
        <v>8.4396913580246917E-4</v>
      </c>
      <c r="H80" s="9">
        <f t="shared" si="42"/>
        <v>8.7037037037037042E-4</v>
      </c>
      <c r="I80" s="9">
        <f t="shared" si="43"/>
        <v>9.0749369441125711E-4</v>
      </c>
      <c r="J80" s="9">
        <f t="shared" si="44"/>
        <v>9.173577563070317E-4</v>
      </c>
      <c r="K80" s="9">
        <f t="shared" si="45"/>
        <v>9.5905583613916951E-4</v>
      </c>
      <c r="L80" s="9">
        <f t="shared" si="46"/>
        <v>1.0047251616696062E-3</v>
      </c>
      <c r="M80" s="11">
        <f>Table25711131525233335373941454951535912141618202224262830[[#This Row],[Thresh]]</f>
        <v>9.5905583613916951E-4</v>
      </c>
      <c r="N80" s="9">
        <f>Table25711131525233335373941454951535912141618202224262830[[#This Row],[T (400)]]*2</f>
        <v>1.918111672278339E-3</v>
      </c>
      <c r="O80" s="24">
        <f>Table25711131525233335373941454951535912141618202224262830[[#This Row],[I]]</f>
        <v>8.7037037037037042E-4</v>
      </c>
      <c r="P80" s="9">
        <f>Table25711131525233335373941454951535912141618202224262830[[#This Row],[200 R]]*2</f>
        <v>1.7407407407407408E-3</v>
      </c>
      <c r="Q80" s="24">
        <f>Table25711131525233335373941454951535912141618202224262830[[#This Row],[CV]]</f>
        <v>9.173577563070317E-4</v>
      </c>
      <c r="R80" s="9">
        <f>Table25711131525233335373941454951535912141618202224262830[[#This Row],[300 VO2]]*2</f>
        <v>1.8347155126140634E-3</v>
      </c>
      <c r="S80" s="9">
        <f>Table25711131525233335373941454951535912141618202224262830[[#This Row],[200 R]]*1.5</f>
        <v>1.3055555555555557E-3</v>
      </c>
      <c r="T80" s="24">
        <f>Table25711131525233335373941454951535912141618202224262830[[#This Row],[R]]/2</f>
        <v>3.9062499999999997E-4</v>
      </c>
      <c r="U80" s="24"/>
      <c r="V80" s="23" t="s">
        <v>34</v>
      </c>
      <c r="W80" s="104"/>
    </row>
    <row r="81" spans="1:23" ht="17.149999999999999" customHeight="1" x14ac:dyDescent="0.35">
      <c r="A81" s="8" t="s">
        <v>111</v>
      </c>
      <c r="B81" s="9">
        <v>1.087962962962963E-2</v>
      </c>
      <c r="C81" s="9">
        <v>3.1828703703703702E-3</v>
      </c>
      <c r="D81" s="9">
        <f t="shared" si="47"/>
        <v>6.3297685185185184E-3</v>
      </c>
      <c r="E81" s="10">
        <v>0.58179999999999998</v>
      </c>
      <c r="F81" s="9">
        <f t="shared" si="40"/>
        <v>7.9571759259259255E-4</v>
      </c>
      <c r="G81" s="9">
        <f t="shared" si="41"/>
        <v>8.4396913580246917E-4</v>
      </c>
      <c r="H81" s="9">
        <f t="shared" si="42"/>
        <v>8.7037037037037042E-4</v>
      </c>
      <c r="I81" s="9">
        <f t="shared" si="43"/>
        <v>9.0749369441125711E-4</v>
      </c>
      <c r="J81" s="9">
        <f t="shared" si="44"/>
        <v>9.173577563070317E-4</v>
      </c>
      <c r="K81" s="9">
        <f t="shared" si="45"/>
        <v>9.5905583613916951E-4</v>
      </c>
      <c r="L81" s="9">
        <f t="shared" si="46"/>
        <v>1.0047251616696062E-3</v>
      </c>
      <c r="M81" s="11">
        <f>Table25711131525233335373941454951535912141618202224262830[[#This Row],[Thresh]]</f>
        <v>9.5905583613916951E-4</v>
      </c>
      <c r="N81" s="9">
        <f>Table25711131525233335373941454951535912141618202224262830[[#This Row],[T (400)]]*2</f>
        <v>1.918111672278339E-3</v>
      </c>
      <c r="O81" s="24">
        <f>Table25711131525233335373941454951535912141618202224262830[[#This Row],[I]]</f>
        <v>8.7037037037037042E-4</v>
      </c>
      <c r="P81" s="9">
        <f>Table25711131525233335373941454951535912141618202224262830[[#This Row],[200 R]]*2</f>
        <v>1.7407407407407408E-3</v>
      </c>
      <c r="Q81" s="24">
        <f>Table25711131525233335373941454951535912141618202224262830[[#This Row],[CV]]</f>
        <v>9.173577563070317E-4</v>
      </c>
      <c r="R81" s="9">
        <f>Table25711131525233335373941454951535912141618202224262830[[#This Row],[300 VO2]]*2</f>
        <v>1.8347155126140634E-3</v>
      </c>
      <c r="S81" s="9">
        <f>Table25711131525233335373941454951535912141618202224262830[[#This Row],[200 R]]*1.5</f>
        <v>1.3055555555555557E-3</v>
      </c>
      <c r="T81" s="24">
        <f>Table25711131525233335373941454951535912141618202224262830[[#This Row],[R]]/2</f>
        <v>3.9785879629629627E-4</v>
      </c>
      <c r="U81" s="24"/>
      <c r="V81" s="23" t="s">
        <v>34</v>
      </c>
      <c r="W81" s="104"/>
    </row>
    <row r="82" spans="1:23" ht="17.149999999999999" customHeight="1" x14ac:dyDescent="0.35">
      <c r="A82" s="8" t="s">
        <v>88</v>
      </c>
      <c r="B82" s="9">
        <v>1.087962962962963E-2</v>
      </c>
      <c r="C82" s="9">
        <v>3.1828703703703702E-3</v>
      </c>
      <c r="D82" s="9">
        <f t="shared" si="47"/>
        <v>6.3297685185185184E-3</v>
      </c>
      <c r="E82" s="10">
        <v>0.58179999999999998</v>
      </c>
      <c r="F82" s="9">
        <f t="shared" si="40"/>
        <v>7.9571759259259255E-4</v>
      </c>
      <c r="G82" s="9">
        <f t="shared" si="41"/>
        <v>8.4396913580246917E-4</v>
      </c>
      <c r="H82" s="9">
        <f t="shared" si="42"/>
        <v>8.7037037037037042E-4</v>
      </c>
      <c r="I82" s="9">
        <f t="shared" si="43"/>
        <v>9.0749369441125711E-4</v>
      </c>
      <c r="J82" s="9">
        <f t="shared" si="44"/>
        <v>9.173577563070317E-4</v>
      </c>
      <c r="K82" s="9">
        <f t="shared" si="45"/>
        <v>9.5905583613916951E-4</v>
      </c>
      <c r="L82" s="9">
        <f t="shared" si="46"/>
        <v>1.0047251616696062E-3</v>
      </c>
      <c r="M82" s="11">
        <f>Table25711131525233335373941454951535912141618202224262830[[#This Row],[Thresh]]</f>
        <v>9.5905583613916951E-4</v>
      </c>
      <c r="N82" s="9">
        <f>Table25711131525233335373941454951535912141618202224262830[[#This Row],[T (400)]]*2</f>
        <v>1.918111672278339E-3</v>
      </c>
      <c r="O82" s="24">
        <f>Table25711131525233335373941454951535912141618202224262830[[#This Row],[I]]</f>
        <v>8.7037037037037042E-4</v>
      </c>
      <c r="P82" s="9">
        <f>Table25711131525233335373941454951535912141618202224262830[[#This Row],[200 R]]*2</f>
        <v>1.7407407407407408E-3</v>
      </c>
      <c r="Q82" s="24">
        <f>Table25711131525233335373941454951535912141618202224262830[[#This Row],[CV]]</f>
        <v>9.173577563070317E-4</v>
      </c>
      <c r="R82" s="9">
        <f>Table25711131525233335373941454951535912141618202224262830[[#This Row],[300 VO2]]*2</f>
        <v>1.8347155126140634E-3</v>
      </c>
      <c r="S82" s="9">
        <f>Table25711131525233335373941454951535912141618202224262830[[#This Row],[200 R]]*1.5</f>
        <v>1.3055555555555557E-3</v>
      </c>
      <c r="T82" s="24">
        <f>Table25711131525233335373941454951535912141618202224262830[[#This Row],[R]]/2</f>
        <v>3.9785879629629627E-4</v>
      </c>
      <c r="U82" s="24"/>
      <c r="V82" s="23" t="s">
        <v>34</v>
      </c>
      <c r="W82" s="104"/>
    </row>
    <row r="83" spans="1:23" ht="17.149999999999999" customHeight="1" x14ac:dyDescent="0.35">
      <c r="A83" s="8"/>
      <c r="B83" s="9"/>
      <c r="C83" s="9"/>
      <c r="D83" s="9"/>
      <c r="E83" s="10"/>
      <c r="F83" s="9">
        <f t="shared" si="40"/>
        <v>0</v>
      </c>
      <c r="G83" s="9">
        <f t="shared" si="41"/>
        <v>0</v>
      </c>
      <c r="H83" s="9">
        <f t="shared" si="42"/>
        <v>0</v>
      </c>
      <c r="I83" s="9">
        <f t="shared" si="43"/>
        <v>0</v>
      </c>
      <c r="J83" s="9">
        <f t="shared" si="44"/>
        <v>0</v>
      </c>
      <c r="K83" s="9">
        <f t="shared" si="45"/>
        <v>0</v>
      </c>
      <c r="L83" s="9">
        <f t="shared" si="46"/>
        <v>0</v>
      </c>
      <c r="M83" s="11"/>
      <c r="P83" s="25"/>
      <c r="Q83" s="25"/>
      <c r="R83" s="25"/>
      <c r="S83" s="25"/>
      <c r="V83" s="23"/>
      <c r="W83" s="104"/>
    </row>
    <row r="84" spans="1:23" ht="17.149999999999999" customHeight="1" x14ac:dyDescent="0.35">
      <c r="A84" s="14"/>
      <c r="B84" s="15"/>
      <c r="C84" s="15"/>
      <c r="D84" s="15"/>
      <c r="E84" s="16"/>
      <c r="F84" s="15">
        <f t="shared" si="40"/>
        <v>0</v>
      </c>
      <c r="G84" s="15">
        <f t="shared" si="41"/>
        <v>0</v>
      </c>
      <c r="H84" s="15">
        <f t="shared" si="42"/>
        <v>0</v>
      </c>
      <c r="I84" s="15">
        <f t="shared" si="43"/>
        <v>0</v>
      </c>
      <c r="J84" s="15">
        <f t="shared" si="44"/>
        <v>0</v>
      </c>
      <c r="K84" s="15">
        <f t="shared" si="45"/>
        <v>0</v>
      </c>
      <c r="L84" s="15">
        <f t="shared" si="46"/>
        <v>0</v>
      </c>
      <c r="M84" s="30"/>
      <c r="N84" s="15"/>
      <c r="O84" s="15"/>
      <c r="P84" s="15"/>
      <c r="Q84" s="15"/>
      <c r="R84" s="15"/>
      <c r="S84" s="15"/>
      <c r="T84" s="15"/>
      <c r="U84" s="15"/>
      <c r="V84" s="17"/>
      <c r="W84" s="104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ref="D85:D92" si="48">B85*E85</f>
        <v>5.8247337962962957E-3</v>
      </c>
      <c r="E85" s="10">
        <v>0.58179999999999998</v>
      </c>
      <c r="F85" s="9">
        <f t="shared" si="40"/>
        <v>7.378472222222222E-4</v>
      </c>
      <c r="G85" s="9">
        <f t="shared" si="41"/>
        <v>7.7663117283950612E-4</v>
      </c>
      <c r="H85" s="9">
        <f t="shared" si="42"/>
        <v>8.0092592592592585E-4</v>
      </c>
      <c r="I85" s="9">
        <f t="shared" si="43"/>
        <v>8.3508728262312486E-4</v>
      </c>
      <c r="J85" s="9">
        <f t="shared" si="44"/>
        <v>8.4416431830381094E-4</v>
      </c>
      <c r="K85" s="9">
        <f t="shared" si="45"/>
        <v>8.825354236812569E-4</v>
      </c>
      <c r="L85" s="9">
        <f t="shared" si="46"/>
        <v>9.2456092004703113E-4</v>
      </c>
      <c r="M85" s="11"/>
      <c r="N85" s="9"/>
      <c r="O85" s="24"/>
      <c r="P85" s="97"/>
      <c r="Q85" s="24"/>
      <c r="R85" s="9"/>
      <c r="S85" s="12"/>
      <c r="V85" s="23" t="s">
        <v>48</v>
      </c>
      <c r="W85" s="104" t="s">
        <v>218</v>
      </c>
    </row>
    <row r="86" spans="1:23" ht="17.149999999999999" customHeight="1" x14ac:dyDescent="0.35">
      <c r="A86" s="8" t="s">
        <v>97</v>
      </c>
      <c r="B86" s="9">
        <v>1.0011574074074074E-2</v>
      </c>
      <c r="C86" s="9">
        <v>2.9745370370370373E-3</v>
      </c>
      <c r="D86" s="9">
        <f t="shared" si="48"/>
        <v>5.8247337962962957E-3</v>
      </c>
      <c r="E86" s="10">
        <v>0.58179999999999998</v>
      </c>
      <c r="F86" s="9">
        <f t="shared" si="40"/>
        <v>7.4363425925925931E-4</v>
      </c>
      <c r="G86" s="9">
        <f t="shared" si="41"/>
        <v>7.7663117283950612E-4</v>
      </c>
      <c r="H86" s="9">
        <f t="shared" si="42"/>
        <v>8.0092592592592585E-4</v>
      </c>
      <c r="I86" s="9">
        <f t="shared" si="43"/>
        <v>8.3508728262312486E-4</v>
      </c>
      <c r="J86" s="9">
        <f t="shared" si="44"/>
        <v>8.4416431830381094E-4</v>
      </c>
      <c r="K86" s="9">
        <f t="shared" si="45"/>
        <v>8.825354236812569E-4</v>
      </c>
      <c r="L86" s="9">
        <f t="shared" si="46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48</v>
      </c>
      <c r="W86" s="104"/>
    </row>
    <row r="87" spans="1:23" ht="17.149999999999999" customHeight="1" x14ac:dyDescent="0.35">
      <c r="A87" s="8" t="s">
        <v>99</v>
      </c>
      <c r="B87" s="9">
        <v>1.0243055555555556E-2</v>
      </c>
      <c r="C87" s="9">
        <v>3.0092592592592588E-3</v>
      </c>
      <c r="D87" s="9">
        <f t="shared" si="48"/>
        <v>5.9594097222222218E-3</v>
      </c>
      <c r="E87" s="10">
        <v>0.58179999999999998</v>
      </c>
      <c r="F87" s="9">
        <f t="shared" si="40"/>
        <v>7.5231481481481471E-4</v>
      </c>
      <c r="G87" s="9">
        <f t="shared" si="41"/>
        <v>7.9458796296296287E-4</v>
      </c>
      <c r="H87" s="9">
        <f t="shared" si="42"/>
        <v>8.1944444444444447E-4</v>
      </c>
      <c r="I87" s="9">
        <f t="shared" si="43"/>
        <v>8.5439565909996003E-4</v>
      </c>
      <c r="J87" s="9">
        <f t="shared" si="44"/>
        <v>8.636825684380031E-4</v>
      </c>
      <c r="K87" s="9">
        <f t="shared" si="45"/>
        <v>9.0294086700336686E-4</v>
      </c>
      <c r="L87" s="9">
        <f t="shared" si="46"/>
        <v>9.4593805114638445E-4</v>
      </c>
      <c r="M87" s="11"/>
      <c r="N87" s="9"/>
      <c r="O87" s="24"/>
      <c r="P87" s="97"/>
      <c r="Q87" s="24"/>
      <c r="R87" s="9"/>
      <c r="S87" s="12"/>
      <c r="V87" s="23" t="s">
        <v>48</v>
      </c>
      <c r="W87" s="104"/>
    </row>
    <row r="88" spans="1:23" ht="17.149999999999999" customHeight="1" x14ac:dyDescent="0.35">
      <c r="A88" s="8" t="s">
        <v>98</v>
      </c>
      <c r="B88" s="9">
        <v>1.0243055555555556E-2</v>
      </c>
      <c r="C88" s="9">
        <v>3.0092592592592588E-3</v>
      </c>
      <c r="D88" s="9">
        <f t="shared" si="48"/>
        <v>5.9594097222222218E-3</v>
      </c>
      <c r="E88" s="10">
        <v>0.58179999999999998</v>
      </c>
      <c r="F88" s="9">
        <f t="shared" si="40"/>
        <v>7.5231481481481471E-4</v>
      </c>
      <c r="G88" s="9">
        <f t="shared" si="41"/>
        <v>7.9458796296296287E-4</v>
      </c>
      <c r="H88" s="9">
        <f t="shared" si="42"/>
        <v>8.1944444444444447E-4</v>
      </c>
      <c r="I88" s="9">
        <f t="shared" si="43"/>
        <v>8.5439565909996003E-4</v>
      </c>
      <c r="J88" s="9">
        <f t="shared" si="44"/>
        <v>8.636825684380031E-4</v>
      </c>
      <c r="K88" s="9">
        <f t="shared" si="45"/>
        <v>9.0294086700336686E-4</v>
      </c>
      <c r="L88" s="9">
        <f t="shared" si="46"/>
        <v>9.4593805114638445E-4</v>
      </c>
      <c r="M88" s="11"/>
      <c r="N88" s="9"/>
      <c r="O88" s="24"/>
      <c r="P88" s="97"/>
      <c r="Q88" s="24"/>
      <c r="R88" s="9"/>
      <c r="S88" s="12"/>
      <c r="V88" s="23" t="s">
        <v>48</v>
      </c>
      <c r="W88" s="104"/>
    </row>
    <row r="89" spans="1:23" ht="17.149999999999999" customHeight="1" x14ac:dyDescent="0.35">
      <c r="A89" s="8" t="s">
        <v>100</v>
      </c>
      <c r="B89" s="9">
        <v>1.0243055555555556E-2</v>
      </c>
      <c r="C89" s="9">
        <v>2.9745370370370373E-3</v>
      </c>
      <c r="D89" s="9">
        <f t="shared" si="48"/>
        <v>5.9594097222222218E-3</v>
      </c>
      <c r="E89" s="10">
        <v>0.58179999999999998</v>
      </c>
      <c r="F89" s="9">
        <f t="shared" si="40"/>
        <v>7.4363425925925931E-4</v>
      </c>
      <c r="G89" s="9">
        <f t="shared" si="41"/>
        <v>7.9458796296296287E-4</v>
      </c>
      <c r="H89" s="9">
        <f t="shared" si="42"/>
        <v>8.1944444444444447E-4</v>
      </c>
      <c r="I89" s="9">
        <f t="shared" si="43"/>
        <v>8.5439565909996003E-4</v>
      </c>
      <c r="J89" s="9">
        <f t="shared" si="44"/>
        <v>8.636825684380031E-4</v>
      </c>
      <c r="K89" s="9">
        <f t="shared" si="45"/>
        <v>9.0294086700336686E-4</v>
      </c>
      <c r="L89" s="9">
        <f t="shared" si="46"/>
        <v>9.4593805114638445E-4</v>
      </c>
      <c r="M89" s="11"/>
      <c r="N89" s="9"/>
      <c r="O89" s="24"/>
      <c r="P89" s="97"/>
      <c r="Q89" s="24"/>
      <c r="R89" s="9"/>
      <c r="S89" s="12"/>
      <c r="V89" s="23" t="s">
        <v>48</v>
      </c>
      <c r="W89" s="104"/>
    </row>
    <row r="90" spans="1:23" ht="17.149999999999999" customHeight="1" x14ac:dyDescent="0.35">
      <c r="A90" s="8" t="s">
        <v>80</v>
      </c>
      <c r="B90" s="9">
        <v>1.0416666666666666E-2</v>
      </c>
      <c r="C90" s="9">
        <v>3.0092592592592588E-3</v>
      </c>
      <c r="D90" s="9">
        <f t="shared" si="48"/>
        <v>6.0604166666666662E-3</v>
      </c>
      <c r="E90" s="10">
        <v>0.58179999999999998</v>
      </c>
      <c r="F90" s="9">
        <f t="shared" si="40"/>
        <v>7.5231481481481471E-4</v>
      </c>
      <c r="G90" s="9">
        <f t="shared" si="41"/>
        <v>8.0805555555555546E-4</v>
      </c>
      <c r="H90" s="9">
        <f t="shared" si="42"/>
        <v>8.3333333333333328E-4</v>
      </c>
      <c r="I90" s="9">
        <f t="shared" si="43"/>
        <v>8.6887694145758646E-4</v>
      </c>
      <c r="J90" s="9">
        <f t="shared" si="44"/>
        <v>8.7832125603864715E-4</v>
      </c>
      <c r="K90" s="9">
        <f t="shared" si="45"/>
        <v>9.1824494949494938E-4</v>
      </c>
      <c r="L90" s="9">
        <f t="shared" si="46"/>
        <v>9.6197089947089938E-4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48</v>
      </c>
      <c r="W90" s="104"/>
    </row>
    <row r="91" spans="1:23" ht="17.149999999999999" customHeight="1" x14ac:dyDescent="0.35">
      <c r="A91" s="8" t="s">
        <v>101</v>
      </c>
      <c r="B91" s="9">
        <v>1.0474537037037037E-2</v>
      </c>
      <c r="C91" s="9">
        <v>3.0671296296296297E-3</v>
      </c>
      <c r="D91" s="9">
        <f t="shared" si="48"/>
        <v>6.094085648148148E-3</v>
      </c>
      <c r="E91" s="10">
        <v>0.58179999999999998</v>
      </c>
      <c r="F91" s="9">
        <f t="shared" si="40"/>
        <v>7.6678240740740743E-4</v>
      </c>
      <c r="G91" s="9">
        <f t="shared" si="41"/>
        <v>8.1254475308641973E-4</v>
      </c>
      <c r="H91" s="9">
        <f t="shared" si="42"/>
        <v>8.3796296296296299E-4</v>
      </c>
      <c r="I91" s="9">
        <f t="shared" si="43"/>
        <v>8.7370403557679541E-4</v>
      </c>
      <c r="J91" s="9">
        <f t="shared" si="44"/>
        <v>8.8320081857219527E-4</v>
      </c>
      <c r="K91" s="9">
        <f t="shared" si="45"/>
        <v>9.2334631032547692E-4</v>
      </c>
      <c r="L91" s="9">
        <f t="shared" si="46"/>
        <v>9.6731518224573777E-4</v>
      </c>
      <c r="M91" s="11"/>
      <c r="N91" s="9"/>
      <c r="O91" s="24"/>
      <c r="P91" s="97"/>
      <c r="Q91" s="24"/>
      <c r="R91" s="9"/>
      <c r="S91" s="12"/>
      <c r="V91" s="23" t="s">
        <v>48</v>
      </c>
      <c r="W91" s="104"/>
    </row>
    <row r="92" spans="1:23" ht="17.149999999999999" customHeight="1" x14ac:dyDescent="0.35">
      <c r="A92" s="8" t="s">
        <v>85</v>
      </c>
      <c r="B92" s="9">
        <v>1.0763888888888889E-2</v>
      </c>
      <c r="C92" s="9">
        <v>3.0671296296296297E-3</v>
      </c>
      <c r="D92" s="9">
        <f t="shared" si="48"/>
        <v>6.2624305555555549E-3</v>
      </c>
      <c r="E92" s="10">
        <v>0.58179999999999998</v>
      </c>
      <c r="F92" s="9">
        <f t="shared" si="40"/>
        <v>7.6678240740740743E-4</v>
      </c>
      <c r="G92" s="9">
        <f t="shared" si="41"/>
        <v>8.3499074074074064E-4</v>
      </c>
      <c r="H92" s="9">
        <f t="shared" si="42"/>
        <v>8.611111111111111E-4</v>
      </c>
      <c r="I92" s="9">
        <f t="shared" si="43"/>
        <v>8.9783950617283931E-4</v>
      </c>
      <c r="J92" s="9">
        <f t="shared" si="44"/>
        <v>9.0759863123993545E-4</v>
      </c>
      <c r="K92" s="9">
        <f t="shared" si="45"/>
        <v>9.4885311447811432E-4</v>
      </c>
      <c r="L92" s="9">
        <f t="shared" si="46"/>
        <v>9.9403659611992947E-4</v>
      </c>
      <c r="M92" s="11"/>
      <c r="N92" s="9"/>
      <c r="O92" s="24"/>
      <c r="P92" s="24"/>
      <c r="Q92" s="24"/>
      <c r="R92" s="24"/>
      <c r="S92" s="24"/>
      <c r="T92" s="24"/>
      <c r="U92" s="24"/>
      <c r="V92" s="23" t="s">
        <v>48</v>
      </c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 t="s">
        <v>90</v>
      </c>
      <c r="B94" s="9">
        <v>1.0995370370370371E-2</v>
      </c>
      <c r="C94" s="9">
        <v>3.1828703703703702E-3</v>
      </c>
      <c r="D94" s="9">
        <f>B94*E94</f>
        <v>6.397106481481481E-3</v>
      </c>
      <c r="E94" s="10">
        <v>0.58179999999999998</v>
      </c>
      <c r="F94" s="9">
        <f>C94/4</f>
        <v>7.9571759259259255E-4</v>
      </c>
      <c r="G94" s="9">
        <f>D94/7.5</f>
        <v>8.5294753086419749E-4</v>
      </c>
      <c r="H94" s="9">
        <f>B94/12.5</f>
        <v>8.7962962962962962E-4</v>
      </c>
      <c r="I94" s="9">
        <f>G94/0.93</f>
        <v>9.171478826496747E-4</v>
      </c>
      <c r="J94" s="9">
        <f>G94/0.92</f>
        <v>9.2711688137412762E-4</v>
      </c>
      <c r="K94" s="9">
        <f>G94/0.88</f>
        <v>9.6925855780022438E-4</v>
      </c>
      <c r="L94" s="9">
        <f>G94/0.84</f>
        <v>1.0154137272192828E-3</v>
      </c>
      <c r="M94" s="11"/>
      <c r="N94" s="9"/>
      <c r="O94" s="24"/>
      <c r="P94" s="9"/>
      <c r="Q94" s="24"/>
      <c r="R94" s="9"/>
      <c r="S94" s="12"/>
      <c r="T94" s="25"/>
      <c r="U94" s="28"/>
      <c r="V94" s="23" t="s">
        <v>53</v>
      </c>
      <c r="W94" s="104" t="s">
        <v>217</v>
      </c>
    </row>
    <row r="95" spans="1:23" ht="17.149999999999999" customHeight="1" x14ac:dyDescent="0.35">
      <c r="A95" s="8" t="s">
        <v>115</v>
      </c>
      <c r="B95" s="9">
        <v>1.1111111111111112E-2</v>
      </c>
      <c r="C95" s="9">
        <v>3.1249999999999997E-3</v>
      </c>
      <c r="D95" s="9">
        <f>B95*E95</f>
        <v>6.4644444444444445E-3</v>
      </c>
      <c r="E95" s="10">
        <v>0.58179999999999998</v>
      </c>
      <c r="F95" s="9">
        <f>C95/4</f>
        <v>7.8124999999999993E-4</v>
      </c>
      <c r="G95" s="9">
        <f>D95/7.5</f>
        <v>8.6192592592592592E-4</v>
      </c>
      <c r="H95" s="9">
        <f>B95/12.5</f>
        <v>8.8888888888888893E-4</v>
      </c>
      <c r="I95" s="9">
        <f>G95/0.93</f>
        <v>9.2680207088809239E-4</v>
      </c>
      <c r="J95" s="9">
        <f>G95/0.92</f>
        <v>9.3687600644122375E-4</v>
      </c>
      <c r="K95" s="9">
        <f>G95/0.88</f>
        <v>9.7946127946127947E-4</v>
      </c>
      <c r="L95" s="9">
        <f>G95/0.84</f>
        <v>1.0261022927689596E-3</v>
      </c>
      <c r="M95" s="11"/>
      <c r="N95" s="9"/>
      <c r="O95" s="24"/>
      <c r="P95" s="9"/>
      <c r="Q95" s="24"/>
      <c r="R95" s="9"/>
      <c r="S95" s="12"/>
      <c r="T95" s="96"/>
      <c r="U95" s="9"/>
      <c r="V95" s="23" t="s">
        <v>53</v>
      </c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>
        <f>C97/4</f>
        <v>0</v>
      </c>
      <c r="G97" s="9">
        <f>D97/7.5</f>
        <v>0</v>
      </c>
      <c r="H97" s="9">
        <f>B97/12.5</f>
        <v>0</v>
      </c>
      <c r="I97" s="9">
        <f>G97/0.93</f>
        <v>0</v>
      </c>
      <c r="J97" s="9">
        <f>G97/0.92</f>
        <v>0</v>
      </c>
      <c r="K97" s="9">
        <f>G97/0.88</f>
        <v>0</v>
      </c>
      <c r="L97" s="9">
        <f>G97/0.84</f>
        <v>0</v>
      </c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11"/>
      <c r="N98" s="9"/>
      <c r="O98" s="24"/>
      <c r="P98" s="9"/>
      <c r="Q98" s="24"/>
      <c r="R98" s="9"/>
      <c r="S98" s="12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C1C-1143-407F-BA98-F615972F5943}">
  <sheetPr>
    <pageSetUpPr fitToPage="1"/>
  </sheetPr>
  <dimension ref="A1:W99"/>
  <sheetViews>
    <sheetView workbookViewId="0">
      <selection activeCell="R73" sqref="R73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219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27</v>
      </c>
      <c r="P1" s="6" t="s">
        <v>133</v>
      </c>
      <c r="Q1" s="6" t="s">
        <v>195</v>
      </c>
      <c r="R1" s="6" t="s">
        <v>196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220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2" si="0">C2/4</f>
        <v>9.2592592592592585E-4</v>
      </c>
      <c r="G2" s="9">
        <f t="shared" ref="G2:G12" si="1">D2/7.5</f>
        <v>1.0100694444444445E-3</v>
      </c>
      <c r="H2" s="9">
        <f t="shared" ref="H2:H12" si="2">B2/12.5</f>
        <v>1.0416666666666667E-3</v>
      </c>
      <c r="I2" s="9">
        <f t="shared" ref="I2:I12" si="3">G2/0.93</f>
        <v>1.0860961768219832E-3</v>
      </c>
      <c r="J2" s="9">
        <f t="shared" ref="J2:J12" si="4">G2/0.92</f>
        <v>1.0979015700483092E-3</v>
      </c>
      <c r="K2" s="9">
        <f t="shared" ref="K2:K12" si="5">G2/0.88</f>
        <v>1.1478061868686869E-3</v>
      </c>
      <c r="L2" s="9">
        <f t="shared" ref="L2:L12" si="6">G2/0.84</f>
        <v>1.2024636243386244E-3</v>
      </c>
      <c r="M2" s="11">
        <f>Table146101214242232343638404448505248111315171921232527[[#This Row],[Thresh]]</f>
        <v>1.1478061868686869E-3</v>
      </c>
      <c r="N2" s="9">
        <f>Table146101214242232343638404448505248111315171921232527[[#This Row],[T (400)]]*2.5</f>
        <v>2.8695154671717171E-3</v>
      </c>
      <c r="O2" s="12">
        <f>Table146101214242232343638404448505248111315171921232527[[#This Row],[R]]</f>
        <v>9.2592592592592585E-4</v>
      </c>
      <c r="P2" s="9">
        <f>Table146101214242232343638404448505248111315171921232527[[#This Row],[400 R]]/2</f>
        <v>4.6296296296296293E-4</v>
      </c>
      <c r="Q2" s="12">
        <f>Table146101214242232343638404448505248111315171921232527[[#This Row],[VO2]]</f>
        <v>1.0100694444444445E-3</v>
      </c>
      <c r="R2" s="9">
        <f>Table146101214242232343638404448505248111315171921232527[[#This Row],[VO2 (400)]]*1.5</f>
        <v>1.5151041666666668E-3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3.7037037037037038E-3</v>
      </c>
      <c r="D3" s="9">
        <f>B3*E3</f>
        <v>7.8785416666666674E-3</v>
      </c>
      <c r="E3" s="10">
        <v>0.58179999999999998</v>
      </c>
      <c r="F3" s="9">
        <f t="shared" si="0"/>
        <v>9.2592592592592596E-4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Table146101214242232343638404448505248111315171921232527[[#This Row],[Thresh]]</f>
        <v>1.1937184343434346E-3</v>
      </c>
      <c r="N3" s="9">
        <f>Table146101214242232343638404448505248111315171921232527[[#This Row],[T (400)]]*2.5</f>
        <v>2.9842960858585863E-3</v>
      </c>
      <c r="O3" s="12">
        <f>Table146101214242232343638404448505248111315171921232527[[#This Row],[R]]</f>
        <v>9.2592592592592596E-4</v>
      </c>
      <c r="P3" s="9">
        <f>Table146101214242232343638404448505248111315171921232527[[#This Row],[400 R]]/2</f>
        <v>4.6296296296296298E-4</v>
      </c>
      <c r="Q3" s="12">
        <f>Table146101214242232343638404448505248111315171921232527[[#This Row],[VO2]]</f>
        <v>1.0504722222222224E-3</v>
      </c>
      <c r="R3" s="9">
        <f>Table146101214242232343638404448505248111315171921232527[[#This Row],[VO2 (400)]]*1.5</f>
        <v>1.5757083333333335E-3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/>
      <c r="B4" s="9"/>
      <c r="C4" s="9"/>
      <c r="D4" s="9"/>
      <c r="E4" s="10"/>
      <c r="F4" s="9">
        <f t="shared" si="0"/>
        <v>0</v>
      </c>
      <c r="G4" s="9">
        <f t="shared" si="1"/>
        <v>0</v>
      </c>
      <c r="H4" s="9">
        <f t="shared" si="2"/>
        <v>0</v>
      </c>
      <c r="I4" s="9">
        <f t="shared" si="3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11"/>
      <c r="N4" s="9"/>
      <c r="O4" s="12"/>
      <c r="P4" s="9"/>
      <c r="Q4" s="12"/>
      <c r="R4" s="9"/>
      <c r="S4" s="12"/>
      <c r="T4" s="9"/>
      <c r="U4" s="9"/>
      <c r="V4" s="13"/>
      <c r="W4" s="104"/>
    </row>
    <row r="5" spans="1:23" ht="17.149999999999999" customHeight="1" x14ac:dyDescent="0.35">
      <c r="A5" s="14"/>
      <c r="B5" s="15"/>
      <c r="C5" s="15"/>
      <c r="D5" s="15"/>
      <c r="E5" s="16"/>
      <c r="F5" s="15">
        <f t="shared" si="0"/>
        <v>0</v>
      </c>
      <c r="G5" s="15">
        <f t="shared" si="1"/>
        <v>0</v>
      </c>
      <c r="H5" s="15">
        <f t="shared" si="2"/>
        <v>0</v>
      </c>
      <c r="I5" s="15">
        <f t="shared" si="3"/>
        <v>0</v>
      </c>
      <c r="J5" s="15">
        <f t="shared" si="4"/>
        <v>0</v>
      </c>
      <c r="K5" s="15">
        <f t="shared" si="5"/>
        <v>0</v>
      </c>
      <c r="L5" s="15">
        <f t="shared" si="6"/>
        <v>0</v>
      </c>
      <c r="M5" s="30" t="s">
        <v>12</v>
      </c>
      <c r="N5" s="15" t="s">
        <v>58</v>
      </c>
      <c r="O5" s="15" t="s">
        <v>27</v>
      </c>
      <c r="P5" s="15" t="s">
        <v>133</v>
      </c>
      <c r="Q5" s="15" t="s">
        <v>195</v>
      </c>
      <c r="R5" s="15" t="s">
        <v>196</v>
      </c>
      <c r="S5" s="15"/>
      <c r="T5" s="15"/>
      <c r="U5" s="15"/>
      <c r="V5" s="17"/>
      <c r="W5" s="104"/>
    </row>
    <row r="6" spans="1:23" ht="17.149999999999999" customHeight="1" x14ac:dyDescent="0.35">
      <c r="A6" s="8" t="s">
        <v>52</v>
      </c>
      <c r="B6" s="9">
        <v>1.1805555555555555E-2</v>
      </c>
      <c r="C6" s="9">
        <v>3.472222222222222E-3</v>
      </c>
      <c r="D6" s="9">
        <f t="shared" ref="D6:D12" si="7">B6*E6</f>
        <v>6.868472222222222E-3</v>
      </c>
      <c r="E6" s="10">
        <v>0.58179999999999998</v>
      </c>
      <c r="F6" s="9">
        <f t="shared" si="0"/>
        <v>8.6805555555555551E-4</v>
      </c>
      <c r="G6" s="9">
        <f t="shared" si="1"/>
        <v>9.1579629629629628E-4</v>
      </c>
      <c r="H6" s="9">
        <f t="shared" si="2"/>
        <v>9.4444444444444437E-4</v>
      </c>
      <c r="I6" s="9">
        <f t="shared" si="3"/>
        <v>9.8472720031859799E-4</v>
      </c>
      <c r="J6" s="9">
        <f t="shared" si="4"/>
        <v>9.9543075684380036E-4</v>
      </c>
      <c r="K6" s="9">
        <f t="shared" si="5"/>
        <v>1.0406776094276093E-3</v>
      </c>
      <c r="L6" s="9">
        <f t="shared" si="6"/>
        <v>1.0902336860670195E-3</v>
      </c>
      <c r="M6" s="11">
        <f>Table146101214242232343638404448505248111315171921232527[[#This Row],[Thresh]]</f>
        <v>1.0406776094276093E-3</v>
      </c>
      <c r="N6" s="9">
        <f>Table146101214242232343638404448505248111315171921232527[[#This Row],[T (400)]]*2.5</f>
        <v>2.6016940235690234E-3</v>
      </c>
      <c r="O6" s="12">
        <f>Table146101214242232343638404448505248111315171921232527[[#This Row],[R]]</f>
        <v>8.6805555555555551E-4</v>
      </c>
      <c r="P6" s="9">
        <f>Table146101214242232343638404448505248111315171921232527[[#This Row],[400 R]]/2</f>
        <v>4.3402777777777775E-4</v>
      </c>
      <c r="Q6" s="12">
        <f>Table146101214242232343638404448505248111315171921232527[[#This Row],[VO2]]</f>
        <v>9.1579629629629628E-4</v>
      </c>
      <c r="R6" s="9">
        <f>Table146101214242232343638404448505248111315171921232527[[#This Row],[VO2 (400)]]*1.5</f>
        <v>1.3736944444444443E-3</v>
      </c>
      <c r="S6" s="12"/>
      <c r="T6" s="9"/>
      <c r="U6" s="9"/>
      <c r="V6" s="13" t="s">
        <v>30</v>
      </c>
      <c r="W6" s="104"/>
    </row>
    <row r="7" spans="1:23" ht="17.149999999999999" customHeight="1" x14ac:dyDescent="0.35">
      <c r="A7" s="8" t="s">
        <v>26</v>
      </c>
      <c r="B7" s="9">
        <v>1.2152777777777778E-2</v>
      </c>
      <c r="C7" s="9">
        <v>3.472222222222222E-3</v>
      </c>
      <c r="D7" s="9">
        <f t="shared" si="7"/>
        <v>7.0704861111111107E-3</v>
      </c>
      <c r="E7" s="10">
        <v>0.58179999999999998</v>
      </c>
      <c r="F7" s="9">
        <f t="shared" si="0"/>
        <v>8.6805555555555551E-4</v>
      </c>
      <c r="G7" s="9">
        <f t="shared" si="1"/>
        <v>9.4273148148148146E-4</v>
      </c>
      <c r="H7" s="9">
        <f t="shared" si="2"/>
        <v>9.7222222222222219E-4</v>
      </c>
      <c r="I7" s="9">
        <f t="shared" si="3"/>
        <v>1.0136897650338511E-3</v>
      </c>
      <c r="J7" s="9">
        <f t="shared" si="4"/>
        <v>1.0247081320450884E-3</v>
      </c>
      <c r="K7" s="9">
        <f t="shared" si="5"/>
        <v>1.0712857744107744E-3</v>
      </c>
      <c r="L7" s="9">
        <f t="shared" si="6"/>
        <v>1.1222993827160494E-3</v>
      </c>
      <c r="M7" s="11">
        <f>Table146101214242232343638404448505248111315171921232527[[#This Row],[Thresh]]</f>
        <v>1.0712857744107744E-3</v>
      </c>
      <c r="N7" s="9">
        <f>Table146101214242232343638404448505248111315171921232527[[#This Row],[T (400)]]*2.5</f>
        <v>2.6782144360269359E-3</v>
      </c>
      <c r="O7" s="12">
        <f>Table146101214242232343638404448505248111315171921232527[[#This Row],[R]]</f>
        <v>8.6805555555555551E-4</v>
      </c>
      <c r="P7" s="9">
        <f>Table146101214242232343638404448505248111315171921232527[[#This Row],[400 R]]/2</f>
        <v>4.3402777777777775E-4</v>
      </c>
      <c r="Q7" s="12">
        <f>Table146101214242232343638404448505248111315171921232527[[#This Row],[VO2]]</f>
        <v>9.4273148148148146E-4</v>
      </c>
      <c r="R7" s="9">
        <f>Table146101214242232343638404448505248111315171921232527[[#This Row],[VO2 (400)]]*1.5</f>
        <v>1.4140972222222222E-3</v>
      </c>
      <c r="S7" s="12"/>
      <c r="T7" s="9"/>
      <c r="U7" s="9"/>
      <c r="V7" s="13" t="s">
        <v>30</v>
      </c>
      <c r="W7" s="104"/>
    </row>
    <row r="8" spans="1:23" ht="17.149999999999999" customHeight="1" x14ac:dyDescent="0.35">
      <c r="A8" s="8" t="s">
        <v>36</v>
      </c>
      <c r="B8" s="9">
        <v>1.3020833333333334E-2</v>
      </c>
      <c r="C8" s="9">
        <v>3.7615740740740739E-3</v>
      </c>
      <c r="D8" s="9">
        <f t="shared" si="7"/>
        <v>7.5755208333333334E-3</v>
      </c>
      <c r="E8" s="10">
        <v>0.58179999999999998</v>
      </c>
      <c r="F8" s="9">
        <f t="shared" si="0"/>
        <v>9.4039351851851847E-4</v>
      </c>
      <c r="G8" s="9">
        <f t="shared" si="1"/>
        <v>1.0100694444444445E-3</v>
      </c>
      <c r="H8" s="9">
        <f t="shared" si="2"/>
        <v>1.0416666666666667E-3</v>
      </c>
      <c r="I8" s="9">
        <f t="shared" si="3"/>
        <v>1.0860961768219832E-3</v>
      </c>
      <c r="J8" s="9">
        <f t="shared" si="4"/>
        <v>1.0979015700483092E-3</v>
      </c>
      <c r="K8" s="9">
        <f t="shared" si="5"/>
        <v>1.1478061868686869E-3</v>
      </c>
      <c r="L8" s="9">
        <f t="shared" si="6"/>
        <v>1.2024636243386244E-3</v>
      </c>
      <c r="M8" s="11">
        <f>Table146101214242232343638404448505248111315171921232527[[#This Row],[Thresh]]</f>
        <v>1.1478061868686869E-3</v>
      </c>
      <c r="N8" s="9">
        <f>Table146101214242232343638404448505248111315171921232527[[#This Row],[T (400)]]*2.5</f>
        <v>2.8695154671717171E-3</v>
      </c>
      <c r="O8" s="12">
        <f>Table146101214242232343638404448505248111315171921232527[[#This Row],[R]]</f>
        <v>9.4039351851851847E-4</v>
      </c>
      <c r="P8" s="9">
        <f>Table146101214242232343638404448505248111315171921232527[[#This Row],[400 R]]/2</f>
        <v>4.7019675925925923E-4</v>
      </c>
      <c r="Q8" s="12">
        <f>Table146101214242232343638404448505248111315171921232527[[#This Row],[VO2]]</f>
        <v>1.0100694444444445E-3</v>
      </c>
      <c r="R8" s="9">
        <f>Table146101214242232343638404448505248111315171921232527[[#This Row],[VO2 (400)]]*1.5</f>
        <v>1.5151041666666668E-3</v>
      </c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41</v>
      </c>
      <c r="B9" s="9">
        <v>1.3541666666666667E-2</v>
      </c>
      <c r="C9" s="9">
        <v>4.0509259259259257E-3</v>
      </c>
      <c r="D9" s="9">
        <f t="shared" si="7"/>
        <v>7.8785416666666674E-3</v>
      </c>
      <c r="E9" s="10">
        <v>0.58179999999999998</v>
      </c>
      <c r="F9" s="9">
        <f t="shared" si="0"/>
        <v>1.0127314814814814E-3</v>
      </c>
      <c r="G9" s="9">
        <f t="shared" si="1"/>
        <v>1.0504722222222224E-3</v>
      </c>
      <c r="H9" s="9">
        <f t="shared" si="2"/>
        <v>1.0833333333333333E-3</v>
      </c>
      <c r="I9" s="9">
        <f t="shared" si="3"/>
        <v>1.1295400238948627E-3</v>
      </c>
      <c r="J9" s="9">
        <f t="shared" si="4"/>
        <v>1.1418176328502417E-3</v>
      </c>
      <c r="K9" s="9">
        <f t="shared" si="5"/>
        <v>1.1937184343434346E-3</v>
      </c>
      <c r="L9" s="9">
        <f t="shared" si="6"/>
        <v>1.2505621693121695E-3</v>
      </c>
      <c r="M9" s="11">
        <f>Table146101214242232343638404448505248111315171921232527[[#This Row],[Thresh]]</f>
        <v>1.1937184343434346E-3</v>
      </c>
      <c r="N9" s="9">
        <f>Table146101214242232343638404448505248111315171921232527[[#This Row],[T (400)]]*2.5</f>
        <v>2.9842960858585863E-3</v>
      </c>
      <c r="O9" s="12">
        <f>Table146101214242232343638404448505248111315171921232527[[#This Row],[R]]</f>
        <v>1.0127314814814814E-3</v>
      </c>
      <c r="P9" s="9">
        <f>Table146101214242232343638404448505248111315171921232527[[#This Row],[400 R]]/2</f>
        <v>5.0636574074074071E-4</v>
      </c>
      <c r="Q9" s="12">
        <f>Table146101214242232343638404448505248111315171921232527[[#This Row],[VO2]]</f>
        <v>1.0504722222222224E-3</v>
      </c>
      <c r="R9" s="9">
        <f>Table146101214242232343638404448505248111315171921232527[[#This Row],[VO2 (400)]]*1.5</f>
        <v>1.5757083333333335E-3</v>
      </c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42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>
        <f>Table146101214242232343638404448505248111315171921232527[[#This Row],[Thresh]]</f>
        <v>1.2549347643097644E-3</v>
      </c>
      <c r="N10" s="9">
        <f>Table146101214242232343638404448505248111315171921232527[[#This Row],[T (400)]]*2.5</f>
        <v>3.1373369107744109E-3</v>
      </c>
      <c r="O10" s="12">
        <f>Table146101214242232343638404448505248111315171921232527[[#This Row],[R]]</f>
        <v>1.0127314814814814E-3</v>
      </c>
      <c r="P10" s="9">
        <f>Table146101214242232343638404448505248111315171921232527[[#This Row],[400 R]]/2</f>
        <v>5.0636574074074071E-4</v>
      </c>
      <c r="Q10" s="12">
        <f>Table146101214242232343638404448505248111315171921232527[[#This Row],[VO2]]</f>
        <v>1.1043425925925927E-3</v>
      </c>
      <c r="R10" s="9">
        <f>Table146101214242232343638404448505248111315171921232527[[#This Row],[VO2 (400)]]*1.5</f>
        <v>1.6565138888888892E-3</v>
      </c>
      <c r="S10" s="12"/>
      <c r="T10" s="9"/>
      <c r="U10" s="9"/>
      <c r="V10" s="13" t="s">
        <v>30</v>
      </c>
      <c r="W10" s="104" t="s">
        <v>221</v>
      </c>
    </row>
    <row r="11" spans="1:23" ht="17.149999999999999" customHeight="1" x14ac:dyDescent="0.35">
      <c r="A11" s="8" t="s">
        <v>43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Table146101214242232343638404448505248111315171921232527[[#This Row],[Thresh]]</f>
        <v>1.2549347643097644E-3</v>
      </c>
      <c r="N11" s="9">
        <f>Table146101214242232343638404448505248111315171921232527[[#This Row],[T (400)]]*2.5</f>
        <v>3.1373369107744109E-3</v>
      </c>
      <c r="O11" s="12">
        <f>Table146101214242232343638404448505248111315171921232527[[#This Row],[R]]</f>
        <v>1.0127314814814814E-3</v>
      </c>
      <c r="P11" s="9">
        <f>Table146101214242232343638404448505248111315171921232527[[#This Row],[400 R]]/2</f>
        <v>5.0636574074074071E-4</v>
      </c>
      <c r="Q11" s="12">
        <f>Table146101214242232343638404448505248111315171921232527[[#This Row],[VO2]]</f>
        <v>1.1043425925925927E-3</v>
      </c>
      <c r="R11" s="9">
        <f>Table146101214242232343638404448505248111315171921232527[[#This Row],[VO2 (400)]]*1.5</f>
        <v>1.6565138888888892E-3</v>
      </c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44</v>
      </c>
      <c r="B12" s="9">
        <v>1.4236111111111111E-2</v>
      </c>
      <c r="C12" s="9">
        <v>4.1666666666666666E-3</v>
      </c>
      <c r="D12" s="9">
        <f t="shared" si="7"/>
        <v>8.2825694444444448E-3</v>
      </c>
      <c r="E12" s="10">
        <v>0.58179999999999998</v>
      </c>
      <c r="F12" s="9">
        <f t="shared" si="0"/>
        <v>1.0416666666666667E-3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Table146101214242232343638404448505248111315171921232527[[#This Row],[Thresh]]</f>
        <v>1.2549347643097644E-3</v>
      </c>
      <c r="N12" s="9">
        <f>Table146101214242232343638404448505248111315171921232527[[#This Row],[T (400)]]*2.5</f>
        <v>3.1373369107744109E-3</v>
      </c>
      <c r="O12" s="12">
        <f>Table146101214242232343638404448505248111315171921232527[[#This Row],[R]]</f>
        <v>1.0416666666666667E-3</v>
      </c>
      <c r="P12" s="9">
        <f>Table146101214242232343638404448505248111315171921232527[[#This Row],[400 R]]/2</f>
        <v>5.2083333333333333E-4</v>
      </c>
      <c r="Q12" s="12">
        <f>Table146101214242232343638404448505248111315171921232527[[#This Row],[VO2]]</f>
        <v>1.1043425925925927E-3</v>
      </c>
      <c r="R12" s="9">
        <f>Table146101214242232343638404448505248111315171921232527[[#This Row],[VO2 (400)]]*1.5</f>
        <v>1.6565138888888892E-3</v>
      </c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11"/>
      <c r="N13" s="9"/>
      <c r="O13" s="12"/>
      <c r="P13" s="9"/>
      <c r="Q13" s="12"/>
      <c r="R13" s="9"/>
      <c r="S13" s="12"/>
      <c r="T13" s="9"/>
      <c r="U13" s="9"/>
      <c r="V13" s="13"/>
      <c r="W13" s="104"/>
    </row>
    <row r="14" spans="1:23" ht="17.149999999999999" customHeight="1" x14ac:dyDescent="0.35">
      <c r="A14" s="14"/>
      <c r="B14" s="15"/>
      <c r="C14" s="15"/>
      <c r="D14" s="15"/>
      <c r="E14" s="16"/>
      <c r="F14" s="15">
        <f t="shared" ref="F14:F19" si="8">C14/4</f>
        <v>0</v>
      </c>
      <c r="G14" s="15">
        <f t="shared" ref="G14:G19" si="9">D14/7.5</f>
        <v>0</v>
      </c>
      <c r="H14" s="15">
        <f t="shared" ref="H14:H19" si="10">B14/12.5</f>
        <v>0</v>
      </c>
      <c r="I14" s="15">
        <f t="shared" ref="I14:I19" si="11">G14/0.93</f>
        <v>0</v>
      </c>
      <c r="J14" s="15">
        <f t="shared" ref="J14:J19" si="12">G14/0.92</f>
        <v>0</v>
      </c>
      <c r="K14" s="15">
        <f t="shared" ref="K14:K19" si="13">G14/0.88</f>
        <v>0</v>
      </c>
      <c r="L14" s="15">
        <f t="shared" ref="L14:L19" si="14"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4"/>
    </row>
    <row r="15" spans="1:23" ht="17.149999999999999" customHeight="1" x14ac:dyDescent="0.35">
      <c r="A15" s="8" t="s">
        <v>51</v>
      </c>
      <c r="B15" s="9">
        <v>1.2499999999999999E-2</v>
      </c>
      <c r="C15" s="9">
        <v>3.7037037037037034E-3</v>
      </c>
      <c r="D15" s="9">
        <f>B15*E15</f>
        <v>7.2724999999999995E-3</v>
      </c>
      <c r="E15" s="10">
        <v>0.58179999999999998</v>
      </c>
      <c r="F15" s="9">
        <f t="shared" si="8"/>
        <v>9.2592592592592585E-4</v>
      </c>
      <c r="G15" s="9">
        <f t="shared" si="9"/>
        <v>9.6966666666666664E-4</v>
      </c>
      <c r="H15" s="9">
        <f t="shared" si="10"/>
        <v>1E-3</v>
      </c>
      <c r="I15" s="9">
        <f t="shared" si="11"/>
        <v>1.0426523297491039E-3</v>
      </c>
      <c r="J15" s="9">
        <f t="shared" si="12"/>
        <v>1.0539855072463768E-3</v>
      </c>
      <c r="K15" s="9">
        <f t="shared" si="13"/>
        <v>1.1018939393939394E-3</v>
      </c>
      <c r="L15" s="9">
        <f t="shared" si="14"/>
        <v>1.1543650793650795E-3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34</v>
      </c>
      <c r="W15" s="104"/>
    </row>
    <row r="16" spans="1:23" ht="17.149999999999999" customHeight="1" x14ac:dyDescent="0.35">
      <c r="A16" s="8" t="s">
        <v>39</v>
      </c>
      <c r="B16" s="9">
        <v>1.3020833333333334E-2</v>
      </c>
      <c r="C16" s="9">
        <v>3.8194444444444443E-3</v>
      </c>
      <c r="D16" s="9">
        <f>B16*E16</f>
        <v>7.5755208333333334E-3</v>
      </c>
      <c r="E16" s="10">
        <v>0.58179999999999998</v>
      </c>
      <c r="F16" s="9">
        <f t="shared" si="8"/>
        <v>9.5486111111111108E-4</v>
      </c>
      <c r="G16" s="9">
        <f t="shared" si="9"/>
        <v>1.0100694444444445E-3</v>
      </c>
      <c r="H16" s="9">
        <f t="shared" si="10"/>
        <v>1.0416666666666667E-3</v>
      </c>
      <c r="I16" s="9">
        <f t="shared" si="11"/>
        <v>1.0860961768219832E-3</v>
      </c>
      <c r="J16" s="9">
        <f t="shared" si="12"/>
        <v>1.0979015700483092E-3</v>
      </c>
      <c r="K16" s="9">
        <f t="shared" si="13"/>
        <v>1.1478061868686869E-3</v>
      </c>
      <c r="L16" s="9">
        <f t="shared" si="14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104"/>
    </row>
    <row r="17" spans="1:23" ht="17.149999999999999" customHeight="1" x14ac:dyDescent="0.35">
      <c r="A17" s="8" t="s">
        <v>40</v>
      </c>
      <c r="B17" s="9">
        <v>1.3020833333333334E-2</v>
      </c>
      <c r="C17" s="9">
        <v>3.8194444444444443E-3</v>
      </c>
      <c r="D17" s="9">
        <f>B17*E17</f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34</v>
      </c>
      <c r="W17" s="104"/>
    </row>
    <row r="18" spans="1:23" ht="17.149999999999999" customHeight="1" x14ac:dyDescent="0.35">
      <c r="A18" s="8" t="s">
        <v>38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34</v>
      </c>
      <c r="W18" s="104"/>
    </row>
    <row r="19" spans="1:23" ht="17.149999999999999" customHeight="1" x14ac:dyDescent="0.35">
      <c r="A19" s="8" t="s">
        <v>50</v>
      </c>
      <c r="B19" s="9">
        <v>1.2499999999999999E-2</v>
      </c>
      <c r="C19" s="9">
        <v>3.9351851851851857E-3</v>
      </c>
      <c r="D19" s="9">
        <f>B19*E19</f>
        <v>7.2724999999999995E-3</v>
      </c>
      <c r="E19" s="10">
        <v>0.58179999999999998</v>
      </c>
      <c r="F19" s="9">
        <f t="shared" si="8"/>
        <v>9.8379629629629642E-4</v>
      </c>
      <c r="G19" s="9">
        <f t="shared" si="9"/>
        <v>9.6966666666666664E-4</v>
      </c>
      <c r="H19" s="9">
        <f t="shared" si="10"/>
        <v>1E-3</v>
      </c>
      <c r="I19" s="9">
        <f t="shared" si="11"/>
        <v>1.0426523297491039E-3</v>
      </c>
      <c r="J19" s="9">
        <f t="shared" si="12"/>
        <v>1.0539855072463768E-3</v>
      </c>
      <c r="K19" s="9">
        <f t="shared" si="13"/>
        <v>1.1018939393939394E-3</v>
      </c>
      <c r="L19" s="9">
        <f t="shared" si="14"/>
        <v>1.1543650793650795E-3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34</v>
      </c>
      <c r="W19" s="104" t="s">
        <v>222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 t="shared" ref="F21:F31" si="15">C21/4</f>
        <v>0</v>
      </c>
      <c r="G21" s="15">
        <f t="shared" ref="G21:G31" si="16">D21/7.5</f>
        <v>0</v>
      </c>
      <c r="H21" s="15">
        <f t="shared" ref="H21:H31" si="17">B21/12.5</f>
        <v>0</v>
      </c>
      <c r="I21" s="15">
        <f t="shared" ref="I21:I31" si="18">G21/0.93</f>
        <v>0</v>
      </c>
      <c r="J21" s="15">
        <f t="shared" ref="J21:J31" si="19">G21/0.92</f>
        <v>0</v>
      </c>
      <c r="K21" s="15">
        <f t="shared" ref="K21:K31" si="20">G21/0.88</f>
        <v>0</v>
      </c>
      <c r="L21" s="15">
        <f t="shared" ref="L21:L31" si="21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28</v>
      </c>
      <c r="B22" s="9">
        <v>1.1689814814814814E-2</v>
      </c>
      <c r="C22" s="9">
        <v>3.3564814814814811E-3</v>
      </c>
      <c r="D22" s="9">
        <f t="shared" ref="D22:D31" si="22">B22*E22</f>
        <v>6.8011342592592585E-3</v>
      </c>
      <c r="E22" s="10">
        <v>0.58179999999999998</v>
      </c>
      <c r="F22" s="9">
        <f t="shared" si="15"/>
        <v>8.3912037037037028E-4</v>
      </c>
      <c r="G22" s="9">
        <f t="shared" si="16"/>
        <v>9.0681790123456785E-4</v>
      </c>
      <c r="H22" s="9">
        <f t="shared" si="17"/>
        <v>9.3518518518518516E-4</v>
      </c>
      <c r="I22" s="9">
        <f t="shared" si="18"/>
        <v>9.7507301208018041E-4</v>
      </c>
      <c r="J22" s="9">
        <f t="shared" si="19"/>
        <v>9.8567163177670412E-4</v>
      </c>
      <c r="K22" s="9">
        <f t="shared" si="20"/>
        <v>1.0304748877665545E-3</v>
      </c>
      <c r="L22" s="9">
        <f t="shared" si="21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31</v>
      </c>
      <c r="B23" s="9">
        <v>1.1689814814814814E-2</v>
      </c>
      <c r="C23" s="9">
        <v>3.3564814814814811E-3</v>
      </c>
      <c r="D23" s="9">
        <f t="shared" si="22"/>
        <v>6.8011342592592585E-3</v>
      </c>
      <c r="E23" s="10">
        <v>0.58179999999999998</v>
      </c>
      <c r="F23" s="9">
        <f t="shared" si="15"/>
        <v>8.3912037037037028E-4</v>
      </c>
      <c r="G23" s="9">
        <f t="shared" si="16"/>
        <v>9.0681790123456785E-4</v>
      </c>
      <c r="H23" s="9">
        <f t="shared" si="17"/>
        <v>9.3518518518518516E-4</v>
      </c>
      <c r="I23" s="9">
        <f t="shared" si="18"/>
        <v>9.7507301208018041E-4</v>
      </c>
      <c r="J23" s="9">
        <f t="shared" si="19"/>
        <v>9.8567163177670412E-4</v>
      </c>
      <c r="K23" s="9">
        <f t="shared" si="20"/>
        <v>1.0304748877665545E-3</v>
      </c>
      <c r="L23" s="9">
        <f t="shared" si="21"/>
        <v>1.0795451205173427E-3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55</v>
      </c>
      <c r="B24" s="9">
        <v>1.1689814814814814E-2</v>
      </c>
      <c r="C24" s="9">
        <v>3.472222222222222E-3</v>
      </c>
      <c r="D24" s="9">
        <f t="shared" si="22"/>
        <v>6.8011342592592585E-3</v>
      </c>
      <c r="E24" s="10">
        <v>0.58179999999999998</v>
      </c>
      <c r="F24" s="9">
        <f t="shared" si="15"/>
        <v>8.6805555555555551E-4</v>
      </c>
      <c r="G24" s="9">
        <f t="shared" si="16"/>
        <v>9.0681790123456785E-4</v>
      </c>
      <c r="H24" s="9">
        <f t="shared" si="17"/>
        <v>9.3518518518518516E-4</v>
      </c>
      <c r="I24" s="9">
        <f t="shared" si="18"/>
        <v>9.7507301208018041E-4</v>
      </c>
      <c r="J24" s="9">
        <f t="shared" si="19"/>
        <v>9.8567163177670412E-4</v>
      </c>
      <c r="K24" s="9">
        <f t="shared" si="20"/>
        <v>1.0304748877665545E-3</v>
      </c>
      <c r="L24" s="9">
        <f t="shared" si="21"/>
        <v>1.0795451205173427E-3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4"/>
    </row>
    <row r="25" spans="1:23" ht="17.149999999999999" customHeight="1" x14ac:dyDescent="0.35">
      <c r="A25" s="8" t="s">
        <v>33</v>
      </c>
      <c r="B25" s="9">
        <v>1.2268518518518519E-2</v>
      </c>
      <c r="C25" s="9">
        <v>3.645833333333333E-3</v>
      </c>
      <c r="D25" s="9">
        <f t="shared" si="22"/>
        <v>7.1378240740740742E-3</v>
      </c>
      <c r="E25" s="10">
        <v>0.58179999999999998</v>
      </c>
      <c r="F25" s="9">
        <f t="shared" si="15"/>
        <v>9.1145833333333324E-4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4"/>
    </row>
    <row r="26" spans="1:23" ht="17.149999999999999" customHeight="1" x14ac:dyDescent="0.35">
      <c r="A26" s="8" t="s">
        <v>49</v>
      </c>
      <c r="B26" s="9">
        <v>1.2268518518518519E-2</v>
      </c>
      <c r="C26" s="9">
        <v>3.7037037037037034E-3</v>
      </c>
      <c r="D26" s="9">
        <f t="shared" si="22"/>
        <v>7.1378240740740742E-3</v>
      </c>
      <c r="E26" s="10">
        <v>0.58179999999999998</v>
      </c>
      <c r="F26" s="9">
        <f t="shared" si="15"/>
        <v>9.2592592592592585E-4</v>
      </c>
      <c r="G26" s="9">
        <f t="shared" si="16"/>
        <v>9.5170987654320989E-4</v>
      </c>
      <c r="H26" s="9">
        <f t="shared" si="17"/>
        <v>9.8148148148148161E-4</v>
      </c>
      <c r="I26" s="9">
        <f t="shared" si="18"/>
        <v>1.0233439532722685E-3</v>
      </c>
      <c r="J26" s="9">
        <f t="shared" si="19"/>
        <v>1.0344672571121847E-3</v>
      </c>
      <c r="K26" s="9">
        <f t="shared" si="20"/>
        <v>1.0814884960718295E-3</v>
      </c>
      <c r="L26" s="9">
        <f t="shared" si="21"/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4"/>
    </row>
    <row r="27" spans="1:23" ht="17.149999999999999" customHeight="1" x14ac:dyDescent="0.35">
      <c r="A27" s="8" t="s">
        <v>47</v>
      </c>
      <c r="B27" s="9">
        <v>1.2268518518518519E-2</v>
      </c>
      <c r="C27" s="9">
        <v>3.7037037037037034E-3</v>
      </c>
      <c r="D27" s="9">
        <f t="shared" si="22"/>
        <v>7.1378240740740742E-3</v>
      </c>
      <c r="E27" s="10">
        <v>0.58179999999999998</v>
      </c>
      <c r="F27" s="9">
        <f t="shared" si="15"/>
        <v>9.2592592592592585E-4</v>
      </c>
      <c r="G27" s="9">
        <f t="shared" si="16"/>
        <v>9.5170987654320989E-4</v>
      </c>
      <c r="H27" s="9">
        <f t="shared" si="17"/>
        <v>9.8148148148148161E-4</v>
      </c>
      <c r="I27" s="9">
        <f t="shared" si="18"/>
        <v>1.0233439532722685E-3</v>
      </c>
      <c r="J27" s="9">
        <f t="shared" si="19"/>
        <v>1.0344672571121847E-3</v>
      </c>
      <c r="K27" s="9">
        <f t="shared" si="20"/>
        <v>1.0814884960718295E-3</v>
      </c>
      <c r="L27" s="9">
        <f t="shared" si="21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5</v>
      </c>
      <c r="W27" s="104"/>
    </row>
    <row r="28" spans="1:23" ht="17.149999999999999" customHeight="1" x14ac:dyDescent="0.35">
      <c r="A28" s="8" t="s">
        <v>32</v>
      </c>
      <c r="B28" s="9">
        <v>1.238425925925926E-2</v>
      </c>
      <c r="C28" s="9">
        <v>3.5879629629629629E-3</v>
      </c>
      <c r="D28" s="9">
        <f t="shared" si="22"/>
        <v>7.2051620370370368E-3</v>
      </c>
      <c r="E28" s="10">
        <v>0.58179999999999998</v>
      </c>
      <c r="F28" s="9">
        <f t="shared" si="15"/>
        <v>8.9699074074074073E-4</v>
      </c>
      <c r="G28" s="9">
        <f t="shared" si="16"/>
        <v>9.6068827160493821E-4</v>
      </c>
      <c r="H28" s="9">
        <f t="shared" si="17"/>
        <v>9.9074074074074082E-4</v>
      </c>
      <c r="I28" s="9">
        <f t="shared" si="18"/>
        <v>1.0329981415106862E-3</v>
      </c>
      <c r="J28" s="9">
        <f t="shared" si="19"/>
        <v>1.0442263821792807E-3</v>
      </c>
      <c r="K28" s="9">
        <f t="shared" si="20"/>
        <v>1.0916912177328843E-3</v>
      </c>
      <c r="L28" s="9">
        <f t="shared" si="21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</v>
      </c>
      <c r="W28" s="104"/>
    </row>
    <row r="29" spans="1:23" ht="17.149999999999999" customHeight="1" x14ac:dyDescent="0.35">
      <c r="A29" s="8" t="s">
        <v>37</v>
      </c>
      <c r="B29" s="9">
        <v>1.238425925925926E-2</v>
      </c>
      <c r="C29" s="9">
        <v>3.8194444444444443E-3</v>
      </c>
      <c r="D29" s="9">
        <f t="shared" si="22"/>
        <v>7.2051620370370368E-3</v>
      </c>
      <c r="E29" s="10">
        <v>0.58179999999999998</v>
      </c>
      <c r="F29" s="9">
        <f t="shared" si="15"/>
        <v>9.5486111111111108E-4</v>
      </c>
      <c r="G29" s="9">
        <f t="shared" si="16"/>
        <v>9.6068827160493821E-4</v>
      </c>
      <c r="H29" s="9">
        <f t="shared" si="17"/>
        <v>9.9074074074074082E-4</v>
      </c>
      <c r="I29" s="9">
        <f t="shared" si="18"/>
        <v>1.0329981415106862E-3</v>
      </c>
      <c r="J29" s="9">
        <f t="shared" si="19"/>
        <v>1.0442263821792807E-3</v>
      </c>
      <c r="K29" s="9">
        <f t="shared" si="20"/>
        <v>1.0916912177328843E-3</v>
      </c>
      <c r="L29" s="9">
        <f t="shared" si="21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5</v>
      </c>
      <c r="W29" s="104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4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53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219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27</v>
      </c>
      <c r="P34" s="6" t="s">
        <v>133</v>
      </c>
      <c r="Q34" s="6" t="s">
        <v>195</v>
      </c>
      <c r="R34" s="6" t="s">
        <v>196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223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2" si="23">B35*E35</f>
        <v>6.0604166666666662E-3</v>
      </c>
      <c r="E35" s="10">
        <v>0.58179999999999998</v>
      </c>
      <c r="F35" s="9">
        <f t="shared" ref="F35:F43" si="24">C35/4</f>
        <v>7.233796296296297E-4</v>
      </c>
      <c r="G35" s="9">
        <f t="shared" ref="G35:G43" si="25">D35/7.5</f>
        <v>8.0805555555555546E-4</v>
      </c>
      <c r="H35" s="9">
        <f t="shared" ref="H35:H43" si="26">B35/12.5</f>
        <v>8.3333333333333328E-4</v>
      </c>
      <c r="I35" s="9">
        <f t="shared" ref="I35:I43" si="27">G35/0.93</f>
        <v>8.6887694145758646E-4</v>
      </c>
      <c r="J35" s="9">
        <f t="shared" ref="J35:J43" si="28">G35/0.92</f>
        <v>8.7832125603864715E-4</v>
      </c>
      <c r="K35" s="9">
        <f t="shared" ref="K35:K43" si="29">G35/0.88</f>
        <v>9.1824494949494938E-4</v>
      </c>
      <c r="L35" s="9">
        <f t="shared" ref="L35:L43" si="30">G35/0.84</f>
        <v>9.6197089947089938E-4</v>
      </c>
      <c r="M35" s="11">
        <f>Table257111315252333353739414549515359121416182022242628[[#This Row],[Thresh]]</f>
        <v>9.1824494949494938E-4</v>
      </c>
      <c r="N35" s="9">
        <f>Table257111315252333353739414549515359121416182022242628[[#This Row],[T (400)]]*2.5</f>
        <v>2.2956123737373733E-3</v>
      </c>
      <c r="O35" s="24">
        <f>Table257111315252333353739414549515359121416182022242628[[#This Row],[R]]</f>
        <v>7.233796296296297E-4</v>
      </c>
      <c r="P35" s="9">
        <f>Table257111315252333353739414549515359121416182022242628[[#This Row],[400 R]]/2</f>
        <v>3.6168981481481485E-4</v>
      </c>
      <c r="Q35" s="24">
        <f>Table257111315252333353739414549515359121416182022242628[[#This Row],[VO2]]</f>
        <v>8.0805555555555546E-4</v>
      </c>
      <c r="R35" s="9">
        <f>Table257111315252333353739414549515359121416182022242628[[#This Row],[VO2 (400)]]*1.5</f>
        <v>1.2120833333333332E-3</v>
      </c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Table257111315252333353739414549515359121416182022242628[[#This Row],[Thresh]]</f>
        <v>9.1824494949494938E-4</v>
      </c>
      <c r="N36" s="9">
        <f>Table257111315252333353739414549515359121416182022242628[[#This Row],[T (400)]]*2.5</f>
        <v>2.2956123737373733E-3</v>
      </c>
      <c r="O36" s="24">
        <f>Table257111315252333353739414549515359121416182022242628[[#This Row],[R]]</f>
        <v>7.378472222222222E-4</v>
      </c>
      <c r="P36" s="9">
        <f>Table257111315252333353739414549515359121416182022242628[[#This Row],[400 R]]/2</f>
        <v>3.689236111111111E-4</v>
      </c>
      <c r="Q36" s="24">
        <f>Table257111315252333353739414549515359121416182022242628[[#This Row],[VO2]]</f>
        <v>8.0805555555555546E-4</v>
      </c>
      <c r="R36" s="9">
        <f>Table257111315252333353739414549515359121416182022242628[[#This Row],[VO2 (400)]]*1.5</f>
        <v>1.2120833333333332E-3</v>
      </c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Table257111315252333353739414549515359121416182022242628[[#This Row],[Thresh]]</f>
        <v>9.1824494949494938E-4</v>
      </c>
      <c r="N37" s="9">
        <f>Table257111315252333353739414549515359121416182022242628[[#This Row],[T (400)]]*2.5</f>
        <v>2.2956123737373733E-3</v>
      </c>
      <c r="O37" s="24">
        <f>Table257111315252333353739414549515359121416182022242628[[#This Row],[R]]</f>
        <v>7.4363425925925931E-4</v>
      </c>
      <c r="P37" s="9">
        <f>Table257111315252333353739414549515359121416182022242628[[#This Row],[400 R]]/2</f>
        <v>3.7181712962962966E-4</v>
      </c>
      <c r="Q37" s="24">
        <f>Table257111315252333353739414549515359121416182022242628[[#This Row],[VO2]]</f>
        <v>8.0805555555555546E-4</v>
      </c>
      <c r="R37" s="9">
        <f>Table257111315252333353739414549515359121416182022242628[[#This Row],[VO2 (400)]]*1.5</f>
        <v>1.2120833333333332E-3</v>
      </c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Table257111315252333353739414549515359121416182022242628[[#This Row],[Thresh]]</f>
        <v>9.5905583613916951E-4</v>
      </c>
      <c r="N38" s="9">
        <f>Table257111315252333353739414549515359121416182022242628[[#This Row],[T (400)]]*2.5</f>
        <v>2.3976395903479238E-3</v>
      </c>
      <c r="O38" s="24">
        <f>Table257111315252333353739414549515359121416182022242628[[#This Row],[R]]</f>
        <v>7.5231481481481471E-4</v>
      </c>
      <c r="P38" s="9">
        <f>Table257111315252333353739414549515359121416182022242628[[#This Row],[400 R]]/2</f>
        <v>3.7615740740740735E-4</v>
      </c>
      <c r="Q38" s="24">
        <f>Table257111315252333353739414549515359121416182022242628[[#This Row],[VO2]]</f>
        <v>8.4396913580246917E-4</v>
      </c>
      <c r="R38" s="9">
        <f>Table257111315252333353739414549515359121416182022242628[[#This Row],[VO2 (400)]]*1.5</f>
        <v>1.2659537037037038E-3</v>
      </c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Table257111315252333353739414549515359121416182022242628[[#This Row],[Thresh]]</f>
        <v>9.5905583613916951E-4</v>
      </c>
      <c r="N39" s="9">
        <f>Table257111315252333353739414549515359121416182022242628[[#This Row],[T (400)]]*2.5</f>
        <v>2.3976395903479238E-3</v>
      </c>
      <c r="O39" s="24">
        <f>Table257111315252333353739414549515359121416182022242628[[#This Row],[R]]</f>
        <v>7.5231481481481471E-4</v>
      </c>
      <c r="P39" s="9">
        <f>Table257111315252333353739414549515359121416182022242628[[#This Row],[400 R]]/2</f>
        <v>3.7615740740740735E-4</v>
      </c>
      <c r="Q39" s="24">
        <f>Table257111315252333353739414549515359121416182022242628[[#This Row],[VO2]]</f>
        <v>8.4396913580246917E-4</v>
      </c>
      <c r="R39" s="9">
        <f>Table257111315252333353739414549515359121416182022242628[[#This Row],[VO2 (400)]]*1.5</f>
        <v>1.2659537037037038E-3</v>
      </c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Table257111315252333353739414549515359121416182022242628[[#This Row],[Thresh]]</f>
        <v>9.8966400112233477E-4</v>
      </c>
      <c r="N40" s="9">
        <f>Table257111315252333353739414549515359121416182022242628[[#This Row],[T (400)]]*2.5</f>
        <v>2.4741600028058367E-3</v>
      </c>
      <c r="O40" s="24">
        <f>Table257111315252333353739414549515359121416182022242628[[#This Row],[R]]</f>
        <v>7.8124999999999993E-4</v>
      </c>
      <c r="P40" s="9">
        <f>Table257111315252333353739414549515359121416182022242628[[#This Row],[400 R]]/2</f>
        <v>3.9062499999999997E-4</v>
      </c>
      <c r="Q40" s="24">
        <f>Table257111315252333353739414549515359121416182022242628[[#This Row],[VO2]]</f>
        <v>8.7090432098765457E-4</v>
      </c>
      <c r="R40" s="9">
        <f>Table257111315252333353739414549515359121416182022242628[[#This Row],[VO2 (400)]]*1.5</f>
        <v>1.3063564814814819E-3</v>
      </c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Table257111315252333353739414549515359121416182022242628[[#This Row],[Thresh]]</f>
        <v>9.8966400112233477E-4</v>
      </c>
      <c r="N41" s="9">
        <f>Table257111315252333353739414549515359121416182022242628[[#This Row],[T (400)]]*2.5</f>
        <v>2.4741600028058367E-3</v>
      </c>
      <c r="O41" s="24">
        <f>Table257111315252333353739414549515359121416182022242628[[#This Row],[R]]</f>
        <v>7.8124999999999993E-4</v>
      </c>
      <c r="P41" s="9">
        <f>Table257111315252333353739414549515359121416182022242628[[#This Row],[400 R]]/2</f>
        <v>3.9062499999999997E-4</v>
      </c>
      <c r="Q41" s="24">
        <f>Table257111315252333353739414549515359121416182022242628[[#This Row],[VO2]]</f>
        <v>8.7090432098765457E-4</v>
      </c>
      <c r="R41" s="9">
        <f>Table257111315252333353739414549515359121416182022242628[[#This Row],[VO2 (400)]]*1.5</f>
        <v>1.3063564814814819E-3</v>
      </c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112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Table257111315252333353739414549515359121416182022242628[[#This Row],[Thresh]]</f>
        <v>1.0100694444444445E-3</v>
      </c>
      <c r="N42" s="9">
        <f>Table257111315252333353739414549515359121416182022242628[[#This Row],[T (400)]]*2.5</f>
        <v>2.5251736111111113E-3</v>
      </c>
      <c r="O42" s="24">
        <f>Table257111315252333353739414549515359121416182022242628[[#This Row],[R]]</f>
        <v>7.6678240740740743E-4</v>
      </c>
      <c r="P42" s="9">
        <f>Table257111315252333353739414549515359121416182022242628[[#This Row],[400 R]]/2</f>
        <v>3.8339120370370371E-4</v>
      </c>
      <c r="Q42" s="24">
        <f>Table257111315252333353739414549515359121416182022242628[[#This Row],[VO2]]</f>
        <v>8.888611111111111E-4</v>
      </c>
      <c r="R42" s="9">
        <f>Table257111315252333353739414549515359121416182022242628[[#This Row],[VO2 (400)]]*1.5</f>
        <v>1.3332916666666667E-3</v>
      </c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/>
      <c r="B43" s="9"/>
      <c r="C43" s="9"/>
      <c r="D43" s="9"/>
      <c r="E43" s="10"/>
      <c r="F43" s="9">
        <f t="shared" si="24"/>
        <v>0</v>
      </c>
      <c r="G43" s="9">
        <f t="shared" si="25"/>
        <v>0</v>
      </c>
      <c r="H43" s="9">
        <f t="shared" si="26"/>
        <v>0</v>
      </c>
      <c r="I43" s="9">
        <f t="shared" si="27"/>
        <v>0</v>
      </c>
      <c r="J43" s="9">
        <f t="shared" si="28"/>
        <v>0</v>
      </c>
      <c r="K43" s="9">
        <f t="shared" si="29"/>
        <v>0</v>
      </c>
      <c r="L43" s="9">
        <f t="shared" si="30"/>
        <v>0</v>
      </c>
      <c r="M43" s="11"/>
      <c r="P43" s="25"/>
      <c r="Q43" s="25"/>
      <c r="R43" s="25"/>
      <c r="S43" s="25"/>
      <c r="V43" s="23"/>
      <c r="W43" s="104" t="s">
        <v>224</v>
      </c>
    </row>
    <row r="44" spans="1:23" ht="17.149999999999999" customHeight="1" x14ac:dyDescent="0.35">
      <c r="A44" s="14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30" t="s">
        <v>12</v>
      </c>
      <c r="N44" s="15" t="s">
        <v>58</v>
      </c>
      <c r="O44" s="15" t="s">
        <v>27</v>
      </c>
      <c r="P44" s="15" t="s">
        <v>133</v>
      </c>
      <c r="Q44" s="15" t="s">
        <v>195</v>
      </c>
      <c r="R44" s="15" t="s">
        <v>196</v>
      </c>
      <c r="S44" s="15"/>
      <c r="T44" s="15"/>
      <c r="U44" s="15"/>
      <c r="V44" s="17"/>
      <c r="W44" s="104"/>
    </row>
    <row r="45" spans="1:23" ht="17.149999999999999" customHeight="1" x14ac:dyDescent="0.35">
      <c r="A45" s="8" t="s">
        <v>81</v>
      </c>
      <c r="B45" s="9">
        <v>1.0763888888888891E-2</v>
      </c>
      <c r="C45" s="9">
        <v>3.0092592592592593E-3</v>
      </c>
      <c r="D45" s="9">
        <f t="shared" ref="D45:D54" si="31">B45*E45</f>
        <v>6.2624305555555567E-3</v>
      </c>
      <c r="E45" s="10">
        <v>0.58179999999999998</v>
      </c>
      <c r="F45" s="9">
        <f t="shared" ref="F45:F56" si="32">C45/4</f>
        <v>7.5231481481481482E-4</v>
      </c>
      <c r="G45" s="9">
        <f t="shared" ref="G45:G56" si="33">D45/7.5</f>
        <v>8.3499074074074085E-4</v>
      </c>
      <c r="H45" s="9">
        <f t="shared" ref="H45:H56" si="34">B45/12.5</f>
        <v>8.6111111111111121E-4</v>
      </c>
      <c r="I45" s="9">
        <f t="shared" ref="I45:I56" si="35">G45/0.93</f>
        <v>8.9783950617283953E-4</v>
      </c>
      <c r="J45" s="9">
        <f t="shared" ref="J45:J56" si="36">G45/0.92</f>
        <v>9.0759863123993567E-4</v>
      </c>
      <c r="K45" s="9">
        <f t="shared" ref="K45:K56" si="37">G45/0.88</f>
        <v>9.4885311447811464E-4</v>
      </c>
      <c r="L45" s="9">
        <f t="shared" ref="L45:L56" si="38">G45/0.84</f>
        <v>9.9403659611992969E-4</v>
      </c>
      <c r="M45" s="11">
        <f>Table257111315252333353739414549515359121416182022242628[[#This Row],[Thresh]]</f>
        <v>9.4885311447811464E-4</v>
      </c>
      <c r="N45" s="9">
        <f>Table257111315252333353739414549515359121416182022242628[[#This Row],[T (400)]]*2.5</f>
        <v>2.3721327861952867E-3</v>
      </c>
      <c r="O45" s="24">
        <f>Table257111315252333353739414549515359121416182022242628[[#This Row],[R]]</f>
        <v>7.5231481481481482E-4</v>
      </c>
      <c r="P45" s="9">
        <f>Table257111315252333353739414549515359121416182022242628[[#This Row],[400 R]]/2</f>
        <v>3.7615740740740741E-4</v>
      </c>
      <c r="Q45" s="24">
        <f>Table257111315252333353739414549515359121416182022242628[[#This Row],[VO2]]</f>
        <v>8.3499074074074085E-4</v>
      </c>
      <c r="R45" s="9">
        <f>Table257111315252333353739414549515359121416182022242628[[#This Row],[VO2 (400)]]*1.5</f>
        <v>1.2524861111111113E-3</v>
      </c>
      <c r="S45" s="12"/>
      <c r="T45" s="25"/>
      <c r="V45" s="23" t="s">
        <v>30</v>
      </c>
      <c r="W45" s="104"/>
    </row>
    <row r="46" spans="1:23" ht="17.149999999999999" customHeight="1" x14ac:dyDescent="0.35">
      <c r="A46" s="8" t="s">
        <v>86</v>
      </c>
      <c r="B46" s="9">
        <v>1.087962962962963E-2</v>
      </c>
      <c r="C46" s="9">
        <v>3.1249999999999997E-3</v>
      </c>
      <c r="D46" s="9">
        <f t="shared" si="31"/>
        <v>6.3297685185185184E-3</v>
      </c>
      <c r="E46" s="10">
        <v>0.58179999999999998</v>
      </c>
      <c r="F46" s="9">
        <f t="shared" si="32"/>
        <v>7.8124999999999993E-4</v>
      </c>
      <c r="G46" s="9">
        <f t="shared" si="33"/>
        <v>8.4396913580246917E-4</v>
      </c>
      <c r="H46" s="9">
        <f t="shared" si="34"/>
        <v>8.7037037037037042E-4</v>
      </c>
      <c r="I46" s="9">
        <f t="shared" si="35"/>
        <v>9.0749369441125711E-4</v>
      </c>
      <c r="J46" s="9">
        <f t="shared" si="36"/>
        <v>9.173577563070317E-4</v>
      </c>
      <c r="K46" s="9">
        <f t="shared" si="37"/>
        <v>9.5905583613916951E-4</v>
      </c>
      <c r="L46" s="9">
        <f t="shared" si="38"/>
        <v>1.0047251616696062E-3</v>
      </c>
      <c r="M46" s="11">
        <f>Table257111315252333353739414549515359121416182022242628[[#This Row],[Thresh]]</f>
        <v>9.5905583613916951E-4</v>
      </c>
      <c r="N46" s="9">
        <f>Table257111315252333353739414549515359121416182022242628[[#This Row],[T (400)]]*2.5</f>
        <v>2.3976395903479238E-3</v>
      </c>
      <c r="O46" s="24">
        <f>Table257111315252333353739414549515359121416182022242628[[#This Row],[R]]</f>
        <v>7.8124999999999993E-4</v>
      </c>
      <c r="P46" s="9">
        <f>Table257111315252333353739414549515359121416182022242628[[#This Row],[400 R]]/2</f>
        <v>3.9062499999999997E-4</v>
      </c>
      <c r="Q46" s="24">
        <f>Table257111315252333353739414549515359121416182022242628[[#This Row],[VO2]]</f>
        <v>8.4396913580246917E-4</v>
      </c>
      <c r="R46" s="9">
        <f>Table257111315252333353739414549515359121416182022242628[[#This Row],[VO2 (400)]]*1.5</f>
        <v>1.2659537037037038E-3</v>
      </c>
      <c r="S46" s="24"/>
      <c r="T46" s="24"/>
      <c r="U46" s="24"/>
      <c r="V46" s="23" t="s">
        <v>30</v>
      </c>
      <c r="W46" s="104"/>
    </row>
    <row r="47" spans="1:23" ht="17.149999999999999" customHeight="1" x14ac:dyDescent="0.35">
      <c r="A47" s="8" t="s">
        <v>75</v>
      </c>
      <c r="B47" s="9">
        <v>1.087962962962963E-2</v>
      </c>
      <c r="C47" s="9">
        <v>2.9513888888888888E-3</v>
      </c>
      <c r="D47" s="9">
        <f t="shared" si="31"/>
        <v>6.3297685185185184E-3</v>
      </c>
      <c r="E47" s="10">
        <v>0.58179999999999998</v>
      </c>
      <c r="F47" s="9">
        <f t="shared" si="32"/>
        <v>7.378472222222222E-4</v>
      </c>
      <c r="G47" s="9">
        <f t="shared" si="33"/>
        <v>8.4396913580246917E-4</v>
      </c>
      <c r="H47" s="9">
        <f t="shared" si="34"/>
        <v>8.7037037037037042E-4</v>
      </c>
      <c r="I47" s="9">
        <f t="shared" si="35"/>
        <v>9.0749369441125711E-4</v>
      </c>
      <c r="J47" s="9">
        <f t="shared" si="36"/>
        <v>9.173577563070317E-4</v>
      </c>
      <c r="K47" s="9">
        <f t="shared" si="37"/>
        <v>9.5905583613916951E-4</v>
      </c>
      <c r="L47" s="9">
        <f t="shared" si="38"/>
        <v>1.0047251616696062E-3</v>
      </c>
      <c r="M47" s="11">
        <f>Table257111315252333353739414549515359121416182022242628[[#This Row],[Thresh]]</f>
        <v>9.5905583613916951E-4</v>
      </c>
      <c r="N47" s="9">
        <f>Table257111315252333353739414549515359121416182022242628[[#This Row],[T (400)]]*2.5</f>
        <v>2.3976395903479238E-3</v>
      </c>
      <c r="O47" s="24">
        <f>Table257111315252333353739414549515359121416182022242628[[#This Row],[R]]</f>
        <v>7.378472222222222E-4</v>
      </c>
      <c r="P47" s="9">
        <f>Table257111315252333353739414549515359121416182022242628[[#This Row],[400 R]]/2</f>
        <v>3.689236111111111E-4</v>
      </c>
      <c r="Q47" s="24">
        <f>Table257111315252333353739414549515359121416182022242628[[#This Row],[VO2]]</f>
        <v>8.4396913580246917E-4</v>
      </c>
      <c r="R47" s="9">
        <f>Table257111315252333353739414549515359121416182022242628[[#This Row],[VO2 (400)]]*1.5</f>
        <v>1.2659537037037038E-3</v>
      </c>
      <c r="S47" s="12"/>
      <c r="T47" s="25"/>
      <c r="U47" s="9"/>
      <c r="V47" s="23" t="s">
        <v>30</v>
      </c>
      <c r="W47" s="104"/>
    </row>
    <row r="48" spans="1:23" ht="17.149999999999999" customHeight="1" x14ac:dyDescent="0.35">
      <c r="A48" s="8" t="s">
        <v>83</v>
      </c>
      <c r="B48" s="9">
        <v>1.0995370370370371E-2</v>
      </c>
      <c r="C48" s="9">
        <v>3.0092592592592588E-3</v>
      </c>
      <c r="D48" s="9">
        <f t="shared" si="31"/>
        <v>6.397106481481481E-3</v>
      </c>
      <c r="E48" s="10">
        <v>0.58179999999999998</v>
      </c>
      <c r="F48" s="9">
        <f t="shared" si="32"/>
        <v>7.5231481481481471E-4</v>
      </c>
      <c r="G48" s="9">
        <f t="shared" si="33"/>
        <v>8.5294753086419749E-4</v>
      </c>
      <c r="H48" s="9">
        <f t="shared" si="34"/>
        <v>8.7962962962962962E-4</v>
      </c>
      <c r="I48" s="9">
        <f t="shared" si="35"/>
        <v>9.171478826496747E-4</v>
      </c>
      <c r="J48" s="9">
        <f t="shared" si="36"/>
        <v>9.2711688137412762E-4</v>
      </c>
      <c r="K48" s="9">
        <f t="shared" si="37"/>
        <v>9.6925855780022438E-4</v>
      </c>
      <c r="L48" s="9">
        <f t="shared" si="38"/>
        <v>1.0154137272192828E-3</v>
      </c>
      <c r="M48" s="11">
        <f>Table257111315252333353739414549515359121416182022242628[[#This Row],[Thresh]]</f>
        <v>9.6925855780022438E-4</v>
      </c>
      <c r="N48" s="9">
        <f>Table257111315252333353739414549515359121416182022242628[[#This Row],[T (400)]]*2.5</f>
        <v>2.4231463945005608E-3</v>
      </c>
      <c r="O48" s="24">
        <f>Table257111315252333353739414549515359121416182022242628[[#This Row],[R]]</f>
        <v>7.5231481481481471E-4</v>
      </c>
      <c r="P48" s="9">
        <f>Table257111315252333353739414549515359121416182022242628[[#This Row],[400 R]]/2</f>
        <v>3.7615740740740735E-4</v>
      </c>
      <c r="Q48" s="24">
        <f>Table257111315252333353739414549515359121416182022242628[[#This Row],[VO2]]</f>
        <v>8.5294753086419749E-4</v>
      </c>
      <c r="R48" s="9">
        <f>Table257111315252333353739414549515359121416182022242628[[#This Row],[VO2 (400)]]*1.5</f>
        <v>1.2794212962962963E-3</v>
      </c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68</v>
      </c>
      <c r="B49" s="9">
        <v>1.1226851851851854E-2</v>
      </c>
      <c r="C49" s="9">
        <v>3.1828703703703702E-3</v>
      </c>
      <c r="D49" s="9">
        <f t="shared" si="31"/>
        <v>6.5317824074074089E-3</v>
      </c>
      <c r="E49" s="10">
        <v>0.58179999999999998</v>
      </c>
      <c r="F49" s="9">
        <f t="shared" si="32"/>
        <v>7.9571759259259255E-4</v>
      </c>
      <c r="G49" s="9">
        <f t="shared" si="33"/>
        <v>8.7090432098765457E-4</v>
      </c>
      <c r="H49" s="9">
        <f t="shared" si="34"/>
        <v>8.9814814814814835E-4</v>
      </c>
      <c r="I49" s="9">
        <f t="shared" si="35"/>
        <v>9.3645625912651019E-4</v>
      </c>
      <c r="J49" s="9">
        <f t="shared" si="36"/>
        <v>9.4663513150832011E-4</v>
      </c>
      <c r="K49" s="9">
        <f t="shared" si="37"/>
        <v>9.8966400112233477E-4</v>
      </c>
      <c r="L49" s="9">
        <f t="shared" si="38"/>
        <v>1.0367908583186363E-3</v>
      </c>
      <c r="M49" s="11">
        <f>Table257111315252333353739414549515359121416182022242628[[#This Row],[Thresh]]</f>
        <v>9.8966400112233477E-4</v>
      </c>
      <c r="N49" s="9">
        <f>Table257111315252333353739414549515359121416182022242628[[#This Row],[T (400)]]*2.5</f>
        <v>2.4741600028058367E-3</v>
      </c>
      <c r="O49" s="24">
        <f>Table257111315252333353739414549515359121416182022242628[[#This Row],[R]]</f>
        <v>7.9571759259259255E-4</v>
      </c>
      <c r="P49" s="9">
        <f>Table257111315252333353739414549515359121416182022242628[[#This Row],[400 R]]/2</f>
        <v>3.9785879629629627E-4</v>
      </c>
      <c r="Q49" s="24">
        <f>Table257111315252333353739414549515359121416182022242628[[#This Row],[VO2]]</f>
        <v>8.7090432098765457E-4</v>
      </c>
      <c r="R49" s="9">
        <f>Table257111315252333353739414549515359121416182022242628[[#This Row],[VO2 (400)]]*1.5</f>
        <v>1.3063564814814819E-3</v>
      </c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113</v>
      </c>
      <c r="B50" s="9">
        <v>1.1805555555555555E-2</v>
      </c>
      <c r="C50" s="9">
        <v>3.414351851851852E-3</v>
      </c>
      <c r="D50" s="9">
        <f t="shared" si="31"/>
        <v>6.868472222222222E-3</v>
      </c>
      <c r="E50" s="10">
        <v>0.58179999999999998</v>
      </c>
      <c r="F50" s="9">
        <f t="shared" si="32"/>
        <v>8.53587962962963E-4</v>
      </c>
      <c r="G50" s="9">
        <f t="shared" si="33"/>
        <v>9.1579629629629628E-4</v>
      </c>
      <c r="H50" s="9">
        <f t="shared" si="34"/>
        <v>9.4444444444444437E-4</v>
      </c>
      <c r="I50" s="9">
        <f t="shared" si="35"/>
        <v>9.8472720031859799E-4</v>
      </c>
      <c r="J50" s="9">
        <f t="shared" si="36"/>
        <v>9.9543075684380036E-4</v>
      </c>
      <c r="K50" s="9">
        <f t="shared" si="37"/>
        <v>1.0406776094276093E-3</v>
      </c>
      <c r="L50" s="9">
        <f t="shared" si="38"/>
        <v>1.0902336860670195E-3</v>
      </c>
      <c r="M50" s="11">
        <f>Table257111315252333353739414549515359121416182022242628[[#This Row],[Thresh]]</f>
        <v>1.0406776094276093E-3</v>
      </c>
      <c r="N50" s="9">
        <f>Table257111315252333353739414549515359121416182022242628[[#This Row],[T (400)]]*2.5</f>
        <v>2.6016940235690234E-3</v>
      </c>
      <c r="O50" s="24">
        <f>Table257111315252333353739414549515359121416182022242628[[#This Row],[R]]</f>
        <v>8.53587962962963E-4</v>
      </c>
      <c r="P50" s="9">
        <f>Table257111315252333353739414549515359121416182022242628[[#This Row],[400 R]]/2</f>
        <v>4.267939814814815E-4</v>
      </c>
      <c r="Q50" s="24">
        <f>Table257111315252333353739414549515359121416182022242628[[#This Row],[VO2]]</f>
        <v>9.1579629629629628E-4</v>
      </c>
      <c r="R50" s="9">
        <f>Table257111315252333353739414549515359121416182022242628[[#This Row],[VO2 (400)]]*1.5</f>
        <v>1.3736944444444443E-3</v>
      </c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84</v>
      </c>
      <c r="B51" s="9">
        <v>1.064814814814815E-2</v>
      </c>
      <c r="C51" s="9">
        <v>3.0671296296296297E-3</v>
      </c>
      <c r="D51" s="9">
        <f t="shared" si="31"/>
        <v>6.1950925925925932E-3</v>
      </c>
      <c r="E51" s="10">
        <v>0.58179999999999998</v>
      </c>
      <c r="F51" s="9">
        <f t="shared" si="32"/>
        <v>7.6678240740740743E-4</v>
      </c>
      <c r="G51" s="9">
        <f t="shared" si="33"/>
        <v>8.2601234567901242E-4</v>
      </c>
      <c r="H51" s="9">
        <f t="shared" si="34"/>
        <v>8.5185185185185201E-4</v>
      </c>
      <c r="I51" s="9">
        <f t="shared" si="35"/>
        <v>8.8818531793442195E-4</v>
      </c>
      <c r="J51" s="9">
        <f t="shared" si="36"/>
        <v>8.9783950617283953E-4</v>
      </c>
      <c r="K51" s="9">
        <f t="shared" si="37"/>
        <v>9.3865039281705955E-4</v>
      </c>
      <c r="L51" s="9">
        <f t="shared" si="38"/>
        <v>9.8334803057025292E-4</v>
      </c>
      <c r="M51" s="11">
        <f>Table257111315252333353739414549515359121416182022242628[[#This Row],[Thresh]]</f>
        <v>9.3865039281705955E-4</v>
      </c>
      <c r="N51" s="9">
        <f>Table257111315252333353739414549515359121416182022242628[[#This Row],[T (400)]]*2.5</f>
        <v>2.3466259820426488E-3</v>
      </c>
      <c r="O51" s="24">
        <f>Table257111315252333353739414549515359121416182022242628[[#This Row],[R]]</f>
        <v>7.6678240740740743E-4</v>
      </c>
      <c r="P51" s="9">
        <f>Table257111315252333353739414549515359121416182022242628[[#This Row],[400 R]]/2</f>
        <v>3.8339120370370371E-4</v>
      </c>
      <c r="Q51" s="24">
        <f>Table257111315252333353739414549515359121416182022242628[[#This Row],[VO2]]</f>
        <v>8.2601234567901242E-4</v>
      </c>
      <c r="R51" s="9">
        <f>Table257111315252333353739414549515359121416182022242628[[#This Row],[VO2 (400)]]*1.5</f>
        <v>1.2390185185185186E-3</v>
      </c>
      <c r="S51" s="12"/>
      <c r="T51" s="25"/>
      <c r="V51" s="23" t="s">
        <v>30</v>
      </c>
      <c r="W51" s="104"/>
    </row>
    <row r="52" spans="1:23" ht="17.149999999999999" customHeight="1" x14ac:dyDescent="0.35">
      <c r="A52" s="8" t="s">
        <v>92</v>
      </c>
      <c r="B52" s="9">
        <v>1.1458333333333334E-2</v>
      </c>
      <c r="C52" s="9">
        <v>3.2407407407407406E-3</v>
      </c>
      <c r="D52" s="9">
        <f t="shared" si="31"/>
        <v>6.6664583333333333E-3</v>
      </c>
      <c r="E52" s="10">
        <v>0.58179999999999998</v>
      </c>
      <c r="F52" s="9">
        <f t="shared" si="32"/>
        <v>8.1018518518518516E-4</v>
      </c>
      <c r="G52" s="9">
        <f t="shared" si="33"/>
        <v>8.888611111111111E-4</v>
      </c>
      <c r="H52" s="9">
        <f t="shared" si="34"/>
        <v>9.1666666666666676E-4</v>
      </c>
      <c r="I52" s="9">
        <f t="shared" si="35"/>
        <v>9.5576463560334524E-4</v>
      </c>
      <c r="J52" s="9">
        <f t="shared" si="36"/>
        <v>9.6615338164251206E-4</v>
      </c>
      <c r="K52" s="9">
        <f t="shared" si="37"/>
        <v>1.0100694444444445E-3</v>
      </c>
      <c r="L52" s="9">
        <f t="shared" si="38"/>
        <v>1.0581679894179894E-3</v>
      </c>
      <c r="M52" s="11">
        <f>Table257111315252333353739414549515359121416182022242628[[#This Row],[Thresh]]</f>
        <v>1.0100694444444445E-3</v>
      </c>
      <c r="N52" s="9">
        <f>Table257111315252333353739414549515359121416182022242628[[#This Row],[T (400)]]*2.5</f>
        <v>2.5251736111111113E-3</v>
      </c>
      <c r="O52" s="24">
        <f>Table257111315252333353739414549515359121416182022242628[[#This Row],[R]]</f>
        <v>8.1018518518518516E-4</v>
      </c>
      <c r="P52" s="9">
        <f>Table257111315252333353739414549515359121416182022242628[[#This Row],[400 R]]/2</f>
        <v>4.0509259259259258E-4</v>
      </c>
      <c r="Q52" s="24">
        <f>Table257111315252333353739414549515359121416182022242628[[#This Row],[VO2]]</f>
        <v>8.888611111111111E-4</v>
      </c>
      <c r="R52" s="9">
        <f>Table257111315252333353739414549515359121416182022242628[[#This Row],[VO2 (400)]]*1.5</f>
        <v>1.3332916666666667E-3</v>
      </c>
      <c r="S52" s="12"/>
      <c r="T52" s="25"/>
      <c r="V52" s="23" t="s">
        <v>30</v>
      </c>
      <c r="W52" s="104" t="s">
        <v>225</v>
      </c>
    </row>
    <row r="53" spans="1:23" ht="17.149999999999999" customHeight="1" x14ac:dyDescent="0.35">
      <c r="A53" s="8" t="s">
        <v>91</v>
      </c>
      <c r="B53" s="9">
        <v>1.1458333333333334E-2</v>
      </c>
      <c r="C53" s="9">
        <v>3.2407407407407406E-3</v>
      </c>
      <c r="D53" s="9">
        <f t="shared" si="31"/>
        <v>6.6664583333333333E-3</v>
      </c>
      <c r="E53" s="10">
        <v>0.58179999999999998</v>
      </c>
      <c r="F53" s="9">
        <f t="shared" si="32"/>
        <v>8.1018518518518516E-4</v>
      </c>
      <c r="G53" s="9">
        <f t="shared" si="33"/>
        <v>8.888611111111111E-4</v>
      </c>
      <c r="H53" s="9">
        <f t="shared" si="34"/>
        <v>9.1666666666666676E-4</v>
      </c>
      <c r="I53" s="9">
        <f t="shared" si="35"/>
        <v>9.5576463560334524E-4</v>
      </c>
      <c r="J53" s="9">
        <f t="shared" si="36"/>
        <v>9.6615338164251206E-4</v>
      </c>
      <c r="K53" s="9">
        <f t="shared" si="37"/>
        <v>1.0100694444444445E-3</v>
      </c>
      <c r="L53" s="9">
        <f t="shared" si="38"/>
        <v>1.0581679894179894E-3</v>
      </c>
      <c r="M53" s="11">
        <f>Table257111315252333353739414549515359121416182022242628[[#This Row],[Thresh]]</f>
        <v>1.0100694444444445E-3</v>
      </c>
      <c r="N53" s="9">
        <f>Table257111315252333353739414549515359121416182022242628[[#This Row],[T (400)]]*2.5</f>
        <v>2.5251736111111113E-3</v>
      </c>
      <c r="O53" s="24">
        <f>Table257111315252333353739414549515359121416182022242628[[#This Row],[R]]</f>
        <v>8.1018518518518516E-4</v>
      </c>
      <c r="P53" s="9">
        <f>Table257111315252333353739414549515359121416182022242628[[#This Row],[400 R]]/2</f>
        <v>4.0509259259259258E-4</v>
      </c>
      <c r="Q53" s="24">
        <f>Table257111315252333353739414549515359121416182022242628[[#This Row],[VO2]]</f>
        <v>8.888611111111111E-4</v>
      </c>
      <c r="R53" s="9">
        <f>Table257111315252333353739414549515359121416182022242628[[#This Row],[VO2 (400)]]*1.5</f>
        <v>1.3332916666666667E-3</v>
      </c>
      <c r="S53" s="12"/>
      <c r="V53" s="23" t="s">
        <v>30</v>
      </c>
      <c r="W53" s="104"/>
    </row>
    <row r="54" spans="1:23" ht="17.149999999999999" customHeight="1" x14ac:dyDescent="0.35">
      <c r="A54" s="8" t="s">
        <v>93</v>
      </c>
      <c r="B54" s="9">
        <v>1.1921296296296298E-2</v>
      </c>
      <c r="C54" s="9">
        <v>3.414351851851852E-3</v>
      </c>
      <c r="D54" s="9">
        <f t="shared" si="31"/>
        <v>6.9358101851851863E-3</v>
      </c>
      <c r="E54" s="10">
        <v>0.58179999999999998</v>
      </c>
      <c r="F54" s="9">
        <f t="shared" si="32"/>
        <v>8.53587962962963E-4</v>
      </c>
      <c r="G54" s="9">
        <f t="shared" si="33"/>
        <v>9.2477469135802482E-4</v>
      </c>
      <c r="H54" s="9">
        <f t="shared" si="34"/>
        <v>9.5370370370370379E-4</v>
      </c>
      <c r="I54" s="9">
        <f t="shared" si="35"/>
        <v>9.943813885570159E-4</v>
      </c>
      <c r="J54" s="9">
        <f t="shared" si="36"/>
        <v>1.0051898819108964E-3</v>
      </c>
      <c r="K54" s="9">
        <f t="shared" si="37"/>
        <v>1.0508803310886646E-3</v>
      </c>
      <c r="L54" s="9">
        <f t="shared" si="38"/>
        <v>1.1009222516166963E-3</v>
      </c>
      <c r="M54" s="11">
        <f>Table257111315252333353739414549515359121416182022242628[[#This Row],[Thresh]]</f>
        <v>1.0508803310886646E-3</v>
      </c>
      <c r="N54" s="9">
        <f>Table257111315252333353739414549515359121416182022242628[[#This Row],[T (400)]]*2.5</f>
        <v>2.6272008277216617E-3</v>
      </c>
      <c r="O54" s="24">
        <f>Table257111315252333353739414549515359121416182022242628[[#This Row],[R]]</f>
        <v>8.53587962962963E-4</v>
      </c>
      <c r="P54" s="9">
        <f>Table257111315252333353739414549515359121416182022242628[[#This Row],[400 R]]/2</f>
        <v>4.267939814814815E-4</v>
      </c>
      <c r="Q54" s="24">
        <f>Table257111315252333353739414549515359121416182022242628[[#This Row],[VO2]]</f>
        <v>9.2477469135802482E-4</v>
      </c>
      <c r="R54" s="9">
        <f>Table257111315252333353739414549515359121416182022242628[[#This Row],[VO2 (400)]]*1.5</f>
        <v>1.3871620370370372E-3</v>
      </c>
      <c r="S54" s="12"/>
      <c r="T54" s="25"/>
      <c r="V54" s="23" t="s">
        <v>30</v>
      </c>
      <c r="W54" s="104"/>
    </row>
    <row r="55" spans="1:23" ht="17.149999999999999" customHeight="1" x14ac:dyDescent="0.35">
      <c r="A55" s="8"/>
      <c r="B55" s="9"/>
      <c r="C55" s="9"/>
      <c r="D55" s="9"/>
      <c r="E55" s="10"/>
      <c r="F55" s="9">
        <f t="shared" si="32"/>
        <v>0</v>
      </c>
      <c r="G55" s="9">
        <f t="shared" si="33"/>
        <v>0</v>
      </c>
      <c r="H55" s="9">
        <f t="shared" si="34"/>
        <v>0</v>
      </c>
      <c r="I55" s="9">
        <f t="shared" si="35"/>
        <v>0</v>
      </c>
      <c r="J55" s="9">
        <f t="shared" si="36"/>
        <v>0</v>
      </c>
      <c r="K55" s="9">
        <f t="shared" si="37"/>
        <v>0</v>
      </c>
      <c r="L55" s="9">
        <f t="shared" si="38"/>
        <v>0</v>
      </c>
      <c r="M55" s="11"/>
      <c r="P55" s="25"/>
      <c r="Q55" s="25"/>
      <c r="R55" s="25"/>
      <c r="S55" s="25"/>
      <c r="V55" s="23"/>
      <c r="W55" s="104"/>
    </row>
    <row r="56" spans="1:23" ht="17.149999999999999" customHeight="1" x14ac:dyDescent="0.35">
      <c r="A56" s="8"/>
      <c r="B56" s="9"/>
      <c r="C56" s="9"/>
      <c r="D56" s="9"/>
      <c r="E56" s="10"/>
      <c r="F56" s="9">
        <f t="shared" si="32"/>
        <v>0</v>
      </c>
      <c r="G56" s="9">
        <f t="shared" si="33"/>
        <v>0</v>
      </c>
      <c r="H56" s="9">
        <f t="shared" si="34"/>
        <v>0</v>
      </c>
      <c r="I56" s="9">
        <f t="shared" si="35"/>
        <v>0</v>
      </c>
      <c r="J56" s="9">
        <f t="shared" si="36"/>
        <v>0</v>
      </c>
      <c r="K56" s="9">
        <f t="shared" si="37"/>
        <v>0</v>
      </c>
      <c r="L56" s="9">
        <f t="shared" si="38"/>
        <v>0</v>
      </c>
      <c r="M56" s="11"/>
      <c r="P56" s="25"/>
      <c r="Q56" s="25"/>
      <c r="R56" s="25"/>
      <c r="S56" s="25"/>
      <c r="V56" s="23"/>
      <c r="W56" s="104"/>
    </row>
    <row r="57" spans="1:23" ht="17.149999999999999" customHeight="1" x14ac:dyDescent="0.35">
      <c r="A57" s="8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11"/>
      <c r="N57" s="9"/>
      <c r="O57" s="24"/>
      <c r="P57" s="9"/>
      <c r="Q57" s="24"/>
      <c r="R57" s="9"/>
      <c r="S57" s="12"/>
      <c r="V57" s="23"/>
      <c r="W57" s="104"/>
    </row>
    <row r="58" spans="1:23" ht="17.149999999999999" customHeight="1" x14ac:dyDescent="0.35">
      <c r="A58" s="8"/>
      <c r="B58" s="9"/>
      <c r="C58" s="9"/>
      <c r="D58" s="9"/>
      <c r="E58" s="10"/>
      <c r="F58" s="9">
        <f>C58/4</f>
        <v>0</v>
      </c>
      <c r="G58" s="9">
        <f>D58/7.5</f>
        <v>0</v>
      </c>
      <c r="H58" s="9">
        <f>B58/12.5</f>
        <v>0</v>
      </c>
      <c r="I58" s="9">
        <f>G58/0.93</f>
        <v>0</v>
      </c>
      <c r="J58" s="9">
        <f>G58/0.92</f>
        <v>0</v>
      </c>
      <c r="K58" s="9">
        <f>G58/0.88</f>
        <v>0</v>
      </c>
      <c r="L58" s="9">
        <f>G58/0.84</f>
        <v>0</v>
      </c>
      <c r="M58" s="11"/>
      <c r="P58" s="25"/>
      <c r="Q58" s="25"/>
      <c r="R58" s="25"/>
      <c r="S58" s="25"/>
      <c r="V58" s="23"/>
      <c r="W58" s="104"/>
    </row>
    <row r="59" spans="1:23" ht="17.149999999999999" customHeight="1" x14ac:dyDescent="0.35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4"/>
    </row>
    <row r="62" spans="1:23" ht="17.149999999999999" customHeight="1" x14ac:dyDescent="0.35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N62" s="9"/>
      <c r="O62" s="24"/>
      <c r="P62" s="9"/>
      <c r="Q62" s="24"/>
      <c r="R62" s="9"/>
      <c r="S62" s="12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 t="shared" ref="F65:F99" si="39">C65/4</f>
        <v>0</v>
      </c>
      <c r="G65" s="9">
        <f t="shared" ref="G65:G99" si="40">D65/7.5</f>
        <v>0</v>
      </c>
      <c r="H65" s="9">
        <f t="shared" ref="H65:H99" si="41">B65/12.5</f>
        <v>0</v>
      </c>
      <c r="I65" s="9">
        <f t="shared" ref="I65:I99" si="42">G65/0.93</f>
        <v>0</v>
      </c>
      <c r="J65" s="9">
        <f t="shared" ref="J65:J99" si="43">G65/0.92</f>
        <v>0</v>
      </c>
      <c r="K65" s="9">
        <f t="shared" ref="K65:K99" si="44">G65/0.88</f>
        <v>0</v>
      </c>
      <c r="L65" s="9">
        <f t="shared" ref="L65:L99" si="45"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si="39"/>
        <v>0</v>
      </c>
      <c r="G66" s="9">
        <f t="shared" si="40"/>
        <v>0</v>
      </c>
      <c r="H66" s="9">
        <f t="shared" si="41"/>
        <v>0</v>
      </c>
      <c r="I66" s="9">
        <f t="shared" si="42"/>
        <v>0</v>
      </c>
      <c r="J66" s="9">
        <f t="shared" si="43"/>
        <v>0</v>
      </c>
      <c r="K66" s="9">
        <f t="shared" si="44"/>
        <v>0</v>
      </c>
      <c r="L66" s="9">
        <f t="shared" si="45"/>
        <v>0</v>
      </c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219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49999999999999" customHeight="1" x14ac:dyDescent="0.35">
      <c r="A68" s="8" t="s">
        <v>82</v>
      </c>
      <c r="B68" s="9">
        <v>1.0416666666666666E-2</v>
      </c>
      <c r="C68" s="9">
        <v>3.0092592592592588E-3</v>
      </c>
      <c r="D68" s="9">
        <f t="shared" ref="D68:D99" si="46">B68*E68</f>
        <v>6.0604166666666662E-3</v>
      </c>
      <c r="E68" s="10">
        <v>0.58179999999999998</v>
      </c>
      <c r="F68" s="9">
        <f t="shared" si="39"/>
        <v>7.5231481481481471E-4</v>
      </c>
      <c r="G68" s="9">
        <f t="shared" si="40"/>
        <v>8.0805555555555546E-4</v>
      </c>
      <c r="H68" s="9">
        <f t="shared" si="41"/>
        <v>8.3333333333333328E-4</v>
      </c>
      <c r="I68" s="9">
        <f t="shared" si="42"/>
        <v>8.6887694145758646E-4</v>
      </c>
      <c r="J68" s="9">
        <f t="shared" si="43"/>
        <v>8.7832125603864715E-4</v>
      </c>
      <c r="K68" s="9">
        <f t="shared" si="44"/>
        <v>9.1824494949494938E-4</v>
      </c>
      <c r="L68" s="9">
        <f t="shared" si="45"/>
        <v>9.6197089947089938E-4</v>
      </c>
      <c r="M68" s="11"/>
      <c r="N68" s="9"/>
      <c r="O68" s="24"/>
      <c r="P68" s="24"/>
      <c r="Q68" s="24"/>
      <c r="R68" s="24"/>
      <c r="S68" s="24"/>
      <c r="T68" s="24"/>
      <c r="U68" s="24"/>
      <c r="V68" s="23" t="s">
        <v>34</v>
      </c>
      <c r="W68" s="104"/>
    </row>
    <row r="69" spans="1:23" ht="17.149999999999999" customHeight="1" x14ac:dyDescent="0.35">
      <c r="A69" s="8" t="s">
        <v>85</v>
      </c>
      <c r="B69" s="9">
        <v>1.0763888888888889E-2</v>
      </c>
      <c r="C69" s="9">
        <v>3.0671296296296297E-3</v>
      </c>
      <c r="D69" s="9">
        <f t="shared" si="46"/>
        <v>6.2624305555555549E-3</v>
      </c>
      <c r="E69" s="10">
        <v>0.58179999999999998</v>
      </c>
      <c r="F69" s="9">
        <f t="shared" si="39"/>
        <v>7.6678240740740743E-4</v>
      </c>
      <c r="G69" s="9">
        <f t="shared" si="40"/>
        <v>8.3499074074074064E-4</v>
      </c>
      <c r="H69" s="9">
        <f t="shared" si="41"/>
        <v>8.611111111111111E-4</v>
      </c>
      <c r="I69" s="9">
        <f t="shared" si="42"/>
        <v>8.9783950617283931E-4</v>
      </c>
      <c r="J69" s="9">
        <f t="shared" si="43"/>
        <v>9.0759863123993545E-4</v>
      </c>
      <c r="K69" s="9">
        <f t="shared" si="44"/>
        <v>9.4885311447811432E-4</v>
      </c>
      <c r="L69" s="9">
        <f t="shared" si="45"/>
        <v>9.9403659611992947E-4</v>
      </c>
      <c r="M69" s="11"/>
      <c r="N69" s="9"/>
      <c r="O69" s="24"/>
      <c r="P69" s="24"/>
      <c r="Q69" s="24"/>
      <c r="R69" s="24"/>
      <c r="S69" s="24"/>
      <c r="T69" s="24"/>
      <c r="U69" s="24"/>
      <c r="V69" s="23" t="s">
        <v>34</v>
      </c>
      <c r="W69" s="104"/>
    </row>
    <row r="70" spans="1:23" ht="17.149999999999999" customHeight="1" x14ac:dyDescent="0.35">
      <c r="A70" s="8" t="s">
        <v>102</v>
      </c>
      <c r="B70" s="9">
        <v>1.0474537037037037E-2</v>
      </c>
      <c r="C70" s="9">
        <v>3.0671296296296297E-3</v>
      </c>
      <c r="D70" s="9">
        <f t="shared" si="46"/>
        <v>6.094085648148148E-3</v>
      </c>
      <c r="E70" s="10">
        <v>0.58179999999999998</v>
      </c>
      <c r="F70" s="9">
        <f t="shared" si="39"/>
        <v>7.6678240740740743E-4</v>
      </c>
      <c r="G70" s="9">
        <f t="shared" si="40"/>
        <v>8.1254475308641973E-4</v>
      </c>
      <c r="H70" s="9">
        <f t="shared" si="41"/>
        <v>8.3796296296296299E-4</v>
      </c>
      <c r="I70" s="9">
        <f t="shared" si="42"/>
        <v>8.7370403557679541E-4</v>
      </c>
      <c r="J70" s="9">
        <f t="shared" si="43"/>
        <v>8.8320081857219527E-4</v>
      </c>
      <c r="K70" s="9">
        <f t="shared" si="44"/>
        <v>9.2334631032547692E-4</v>
      </c>
      <c r="L70" s="9">
        <f t="shared" si="45"/>
        <v>9.6731518224573777E-4</v>
      </c>
      <c r="M70" s="11"/>
      <c r="N70" s="9"/>
      <c r="O70" s="24"/>
      <c r="P70" s="9"/>
      <c r="Q70" s="24"/>
      <c r="R70" s="9"/>
      <c r="S70" s="12"/>
      <c r="U70" s="26"/>
      <c r="V70" s="23" t="s">
        <v>34</v>
      </c>
      <c r="W70" s="104"/>
    </row>
    <row r="71" spans="1:23" ht="17.149999999999999" customHeight="1" x14ac:dyDescent="0.35">
      <c r="A71" s="8" t="s">
        <v>103</v>
      </c>
      <c r="B71" s="9">
        <v>1.064814814814815E-2</v>
      </c>
      <c r="C71" s="9">
        <v>3.0671296296296297E-3</v>
      </c>
      <c r="D71" s="9">
        <f t="shared" si="46"/>
        <v>6.1950925925925932E-3</v>
      </c>
      <c r="E71" s="10">
        <v>0.58179999999999998</v>
      </c>
      <c r="F71" s="9">
        <f t="shared" si="39"/>
        <v>7.6678240740740743E-4</v>
      </c>
      <c r="G71" s="9">
        <f t="shared" si="40"/>
        <v>8.2601234567901242E-4</v>
      </c>
      <c r="H71" s="9">
        <f t="shared" si="41"/>
        <v>8.5185185185185201E-4</v>
      </c>
      <c r="I71" s="9">
        <f t="shared" si="42"/>
        <v>8.8818531793442195E-4</v>
      </c>
      <c r="J71" s="9">
        <f t="shared" si="43"/>
        <v>8.9783950617283953E-4</v>
      </c>
      <c r="K71" s="9">
        <f t="shared" si="44"/>
        <v>9.3865039281705955E-4</v>
      </c>
      <c r="L71" s="9">
        <f t="shared" si="45"/>
        <v>9.8334803057025292E-4</v>
      </c>
      <c r="M71" s="11"/>
      <c r="N71" s="9"/>
      <c r="O71" s="24"/>
      <c r="P71" s="9"/>
      <c r="Q71" s="24"/>
      <c r="R71" s="9"/>
      <c r="S71" s="12"/>
      <c r="V71" s="23" t="s">
        <v>34</v>
      </c>
      <c r="W71" s="104"/>
    </row>
    <row r="72" spans="1:23" ht="17.149999999999999" customHeight="1" x14ac:dyDescent="0.35">
      <c r="A72" s="8" t="s">
        <v>104</v>
      </c>
      <c r="B72" s="9">
        <v>1.064814814814815E-2</v>
      </c>
      <c r="C72" s="9">
        <v>3.1249999999999997E-3</v>
      </c>
      <c r="D72" s="9">
        <f t="shared" si="46"/>
        <v>6.1950925925925932E-3</v>
      </c>
      <c r="E72" s="10">
        <v>0.58179999999999998</v>
      </c>
      <c r="F72" s="9">
        <f t="shared" si="39"/>
        <v>7.8124999999999993E-4</v>
      </c>
      <c r="G72" s="9">
        <f t="shared" si="40"/>
        <v>8.2601234567901242E-4</v>
      </c>
      <c r="H72" s="9">
        <f t="shared" si="41"/>
        <v>8.5185185185185201E-4</v>
      </c>
      <c r="I72" s="9">
        <f t="shared" si="42"/>
        <v>8.8818531793442195E-4</v>
      </c>
      <c r="J72" s="9">
        <f t="shared" si="43"/>
        <v>8.9783950617283953E-4</v>
      </c>
      <c r="K72" s="9">
        <f t="shared" si="44"/>
        <v>9.3865039281705955E-4</v>
      </c>
      <c r="L72" s="9">
        <f t="shared" si="45"/>
        <v>9.8334803057025292E-4</v>
      </c>
      <c r="M72" s="11"/>
      <c r="N72" s="9"/>
      <c r="O72" s="24"/>
      <c r="P72" s="24"/>
      <c r="Q72" s="24"/>
      <c r="R72" s="24"/>
      <c r="S72" s="24"/>
      <c r="T72" s="24"/>
      <c r="U72" s="24"/>
      <c r="V72" s="23" t="s">
        <v>34</v>
      </c>
      <c r="W72" s="104"/>
    </row>
    <row r="73" spans="1:23" ht="17.149999999999999" customHeight="1" x14ac:dyDescent="0.35">
      <c r="A73" s="8" t="s">
        <v>106</v>
      </c>
      <c r="B73" s="9">
        <v>1.064814814814815E-2</v>
      </c>
      <c r="C73" s="9">
        <v>3.1249999999999997E-3</v>
      </c>
      <c r="D73" s="9">
        <f t="shared" si="46"/>
        <v>6.1950925925925932E-3</v>
      </c>
      <c r="E73" s="10">
        <v>0.58179999999999998</v>
      </c>
      <c r="F73" s="9">
        <f t="shared" si="39"/>
        <v>7.8124999999999993E-4</v>
      </c>
      <c r="G73" s="9">
        <f t="shared" si="40"/>
        <v>8.2601234567901242E-4</v>
      </c>
      <c r="H73" s="9">
        <f t="shared" si="41"/>
        <v>8.5185185185185201E-4</v>
      </c>
      <c r="I73" s="9">
        <f t="shared" si="42"/>
        <v>8.8818531793442195E-4</v>
      </c>
      <c r="J73" s="9">
        <f t="shared" si="43"/>
        <v>8.9783950617283953E-4</v>
      </c>
      <c r="K73" s="9">
        <f t="shared" si="44"/>
        <v>9.3865039281705955E-4</v>
      </c>
      <c r="L73" s="9">
        <f t="shared" si="45"/>
        <v>9.8334803057025292E-4</v>
      </c>
      <c r="M73" s="11"/>
      <c r="N73" s="9"/>
      <c r="O73" s="24"/>
      <c r="P73" s="9"/>
      <c r="Q73" s="24"/>
      <c r="R73" s="9"/>
      <c r="S73" s="12"/>
      <c r="V73" s="23" t="s">
        <v>34</v>
      </c>
      <c r="W73" s="104"/>
    </row>
    <row r="74" spans="1:23" ht="17.149999999999999" customHeight="1" x14ac:dyDescent="0.35">
      <c r="A74" s="8" t="s">
        <v>105</v>
      </c>
      <c r="B74" s="9">
        <v>1.064814814814815E-2</v>
      </c>
      <c r="C74" s="9">
        <v>3.1249999999999997E-3</v>
      </c>
      <c r="D74" s="9">
        <f t="shared" si="46"/>
        <v>6.1950925925925932E-3</v>
      </c>
      <c r="E74" s="10">
        <v>0.58179999999999998</v>
      </c>
      <c r="F74" s="9">
        <f t="shared" si="39"/>
        <v>7.8124999999999993E-4</v>
      </c>
      <c r="G74" s="9">
        <f t="shared" si="40"/>
        <v>8.2601234567901242E-4</v>
      </c>
      <c r="H74" s="9">
        <f t="shared" si="41"/>
        <v>8.5185185185185201E-4</v>
      </c>
      <c r="I74" s="9">
        <f t="shared" si="42"/>
        <v>8.8818531793442195E-4</v>
      </c>
      <c r="J74" s="9">
        <f t="shared" si="43"/>
        <v>8.9783950617283953E-4</v>
      </c>
      <c r="K74" s="9">
        <f t="shared" si="44"/>
        <v>9.3865039281705955E-4</v>
      </c>
      <c r="L74" s="9">
        <f t="shared" si="45"/>
        <v>9.8334803057025292E-4</v>
      </c>
      <c r="M74" s="11"/>
      <c r="N74" s="9"/>
      <c r="O74" s="24"/>
      <c r="P74" s="9"/>
      <c r="Q74" s="24"/>
      <c r="R74" s="9"/>
      <c r="S74" s="12"/>
      <c r="V74" s="23" t="s">
        <v>34</v>
      </c>
      <c r="W74" s="104"/>
    </row>
    <row r="75" spans="1:23" ht="17.149999999999999" customHeight="1" x14ac:dyDescent="0.35">
      <c r="A75" s="8" t="s">
        <v>107</v>
      </c>
      <c r="B75" s="9">
        <v>1.0648148148148148E-2</v>
      </c>
      <c r="C75" s="9">
        <v>3.1249999999999997E-3</v>
      </c>
      <c r="D75" s="9">
        <f t="shared" si="46"/>
        <v>6.1950925925925923E-3</v>
      </c>
      <c r="E75" s="10">
        <v>0.58179999999999998</v>
      </c>
      <c r="F75" s="9">
        <f t="shared" si="39"/>
        <v>7.8124999999999993E-4</v>
      </c>
      <c r="G75" s="9">
        <f t="shared" si="40"/>
        <v>8.2601234567901232E-4</v>
      </c>
      <c r="H75" s="9">
        <f t="shared" si="41"/>
        <v>8.5185185185185179E-4</v>
      </c>
      <c r="I75" s="9">
        <f t="shared" si="42"/>
        <v>8.8818531793442184E-4</v>
      </c>
      <c r="J75" s="9">
        <f t="shared" si="43"/>
        <v>8.9783950617283942E-4</v>
      </c>
      <c r="K75" s="9">
        <f t="shared" si="44"/>
        <v>9.3865039281705945E-4</v>
      </c>
      <c r="L75" s="9">
        <f t="shared" si="45"/>
        <v>9.833480305702527E-4</v>
      </c>
      <c r="M75" s="11"/>
      <c r="N75" s="9"/>
      <c r="O75" s="24"/>
      <c r="P75" s="9"/>
      <c r="Q75" s="24"/>
      <c r="R75" s="9"/>
      <c r="S75" s="12"/>
      <c r="V75" s="23" t="s">
        <v>34</v>
      </c>
      <c r="W75" s="104"/>
    </row>
    <row r="76" spans="1:23" ht="17.149999999999999" customHeight="1" x14ac:dyDescent="0.35">
      <c r="A76" s="8" t="s">
        <v>87</v>
      </c>
      <c r="B76" s="9">
        <v>1.0763888888888891E-2</v>
      </c>
      <c r="C76" s="9">
        <v>3.1249999999999997E-3</v>
      </c>
      <c r="D76" s="9">
        <f t="shared" si="46"/>
        <v>6.2624305555555567E-3</v>
      </c>
      <c r="E76" s="10">
        <v>0.58179999999999998</v>
      </c>
      <c r="F76" s="9">
        <f t="shared" si="39"/>
        <v>7.8124999999999993E-4</v>
      </c>
      <c r="G76" s="9">
        <f t="shared" si="40"/>
        <v>8.3499074074074085E-4</v>
      </c>
      <c r="H76" s="9">
        <f t="shared" si="41"/>
        <v>8.6111111111111121E-4</v>
      </c>
      <c r="I76" s="9">
        <f t="shared" si="42"/>
        <v>8.9783950617283953E-4</v>
      </c>
      <c r="J76" s="9">
        <f t="shared" si="43"/>
        <v>9.0759863123993567E-4</v>
      </c>
      <c r="K76" s="9">
        <f t="shared" si="44"/>
        <v>9.4885311447811464E-4</v>
      </c>
      <c r="L76" s="9">
        <f t="shared" si="45"/>
        <v>9.9403659611992969E-4</v>
      </c>
      <c r="M76" s="11"/>
      <c r="N76" s="9"/>
      <c r="O76" s="24"/>
      <c r="P76" s="24"/>
      <c r="Q76" s="24"/>
      <c r="R76" s="24"/>
      <c r="S76" s="24"/>
      <c r="T76" s="24"/>
      <c r="U76" s="24"/>
      <c r="V76" s="23" t="s">
        <v>34</v>
      </c>
      <c r="W76" s="108"/>
    </row>
    <row r="77" spans="1:23" ht="17.149999999999999" customHeight="1" x14ac:dyDescent="0.35">
      <c r="A77" s="8" t="s">
        <v>110</v>
      </c>
      <c r="B77" s="9">
        <v>1.087962962962963E-2</v>
      </c>
      <c r="C77" s="9">
        <v>3.1249999999999997E-3</v>
      </c>
      <c r="D77" s="9">
        <f t="shared" si="46"/>
        <v>6.3297685185185184E-3</v>
      </c>
      <c r="E77" s="10">
        <v>0.58179999999999998</v>
      </c>
      <c r="F77" s="9">
        <f t="shared" si="39"/>
        <v>7.8124999999999993E-4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24"/>
      <c r="Q77" s="24"/>
      <c r="R77" s="24"/>
      <c r="S77" s="24"/>
      <c r="T77" s="24"/>
      <c r="U77" s="24"/>
      <c r="V77" s="23" t="s">
        <v>34</v>
      </c>
      <c r="W77" s="108"/>
    </row>
    <row r="78" spans="1:23" ht="17.149999999999999" customHeight="1" x14ac:dyDescent="0.35">
      <c r="A78" s="8" t="s">
        <v>111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24"/>
      <c r="Q78" s="24"/>
      <c r="R78" s="24"/>
      <c r="S78" s="24"/>
      <c r="T78" s="24"/>
      <c r="U78" s="24"/>
      <c r="V78" s="23" t="s">
        <v>34</v>
      </c>
      <c r="W78" s="108"/>
    </row>
    <row r="79" spans="1:23" ht="17.149999999999999" customHeight="1" x14ac:dyDescent="0.35">
      <c r="A79" s="8" t="s">
        <v>94</v>
      </c>
      <c r="B79" s="9">
        <v>1.1689814814814814E-2</v>
      </c>
      <c r="C79" s="9">
        <v>3.472222222222222E-3</v>
      </c>
      <c r="D79" s="9">
        <f t="shared" si="46"/>
        <v>6.8011342592592585E-3</v>
      </c>
      <c r="E79" s="10">
        <v>0.58179999999999998</v>
      </c>
      <c r="F79" s="9">
        <f t="shared" si="39"/>
        <v>8.6805555555555551E-4</v>
      </c>
      <c r="G79" s="9">
        <f t="shared" si="40"/>
        <v>9.0681790123456785E-4</v>
      </c>
      <c r="H79" s="9">
        <f t="shared" si="41"/>
        <v>9.3518518518518516E-4</v>
      </c>
      <c r="I79" s="9">
        <f t="shared" si="42"/>
        <v>9.7507301208018041E-4</v>
      </c>
      <c r="J79" s="9">
        <f t="shared" si="43"/>
        <v>9.8567163177670412E-4</v>
      </c>
      <c r="K79" s="9">
        <f t="shared" si="44"/>
        <v>1.0304748877665545E-3</v>
      </c>
      <c r="L79" s="9">
        <f t="shared" si="45"/>
        <v>1.0795451205173427E-3</v>
      </c>
      <c r="M79" s="11"/>
      <c r="N79" s="9"/>
      <c r="O79" s="24"/>
      <c r="P79" s="97"/>
      <c r="Q79" s="24"/>
      <c r="R79" s="9"/>
      <c r="S79" s="12"/>
      <c r="V79" s="23" t="s">
        <v>34</v>
      </c>
      <c r="W79" s="108"/>
    </row>
    <row r="80" spans="1:23" ht="17.149999999999999" customHeight="1" x14ac:dyDescent="0.35">
      <c r="A80" s="8" t="s">
        <v>88</v>
      </c>
      <c r="B80" s="9">
        <v>1.087962962962963E-2</v>
      </c>
      <c r="C80" s="9">
        <v>3.1828703703703702E-3</v>
      </c>
      <c r="D80" s="9">
        <f t="shared" si="46"/>
        <v>6.3297685185185184E-3</v>
      </c>
      <c r="E80" s="10">
        <v>0.58179999999999998</v>
      </c>
      <c r="F80" s="9">
        <f t="shared" si="39"/>
        <v>7.9571759259259255E-4</v>
      </c>
      <c r="G80" s="9">
        <f t="shared" si="40"/>
        <v>8.4396913580246917E-4</v>
      </c>
      <c r="H80" s="9">
        <f t="shared" si="41"/>
        <v>8.7037037037037042E-4</v>
      </c>
      <c r="I80" s="9">
        <f t="shared" si="42"/>
        <v>9.0749369441125711E-4</v>
      </c>
      <c r="J80" s="9">
        <f t="shared" si="43"/>
        <v>9.173577563070317E-4</v>
      </c>
      <c r="K80" s="9">
        <f t="shared" si="44"/>
        <v>9.5905583613916951E-4</v>
      </c>
      <c r="L80" s="9">
        <f t="shared" si="45"/>
        <v>1.0047251616696062E-3</v>
      </c>
      <c r="M80" s="11"/>
      <c r="N80" s="9"/>
      <c r="O80" s="24"/>
      <c r="P80" s="24"/>
      <c r="Q80" s="24"/>
      <c r="R80" s="24"/>
      <c r="S80" s="24"/>
      <c r="T80" s="24"/>
      <c r="U80" s="24"/>
      <c r="V80" s="23" t="s">
        <v>34</v>
      </c>
      <c r="W80" s="108"/>
    </row>
    <row r="81" spans="1:23" ht="17.149999999999999" customHeight="1" x14ac:dyDescent="0.35">
      <c r="A81" s="8" t="s">
        <v>109</v>
      </c>
      <c r="B81" s="9">
        <v>1.0763888888888889E-2</v>
      </c>
      <c r="C81" s="9">
        <v>3.1249999999999997E-3</v>
      </c>
      <c r="D81" s="9">
        <f t="shared" si="46"/>
        <v>6.2624305555555549E-3</v>
      </c>
      <c r="E81" s="10">
        <v>0.58179999999999998</v>
      </c>
      <c r="F81" s="9">
        <f t="shared" si="39"/>
        <v>7.8124999999999993E-4</v>
      </c>
      <c r="G81" s="9">
        <f t="shared" si="40"/>
        <v>8.3499074074074064E-4</v>
      </c>
      <c r="H81" s="9">
        <f t="shared" si="41"/>
        <v>8.611111111111111E-4</v>
      </c>
      <c r="I81" s="9">
        <f t="shared" si="42"/>
        <v>8.9783950617283931E-4</v>
      </c>
      <c r="J81" s="9">
        <f t="shared" si="43"/>
        <v>9.0759863123993545E-4</v>
      </c>
      <c r="K81" s="9">
        <f t="shared" si="44"/>
        <v>9.4885311447811432E-4</v>
      </c>
      <c r="L81" s="9">
        <f t="shared" si="45"/>
        <v>9.9403659611992947E-4</v>
      </c>
      <c r="M81" s="11"/>
      <c r="N81" s="9"/>
      <c r="O81" s="9"/>
      <c r="P81" s="24"/>
      <c r="Q81" s="24"/>
      <c r="R81" s="24"/>
      <c r="S81" s="24"/>
      <c r="T81" s="24"/>
      <c r="U81" s="24"/>
      <c r="V81" s="23" t="s">
        <v>34</v>
      </c>
      <c r="W81" s="108"/>
    </row>
    <row r="82" spans="1:23" ht="17.149999999999999" customHeight="1" x14ac:dyDescent="0.35">
      <c r="A82" s="8" t="s">
        <v>70</v>
      </c>
      <c r="B82" s="9">
        <v>9.780092592592592E-3</v>
      </c>
      <c r="C82" s="9">
        <v>2.8124999999999995E-3</v>
      </c>
      <c r="D82" s="9">
        <f t="shared" si="46"/>
        <v>5.6900578703703696E-3</v>
      </c>
      <c r="E82" s="10">
        <v>0.58179999999999998</v>
      </c>
      <c r="F82" s="9">
        <f t="shared" si="39"/>
        <v>7.0312499999999987E-4</v>
      </c>
      <c r="G82" s="9">
        <f t="shared" si="40"/>
        <v>7.5867438271604926E-4</v>
      </c>
      <c r="H82" s="9">
        <f t="shared" si="41"/>
        <v>7.8240740740740734E-4</v>
      </c>
      <c r="I82" s="9">
        <f t="shared" si="42"/>
        <v>8.1577890614628948E-4</v>
      </c>
      <c r="J82" s="9">
        <f t="shared" si="43"/>
        <v>8.2464606816961877E-4</v>
      </c>
      <c r="K82" s="9">
        <f t="shared" si="44"/>
        <v>8.6212998035914683E-4</v>
      </c>
      <c r="L82" s="9">
        <f t="shared" si="45"/>
        <v>9.031837889476777E-4</v>
      </c>
      <c r="M82" s="11"/>
      <c r="N82" s="9"/>
      <c r="O82" s="24"/>
      <c r="P82" s="9"/>
      <c r="Q82" s="24"/>
      <c r="R82" s="9"/>
      <c r="S82" s="12"/>
      <c r="T82" s="25"/>
      <c r="V82" s="23" t="s">
        <v>5</v>
      </c>
      <c r="W82" s="108"/>
    </row>
    <row r="83" spans="1:23" ht="17.149999999999999" customHeight="1" x14ac:dyDescent="0.35">
      <c r="A83" s="8" t="s">
        <v>72</v>
      </c>
      <c r="B83" s="9">
        <v>1.0127314814814815E-2</v>
      </c>
      <c r="C83" s="9">
        <v>2.8935185185185188E-3</v>
      </c>
      <c r="D83" s="9">
        <f t="shared" si="46"/>
        <v>5.8920717592592592E-3</v>
      </c>
      <c r="E83" s="10">
        <v>0.58179999999999998</v>
      </c>
      <c r="F83" s="9">
        <f t="shared" si="39"/>
        <v>7.233796296296297E-4</v>
      </c>
      <c r="G83" s="9">
        <f t="shared" si="40"/>
        <v>7.8560956790123455E-4</v>
      </c>
      <c r="H83" s="9">
        <f t="shared" si="41"/>
        <v>8.1018518518518516E-4</v>
      </c>
      <c r="I83" s="9">
        <f t="shared" si="42"/>
        <v>8.4474147086154245E-4</v>
      </c>
      <c r="J83" s="9">
        <f t="shared" si="43"/>
        <v>8.5392344337090708E-4</v>
      </c>
      <c r="K83" s="9">
        <f t="shared" si="44"/>
        <v>8.9273814534231199E-4</v>
      </c>
      <c r="L83" s="9">
        <f t="shared" si="45"/>
        <v>9.3524948559670779E-4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8"/>
    </row>
    <row r="84" spans="1:23" ht="17.149999999999999" customHeight="1" x14ac:dyDescent="0.35">
      <c r="A84" s="8" t="s">
        <v>74</v>
      </c>
      <c r="B84" s="9">
        <v>1.0243055555555556E-2</v>
      </c>
      <c r="C84" s="9">
        <v>2.9513888888888888E-3</v>
      </c>
      <c r="D84" s="9">
        <f t="shared" si="46"/>
        <v>5.9594097222222218E-3</v>
      </c>
      <c r="E84" s="10">
        <v>0.58179999999999998</v>
      </c>
      <c r="F84" s="9">
        <f t="shared" si="39"/>
        <v>7.378472222222222E-4</v>
      </c>
      <c r="G84" s="9">
        <f t="shared" si="40"/>
        <v>7.9458796296296287E-4</v>
      </c>
      <c r="H84" s="9">
        <f t="shared" si="41"/>
        <v>8.1944444444444447E-4</v>
      </c>
      <c r="I84" s="9">
        <f t="shared" si="42"/>
        <v>8.5439565909996003E-4</v>
      </c>
      <c r="J84" s="9">
        <f t="shared" si="43"/>
        <v>8.636825684380031E-4</v>
      </c>
      <c r="K84" s="9">
        <f t="shared" si="44"/>
        <v>9.0294086700336686E-4</v>
      </c>
      <c r="L84" s="9">
        <f t="shared" si="45"/>
        <v>9.4593805114638445E-4</v>
      </c>
      <c r="M84" s="11"/>
      <c r="N84" s="9"/>
      <c r="O84" s="24"/>
      <c r="P84" s="9"/>
      <c r="Q84" s="24"/>
      <c r="R84" s="9"/>
      <c r="S84" s="12"/>
      <c r="T84" s="25"/>
      <c r="V84" s="23" t="s">
        <v>5</v>
      </c>
      <c r="W84" s="108"/>
    </row>
    <row r="85" spans="1:23" ht="17.149999999999999" customHeight="1" x14ac:dyDescent="0.35">
      <c r="A85" s="8" t="s">
        <v>76</v>
      </c>
      <c r="B85" s="9">
        <v>1.0011574074074074E-2</v>
      </c>
      <c r="C85" s="9">
        <v>2.9513888888888888E-3</v>
      </c>
      <c r="D85" s="9">
        <f t="shared" si="46"/>
        <v>5.8247337962962957E-3</v>
      </c>
      <c r="E85" s="10">
        <v>0.58179999999999998</v>
      </c>
      <c r="F85" s="9">
        <f t="shared" si="39"/>
        <v>7.378472222222222E-4</v>
      </c>
      <c r="G85" s="9">
        <f t="shared" si="40"/>
        <v>7.7663117283950612E-4</v>
      </c>
      <c r="H85" s="9">
        <f t="shared" si="41"/>
        <v>8.0092592592592585E-4</v>
      </c>
      <c r="I85" s="9">
        <f t="shared" si="42"/>
        <v>8.3508728262312486E-4</v>
      </c>
      <c r="J85" s="9">
        <f t="shared" si="43"/>
        <v>8.4416431830381094E-4</v>
      </c>
      <c r="K85" s="9">
        <f t="shared" si="44"/>
        <v>8.825354236812569E-4</v>
      </c>
      <c r="L85" s="9">
        <f t="shared" si="45"/>
        <v>9.2456092004703113E-4</v>
      </c>
      <c r="M85" s="11"/>
      <c r="N85" s="9"/>
      <c r="O85" s="24"/>
      <c r="P85" s="97"/>
      <c r="Q85" s="24"/>
      <c r="R85" s="24"/>
      <c r="S85" s="24"/>
      <c r="T85" s="24"/>
      <c r="U85" s="24"/>
      <c r="V85" s="23" t="s">
        <v>5</v>
      </c>
      <c r="W85" s="104"/>
    </row>
    <row r="86" spans="1:23" ht="17.149999999999999" customHeight="1" x14ac:dyDescent="0.35">
      <c r="A86" s="8" t="s">
        <v>71</v>
      </c>
      <c r="B86" s="9">
        <v>1.0011574074074074E-2</v>
      </c>
      <c r="C86" s="9">
        <v>2.8935185185185188E-3</v>
      </c>
      <c r="D86" s="9">
        <f t="shared" si="46"/>
        <v>5.8247337962962957E-3</v>
      </c>
      <c r="E86" s="10">
        <v>0.58179999999999998</v>
      </c>
      <c r="F86" s="9">
        <f t="shared" si="39"/>
        <v>7.233796296296297E-4</v>
      </c>
      <c r="G86" s="9">
        <f t="shared" si="40"/>
        <v>7.7663117283950612E-4</v>
      </c>
      <c r="H86" s="9">
        <f t="shared" si="41"/>
        <v>8.0092592592592585E-4</v>
      </c>
      <c r="I86" s="9">
        <f t="shared" si="42"/>
        <v>8.3508728262312486E-4</v>
      </c>
      <c r="J86" s="9">
        <f t="shared" si="43"/>
        <v>8.4416431830381094E-4</v>
      </c>
      <c r="K86" s="9">
        <f t="shared" si="44"/>
        <v>8.825354236812569E-4</v>
      </c>
      <c r="L86" s="9">
        <f t="shared" si="45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5</v>
      </c>
      <c r="W86" s="104"/>
    </row>
    <row r="87" spans="1:23" ht="17.149999999999999" customHeight="1" x14ac:dyDescent="0.35">
      <c r="A87" s="8" t="s">
        <v>73</v>
      </c>
      <c r="B87" s="9">
        <v>1.0011574074074074E-2</v>
      </c>
      <c r="C87" s="9">
        <v>2.8935185185185188E-3</v>
      </c>
      <c r="D87" s="9">
        <f t="shared" si="46"/>
        <v>5.8247337962962957E-3</v>
      </c>
      <c r="E87" s="10">
        <v>0.58179999999999998</v>
      </c>
      <c r="F87" s="9">
        <f t="shared" si="39"/>
        <v>7.233796296296297E-4</v>
      </c>
      <c r="G87" s="9">
        <f t="shared" si="40"/>
        <v>7.7663117283950612E-4</v>
      </c>
      <c r="H87" s="9">
        <f t="shared" si="41"/>
        <v>8.0092592592592585E-4</v>
      </c>
      <c r="I87" s="9">
        <f t="shared" si="42"/>
        <v>8.3508728262312486E-4</v>
      </c>
      <c r="J87" s="9">
        <f t="shared" si="43"/>
        <v>8.4416431830381094E-4</v>
      </c>
      <c r="K87" s="9">
        <f t="shared" si="44"/>
        <v>8.825354236812569E-4</v>
      </c>
      <c r="L87" s="9">
        <f t="shared" si="45"/>
        <v>9.2456092004703113E-4</v>
      </c>
      <c r="M87" s="11"/>
      <c r="N87" s="9"/>
      <c r="O87" s="24"/>
      <c r="P87" s="97"/>
      <c r="Q87" s="24"/>
      <c r="R87" s="24"/>
      <c r="S87" s="24"/>
      <c r="T87" s="24"/>
      <c r="U87" s="24"/>
      <c r="V87" s="23" t="s">
        <v>5</v>
      </c>
      <c r="W87" s="104"/>
    </row>
    <row r="88" spans="1:23" ht="17.149999999999999" customHeight="1" x14ac:dyDescent="0.35">
      <c r="A88" s="8" t="s">
        <v>96</v>
      </c>
      <c r="B88" s="9">
        <v>1.0011574074074074E-2</v>
      </c>
      <c r="C88" s="9">
        <v>2.9513888888888888E-3</v>
      </c>
      <c r="D88" s="9">
        <f t="shared" si="46"/>
        <v>5.8247337962962957E-3</v>
      </c>
      <c r="E88" s="10">
        <v>0.58179999999999998</v>
      </c>
      <c r="F88" s="9">
        <f t="shared" si="39"/>
        <v>7.378472222222222E-4</v>
      </c>
      <c r="G88" s="9">
        <f t="shared" si="40"/>
        <v>7.7663117283950612E-4</v>
      </c>
      <c r="H88" s="9">
        <f t="shared" si="41"/>
        <v>8.0092592592592585E-4</v>
      </c>
      <c r="I88" s="9">
        <f t="shared" si="42"/>
        <v>8.3508728262312486E-4</v>
      </c>
      <c r="J88" s="9">
        <f t="shared" si="43"/>
        <v>8.4416431830381094E-4</v>
      </c>
      <c r="K88" s="9">
        <f t="shared" si="44"/>
        <v>8.825354236812569E-4</v>
      </c>
      <c r="L88" s="9">
        <f t="shared" si="45"/>
        <v>9.2456092004703113E-4</v>
      </c>
      <c r="M88" s="11"/>
      <c r="N88" s="9"/>
      <c r="O88" s="24"/>
      <c r="P88" s="97"/>
      <c r="Q88" s="24"/>
      <c r="R88" s="9"/>
      <c r="S88" s="12"/>
      <c r="V88" s="23" t="s">
        <v>5</v>
      </c>
      <c r="W88" s="104"/>
    </row>
    <row r="89" spans="1:23" ht="17.149999999999999" customHeight="1" x14ac:dyDescent="0.35">
      <c r="A89" s="8" t="s">
        <v>97</v>
      </c>
      <c r="B89" s="9">
        <v>1.0011574074074074E-2</v>
      </c>
      <c r="C89" s="9">
        <v>2.9745370370370373E-3</v>
      </c>
      <c r="D89" s="9">
        <f t="shared" si="46"/>
        <v>5.8247337962962957E-3</v>
      </c>
      <c r="E89" s="10">
        <v>0.58179999999999998</v>
      </c>
      <c r="F89" s="9">
        <f t="shared" si="39"/>
        <v>7.4363425925925931E-4</v>
      </c>
      <c r="G89" s="9">
        <f t="shared" si="40"/>
        <v>7.7663117283950612E-4</v>
      </c>
      <c r="H89" s="9">
        <f t="shared" si="41"/>
        <v>8.0092592592592585E-4</v>
      </c>
      <c r="I89" s="9">
        <f t="shared" si="42"/>
        <v>8.3508728262312486E-4</v>
      </c>
      <c r="J89" s="9">
        <f t="shared" si="43"/>
        <v>8.4416431830381094E-4</v>
      </c>
      <c r="K89" s="9">
        <f t="shared" si="44"/>
        <v>8.825354236812569E-4</v>
      </c>
      <c r="L89" s="9">
        <f t="shared" si="45"/>
        <v>9.2456092004703113E-4</v>
      </c>
      <c r="M89" s="11"/>
      <c r="N89" s="9"/>
      <c r="O89" s="24"/>
      <c r="P89" s="97"/>
      <c r="Q89" s="24"/>
      <c r="R89" s="24"/>
      <c r="S89" s="24"/>
      <c r="T89" s="24"/>
      <c r="U89" s="24"/>
      <c r="V89" s="23" t="s">
        <v>5</v>
      </c>
      <c r="W89" s="104"/>
    </row>
    <row r="90" spans="1:23" ht="17.149999999999999" customHeight="1" x14ac:dyDescent="0.35">
      <c r="A90" s="8" t="s">
        <v>78</v>
      </c>
      <c r="B90" s="9">
        <v>1.0243055555555556E-2</v>
      </c>
      <c r="C90" s="9">
        <v>2.9745370370370373E-3</v>
      </c>
      <c r="D90" s="9">
        <f t="shared" si="46"/>
        <v>5.9594097222222218E-3</v>
      </c>
      <c r="E90" s="10">
        <v>0.58179999999999998</v>
      </c>
      <c r="F90" s="9">
        <f t="shared" si="39"/>
        <v>7.4363425925925931E-4</v>
      </c>
      <c r="G90" s="9">
        <f t="shared" si="40"/>
        <v>7.9458796296296287E-4</v>
      </c>
      <c r="H90" s="9">
        <f t="shared" si="41"/>
        <v>8.1944444444444447E-4</v>
      </c>
      <c r="I90" s="9">
        <f t="shared" si="42"/>
        <v>8.5439565909996003E-4</v>
      </c>
      <c r="J90" s="9">
        <f t="shared" si="43"/>
        <v>8.636825684380031E-4</v>
      </c>
      <c r="K90" s="9">
        <f t="shared" si="44"/>
        <v>9.0294086700336686E-4</v>
      </c>
      <c r="L90" s="9">
        <f t="shared" si="45"/>
        <v>9.4593805114638445E-4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5</v>
      </c>
      <c r="W90" s="104"/>
    </row>
    <row r="91" spans="1:23" ht="17.149999999999999" customHeight="1" x14ac:dyDescent="0.35">
      <c r="A91" s="8" t="s">
        <v>99</v>
      </c>
      <c r="B91" s="9">
        <v>1.0243055555555556E-2</v>
      </c>
      <c r="C91" s="9">
        <v>3.0092592592592588E-3</v>
      </c>
      <c r="D91" s="9">
        <f t="shared" si="46"/>
        <v>5.9594097222222218E-3</v>
      </c>
      <c r="E91" s="10">
        <v>0.58179999999999998</v>
      </c>
      <c r="F91" s="9">
        <f t="shared" si="39"/>
        <v>7.5231481481481471E-4</v>
      </c>
      <c r="G91" s="9">
        <f t="shared" si="40"/>
        <v>7.9458796296296287E-4</v>
      </c>
      <c r="H91" s="9">
        <f t="shared" si="41"/>
        <v>8.1944444444444447E-4</v>
      </c>
      <c r="I91" s="9">
        <f t="shared" si="42"/>
        <v>8.5439565909996003E-4</v>
      </c>
      <c r="J91" s="9">
        <f t="shared" si="43"/>
        <v>8.636825684380031E-4</v>
      </c>
      <c r="K91" s="9">
        <f t="shared" si="44"/>
        <v>9.0294086700336686E-4</v>
      </c>
      <c r="L91" s="9">
        <f t="shared" si="45"/>
        <v>9.4593805114638445E-4</v>
      </c>
      <c r="M91" s="11"/>
      <c r="N91" s="9"/>
      <c r="O91" s="24"/>
      <c r="P91" s="97"/>
      <c r="Q91" s="24"/>
      <c r="R91" s="9"/>
      <c r="S91" s="12"/>
      <c r="V91" s="23" t="s">
        <v>5</v>
      </c>
      <c r="W91" s="104"/>
    </row>
    <row r="92" spans="1:23" ht="17.149999999999999" customHeight="1" x14ac:dyDescent="0.35">
      <c r="A92" s="8" t="s">
        <v>98</v>
      </c>
      <c r="B92" s="9">
        <v>1.0243055555555556E-2</v>
      </c>
      <c r="C92" s="9">
        <v>3.0092592592592588E-3</v>
      </c>
      <c r="D92" s="9">
        <f t="shared" si="46"/>
        <v>5.9594097222222218E-3</v>
      </c>
      <c r="E92" s="10">
        <v>0.58179999999999998</v>
      </c>
      <c r="F92" s="9">
        <f t="shared" si="39"/>
        <v>7.5231481481481471E-4</v>
      </c>
      <c r="G92" s="9">
        <f t="shared" si="40"/>
        <v>7.9458796296296287E-4</v>
      </c>
      <c r="H92" s="9">
        <f t="shared" si="41"/>
        <v>8.1944444444444447E-4</v>
      </c>
      <c r="I92" s="9">
        <f t="shared" si="42"/>
        <v>8.5439565909996003E-4</v>
      </c>
      <c r="J92" s="9">
        <f t="shared" si="43"/>
        <v>8.636825684380031E-4</v>
      </c>
      <c r="K92" s="9">
        <f t="shared" si="44"/>
        <v>9.0294086700336686E-4</v>
      </c>
      <c r="L92" s="9">
        <f t="shared" si="45"/>
        <v>9.4593805114638445E-4</v>
      </c>
      <c r="M92" s="11"/>
      <c r="N92" s="9"/>
      <c r="O92" s="24"/>
      <c r="P92" s="97"/>
      <c r="Q92" s="24"/>
      <c r="R92" s="9"/>
      <c r="S92" s="12"/>
      <c r="V92" s="23" t="s">
        <v>5</v>
      </c>
      <c r="W92" s="104"/>
    </row>
    <row r="93" spans="1:23" ht="17.149999999999999" customHeight="1" x14ac:dyDescent="0.35">
      <c r="A93" s="8" t="s">
        <v>100</v>
      </c>
      <c r="B93" s="9">
        <v>1.0243055555555556E-2</v>
      </c>
      <c r="C93" s="9">
        <v>2.9745370370370373E-3</v>
      </c>
      <c r="D93" s="9">
        <f t="shared" si="46"/>
        <v>5.9594097222222218E-3</v>
      </c>
      <c r="E93" s="10">
        <v>0.58179999999999998</v>
      </c>
      <c r="F93" s="9">
        <f t="shared" si="39"/>
        <v>7.4363425925925931E-4</v>
      </c>
      <c r="G93" s="9">
        <f t="shared" si="40"/>
        <v>7.9458796296296287E-4</v>
      </c>
      <c r="H93" s="9">
        <f t="shared" si="41"/>
        <v>8.1944444444444447E-4</v>
      </c>
      <c r="I93" s="9">
        <f t="shared" si="42"/>
        <v>8.5439565909996003E-4</v>
      </c>
      <c r="J93" s="9">
        <f t="shared" si="43"/>
        <v>8.636825684380031E-4</v>
      </c>
      <c r="K93" s="9">
        <f t="shared" si="44"/>
        <v>9.0294086700336686E-4</v>
      </c>
      <c r="L93" s="9">
        <f t="shared" si="45"/>
        <v>9.4593805114638445E-4</v>
      </c>
      <c r="M93" s="11"/>
      <c r="N93" s="9"/>
      <c r="O93" s="24"/>
      <c r="P93" s="97"/>
      <c r="Q93" s="24"/>
      <c r="R93" s="9"/>
      <c r="S93" s="12"/>
      <c r="V93" s="23" t="s">
        <v>5</v>
      </c>
      <c r="W93" s="104"/>
    </row>
    <row r="94" spans="1:23" ht="17.149999999999999" customHeight="1" x14ac:dyDescent="0.35">
      <c r="A94" s="8" t="s">
        <v>80</v>
      </c>
      <c r="B94" s="9">
        <v>1.0416666666666666E-2</v>
      </c>
      <c r="C94" s="9">
        <v>3.0092592592592588E-3</v>
      </c>
      <c r="D94" s="9">
        <f t="shared" si="46"/>
        <v>6.0604166666666662E-3</v>
      </c>
      <c r="E94" s="10">
        <v>0.58179999999999998</v>
      </c>
      <c r="F94" s="9">
        <f t="shared" si="39"/>
        <v>7.5231481481481471E-4</v>
      </c>
      <c r="G94" s="9">
        <f t="shared" si="40"/>
        <v>8.0805555555555546E-4</v>
      </c>
      <c r="H94" s="9">
        <f t="shared" si="41"/>
        <v>8.3333333333333328E-4</v>
      </c>
      <c r="I94" s="9">
        <f t="shared" si="42"/>
        <v>8.6887694145758646E-4</v>
      </c>
      <c r="J94" s="9">
        <f t="shared" si="43"/>
        <v>8.7832125603864715E-4</v>
      </c>
      <c r="K94" s="9">
        <f t="shared" si="44"/>
        <v>9.1824494949494938E-4</v>
      </c>
      <c r="L94" s="9">
        <f t="shared" si="45"/>
        <v>9.6197089947089938E-4</v>
      </c>
      <c r="M94" s="11"/>
      <c r="N94" s="9"/>
      <c r="O94" s="24"/>
      <c r="P94" s="97"/>
      <c r="Q94" s="24"/>
      <c r="R94" s="24"/>
      <c r="S94" s="24"/>
      <c r="T94" s="24"/>
      <c r="U94" s="24"/>
      <c r="V94" s="23" t="s">
        <v>5</v>
      </c>
      <c r="W94" s="111"/>
    </row>
    <row r="95" spans="1:23" ht="17.149999999999999" customHeight="1" x14ac:dyDescent="0.35">
      <c r="A95" s="8" t="s">
        <v>77</v>
      </c>
      <c r="B95" s="9">
        <v>1.0416666666666666E-2</v>
      </c>
      <c r="C95" s="9">
        <v>2.9745370370370373E-3</v>
      </c>
      <c r="D95" s="9">
        <f t="shared" si="46"/>
        <v>6.0604166666666662E-3</v>
      </c>
      <c r="E95" s="10">
        <v>0.58179999999999998</v>
      </c>
      <c r="F95" s="9">
        <f t="shared" si="39"/>
        <v>7.4363425925925931E-4</v>
      </c>
      <c r="G95" s="9">
        <f t="shared" si="40"/>
        <v>8.0805555555555546E-4</v>
      </c>
      <c r="H95" s="9">
        <f t="shared" si="41"/>
        <v>8.3333333333333328E-4</v>
      </c>
      <c r="I95" s="9">
        <f t="shared" si="42"/>
        <v>8.6887694145758646E-4</v>
      </c>
      <c r="J95" s="9">
        <f t="shared" si="43"/>
        <v>8.7832125603864715E-4</v>
      </c>
      <c r="K95" s="9">
        <f t="shared" si="44"/>
        <v>9.1824494949494938E-4</v>
      </c>
      <c r="L95" s="9">
        <f t="shared" si="45"/>
        <v>9.6197089947089938E-4</v>
      </c>
      <c r="M95" s="11"/>
      <c r="N95" s="9"/>
      <c r="O95" s="24"/>
      <c r="P95" s="97"/>
      <c r="Q95" s="24"/>
      <c r="R95" s="24"/>
      <c r="S95" s="24"/>
      <c r="T95" s="24"/>
      <c r="U95" s="24"/>
      <c r="V95" s="23" t="s">
        <v>5</v>
      </c>
      <c r="W95" s="111"/>
    </row>
    <row r="96" spans="1:23" ht="17.149999999999999" customHeight="1" x14ac:dyDescent="0.35">
      <c r="A96" s="8" t="s">
        <v>101</v>
      </c>
      <c r="B96" s="9">
        <v>1.0474537037037037E-2</v>
      </c>
      <c r="C96" s="9">
        <v>3.0671296296296297E-3</v>
      </c>
      <c r="D96" s="9">
        <f t="shared" si="46"/>
        <v>6.094085648148148E-3</v>
      </c>
      <c r="E96" s="10">
        <v>0.58179999999999998</v>
      </c>
      <c r="F96" s="9">
        <f t="shared" si="39"/>
        <v>7.6678240740740743E-4</v>
      </c>
      <c r="G96" s="9">
        <f t="shared" si="40"/>
        <v>8.1254475308641973E-4</v>
      </c>
      <c r="H96" s="9">
        <f t="shared" si="41"/>
        <v>8.3796296296296299E-4</v>
      </c>
      <c r="I96" s="9">
        <f t="shared" si="42"/>
        <v>8.7370403557679541E-4</v>
      </c>
      <c r="J96" s="9">
        <f t="shared" si="43"/>
        <v>8.8320081857219527E-4</v>
      </c>
      <c r="K96" s="9">
        <f t="shared" si="44"/>
        <v>9.2334631032547692E-4</v>
      </c>
      <c r="L96" s="9">
        <f t="shared" si="45"/>
        <v>9.6731518224573777E-4</v>
      </c>
      <c r="M96" s="11"/>
      <c r="N96" s="9"/>
      <c r="O96" s="24"/>
      <c r="P96" s="97"/>
      <c r="Q96" s="24"/>
      <c r="R96" s="9"/>
      <c r="S96" s="12"/>
      <c r="V96" s="23" t="s">
        <v>5</v>
      </c>
      <c r="W96" s="111"/>
    </row>
    <row r="97" spans="1:23" ht="17.149999999999999" customHeight="1" x14ac:dyDescent="0.35">
      <c r="A97" s="8" t="s">
        <v>108</v>
      </c>
      <c r="B97" s="9">
        <v>1.0763888888888891E-2</v>
      </c>
      <c r="C97" s="9">
        <v>3.1828703703703702E-3</v>
      </c>
      <c r="D97" s="9">
        <f t="shared" si="46"/>
        <v>6.2624305555555567E-3</v>
      </c>
      <c r="E97" s="10">
        <v>0.58179999999999998</v>
      </c>
      <c r="F97" s="9">
        <f t="shared" si="39"/>
        <v>7.9571759259259255E-4</v>
      </c>
      <c r="G97" s="9">
        <f t="shared" si="40"/>
        <v>8.3499074074074085E-4</v>
      </c>
      <c r="H97" s="9">
        <f t="shared" si="41"/>
        <v>8.6111111111111121E-4</v>
      </c>
      <c r="I97" s="9">
        <f t="shared" si="42"/>
        <v>8.9783950617283953E-4</v>
      </c>
      <c r="J97" s="9">
        <f t="shared" si="43"/>
        <v>9.0759863123993567E-4</v>
      </c>
      <c r="K97" s="9">
        <f t="shared" si="44"/>
        <v>9.4885311447811464E-4</v>
      </c>
      <c r="L97" s="9">
        <f t="shared" si="45"/>
        <v>9.9403659611992969E-4</v>
      </c>
      <c r="M97" s="11"/>
      <c r="N97" s="9"/>
      <c r="O97" s="24"/>
      <c r="P97" s="97"/>
      <c r="Q97" s="24"/>
      <c r="R97" s="24"/>
      <c r="S97" s="24"/>
      <c r="T97" s="24"/>
      <c r="U97" s="24"/>
      <c r="V97" s="23" t="s">
        <v>5</v>
      </c>
      <c r="W97" s="111"/>
    </row>
    <row r="98" spans="1:23" ht="14.5" customHeight="1" x14ac:dyDescent="0.35">
      <c r="A98" s="8" t="s">
        <v>90</v>
      </c>
      <c r="B98" s="9">
        <v>1.0995370370370371E-2</v>
      </c>
      <c r="C98" s="9">
        <v>3.1828703703703702E-3</v>
      </c>
      <c r="D98" s="9">
        <f t="shared" si="46"/>
        <v>6.397106481481481E-3</v>
      </c>
      <c r="E98" s="10">
        <v>0.58179999999999998</v>
      </c>
      <c r="F98" s="9">
        <f t="shared" si="39"/>
        <v>7.9571759259259255E-4</v>
      </c>
      <c r="G98" s="9">
        <f t="shared" si="40"/>
        <v>8.5294753086419749E-4</v>
      </c>
      <c r="H98" s="9">
        <f t="shared" si="41"/>
        <v>8.7962962962962962E-4</v>
      </c>
      <c r="I98" s="9">
        <f t="shared" si="42"/>
        <v>9.171478826496747E-4</v>
      </c>
      <c r="J98" s="9">
        <f t="shared" si="43"/>
        <v>9.2711688137412762E-4</v>
      </c>
      <c r="K98" s="9">
        <f t="shared" si="44"/>
        <v>9.6925855780022438E-4</v>
      </c>
      <c r="L98" s="9">
        <f t="shared" si="45"/>
        <v>1.0154137272192828E-3</v>
      </c>
      <c r="M98" s="11"/>
      <c r="N98" s="9"/>
      <c r="O98" s="24"/>
      <c r="P98" s="9"/>
      <c r="Q98" s="24"/>
      <c r="R98" s="9"/>
      <c r="S98" s="12"/>
      <c r="T98" s="25"/>
      <c r="U98" s="28"/>
      <c r="V98" s="23" t="s">
        <v>53</v>
      </c>
      <c r="W98" s="111"/>
    </row>
    <row r="99" spans="1:23" ht="15" customHeight="1" x14ac:dyDescent="0.35">
      <c r="A99" s="8" t="s">
        <v>115</v>
      </c>
      <c r="B99" s="9">
        <v>1.1111111111111112E-2</v>
      </c>
      <c r="C99" s="9">
        <v>3.1249999999999997E-3</v>
      </c>
      <c r="D99" s="9">
        <f t="shared" si="46"/>
        <v>6.4644444444444445E-3</v>
      </c>
      <c r="E99" s="10">
        <v>0.58179999999999998</v>
      </c>
      <c r="F99" s="9">
        <f t="shared" si="39"/>
        <v>7.8124999999999993E-4</v>
      </c>
      <c r="G99" s="9">
        <f t="shared" si="40"/>
        <v>8.6192592592592592E-4</v>
      </c>
      <c r="H99" s="9">
        <f t="shared" si="41"/>
        <v>8.8888888888888893E-4</v>
      </c>
      <c r="I99" s="9">
        <f t="shared" si="42"/>
        <v>9.2680207088809239E-4</v>
      </c>
      <c r="J99" s="9">
        <f t="shared" si="43"/>
        <v>9.3687600644122375E-4</v>
      </c>
      <c r="K99" s="9">
        <f t="shared" si="44"/>
        <v>9.7946127946127947E-4</v>
      </c>
      <c r="L99" s="9">
        <f t="shared" si="45"/>
        <v>1.0261022927689596E-3</v>
      </c>
      <c r="M99" s="11"/>
      <c r="N99" s="9"/>
      <c r="O99" s="24"/>
      <c r="P99" s="9"/>
      <c r="Q99" s="24"/>
      <c r="R99" s="9"/>
      <c r="S99" s="12"/>
      <c r="T99" s="96"/>
      <c r="U99" s="9"/>
      <c r="V99" s="23" t="s">
        <v>53</v>
      </c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666A-4D5C-4F11-8448-FFBBD44C74B1}">
  <sheetPr>
    <pageSetUpPr fitToPage="1"/>
  </sheetPr>
  <dimension ref="A1:W99"/>
  <sheetViews>
    <sheetView workbookViewId="0">
      <selection activeCell="R91" sqref="R9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226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179</v>
      </c>
      <c r="P1" s="6" t="s">
        <v>129</v>
      </c>
      <c r="Q1" s="6" t="s">
        <v>130</v>
      </c>
      <c r="R1" s="6" t="s">
        <v>120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227</v>
      </c>
    </row>
    <row r="2" spans="1:23" ht="17.149999999999999" customHeight="1" x14ac:dyDescent="0.35">
      <c r="A2" s="8" t="s">
        <v>52</v>
      </c>
      <c r="B2" s="9">
        <v>1.1805555555555555E-2</v>
      </c>
      <c r="C2" s="9">
        <v>3.472222222222222E-3</v>
      </c>
      <c r="D2" s="9">
        <f t="shared" ref="D2:D7" si="0">B2*E2</f>
        <v>6.868472222222222E-3</v>
      </c>
      <c r="E2" s="10">
        <v>0.58179999999999998</v>
      </c>
      <c r="F2" s="9">
        <f t="shared" ref="F2:F8" si="1">C2/4</f>
        <v>8.6805555555555551E-4</v>
      </c>
      <c r="G2" s="9">
        <f t="shared" ref="G2:G8" si="2">D2/7.5</f>
        <v>9.1579629629629628E-4</v>
      </c>
      <c r="H2" s="9">
        <f t="shared" ref="H2:H8" si="3">B2/12.5</f>
        <v>9.4444444444444437E-4</v>
      </c>
      <c r="I2" s="9">
        <f t="shared" ref="I2:I8" si="4">G2/0.93</f>
        <v>9.8472720031859799E-4</v>
      </c>
      <c r="J2" s="9">
        <f t="shared" ref="J2:J8" si="5">G2/0.92</f>
        <v>9.9543075684380036E-4</v>
      </c>
      <c r="K2" s="9">
        <f t="shared" ref="K2:K8" si="6">G2/0.88</f>
        <v>1.0406776094276093E-3</v>
      </c>
      <c r="L2" s="9">
        <f t="shared" ref="L2:L8" si="7">G2/0.84</f>
        <v>1.0902336860670195E-3</v>
      </c>
      <c r="M2" s="11">
        <f>Table1461012142422323436384044485052481113151719212325[[#This Row],[Thresh]]</f>
        <v>1.0406776094276093E-3</v>
      </c>
      <c r="N2" s="9">
        <f>Table1461012142422323436384044485052481113151719212325[[#This Row],[T (400)]]*2.5</f>
        <v>2.6016940235690234E-3</v>
      </c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36</v>
      </c>
      <c r="B3" s="9">
        <v>1.3020833333333334E-2</v>
      </c>
      <c r="C3" s="9">
        <v>3.7615740740740739E-3</v>
      </c>
      <c r="D3" s="9">
        <f t="shared" si="0"/>
        <v>7.5755208333333334E-3</v>
      </c>
      <c r="E3" s="10">
        <v>0.58179999999999998</v>
      </c>
      <c r="F3" s="9">
        <f t="shared" si="1"/>
        <v>9.4039351851851847E-4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>
        <f>Table1461012142422323436384044485052481113151719212325[[#This Row],[Thresh]]</f>
        <v>1.1478061868686869E-3</v>
      </c>
      <c r="N3" s="9">
        <f>Table1461012142422323436384044485052481113151719212325[[#This Row],[T (400)]]*2.5</f>
        <v>2.8695154671717171E-3</v>
      </c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 t="shared" si="0"/>
        <v>7.5755208333333334E-3</v>
      </c>
      <c r="E4" s="10">
        <v>0.58179999999999998</v>
      </c>
      <c r="F4" s="9">
        <f t="shared" si="1"/>
        <v>9.2592592592592585E-4</v>
      </c>
      <c r="G4" s="9">
        <f t="shared" si="2"/>
        <v>1.0100694444444445E-3</v>
      </c>
      <c r="H4" s="9">
        <f t="shared" si="3"/>
        <v>1.0416666666666667E-3</v>
      </c>
      <c r="I4" s="9">
        <f t="shared" si="4"/>
        <v>1.0860961768219832E-3</v>
      </c>
      <c r="J4" s="9">
        <f t="shared" si="5"/>
        <v>1.0979015700483092E-3</v>
      </c>
      <c r="K4" s="9">
        <f t="shared" si="6"/>
        <v>1.1478061868686869E-3</v>
      </c>
      <c r="L4" s="9">
        <f t="shared" si="7"/>
        <v>1.2024636243386244E-3</v>
      </c>
      <c r="M4" s="11">
        <f>Table1461012142422323436384044485052481113151719212325[[#This Row],[Thresh]]</f>
        <v>1.1478061868686869E-3</v>
      </c>
      <c r="N4" s="9">
        <f>Table1461012142422323436384044485052481113151719212325[[#This Row],[T (400)]]*2.5</f>
        <v>2.8695154671717171E-3</v>
      </c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25</v>
      </c>
      <c r="B5" s="9">
        <v>1.3541666666666667E-2</v>
      </c>
      <c r="C5" s="9">
        <v>3.7037037037037038E-3</v>
      </c>
      <c r="D5" s="9">
        <f t="shared" si="0"/>
        <v>7.8785416666666674E-3</v>
      </c>
      <c r="E5" s="10">
        <v>0.58179999999999998</v>
      </c>
      <c r="F5" s="9">
        <f t="shared" si="1"/>
        <v>9.2592592592592596E-4</v>
      </c>
      <c r="G5" s="9">
        <f t="shared" si="2"/>
        <v>1.0504722222222224E-3</v>
      </c>
      <c r="H5" s="9">
        <f t="shared" si="3"/>
        <v>1.0833333333333333E-3</v>
      </c>
      <c r="I5" s="9">
        <f t="shared" si="4"/>
        <v>1.1295400238948627E-3</v>
      </c>
      <c r="J5" s="9">
        <f t="shared" si="5"/>
        <v>1.1418176328502417E-3</v>
      </c>
      <c r="K5" s="9">
        <f t="shared" si="6"/>
        <v>1.1937184343434346E-3</v>
      </c>
      <c r="L5" s="9">
        <f t="shared" si="7"/>
        <v>1.2505621693121695E-3</v>
      </c>
      <c r="M5" s="11">
        <f>Table1461012142422323436384044485052481113151719212325[[#This Row],[Thresh]]</f>
        <v>1.1937184343434346E-3</v>
      </c>
      <c r="N5" s="9">
        <f>Table1461012142422323436384044485052481113151719212325[[#This Row],[T (400)]]*2.5</f>
        <v>2.9842960858585863E-3</v>
      </c>
      <c r="O5" s="12"/>
      <c r="P5" s="9"/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26</v>
      </c>
      <c r="B6" s="9">
        <v>1.2152777777777778E-2</v>
      </c>
      <c r="C6" s="9">
        <v>3.472222222222222E-3</v>
      </c>
      <c r="D6" s="9">
        <f t="shared" si="0"/>
        <v>7.0704861111111107E-3</v>
      </c>
      <c r="E6" s="10">
        <v>0.58179999999999998</v>
      </c>
      <c r="F6" s="9">
        <f t="shared" si="1"/>
        <v>8.6805555555555551E-4</v>
      </c>
      <c r="G6" s="9">
        <f t="shared" si="2"/>
        <v>9.4273148148148146E-4</v>
      </c>
      <c r="H6" s="9">
        <f t="shared" si="3"/>
        <v>9.7222222222222219E-4</v>
      </c>
      <c r="I6" s="9">
        <f t="shared" si="4"/>
        <v>1.0136897650338511E-3</v>
      </c>
      <c r="J6" s="9">
        <f t="shared" si="5"/>
        <v>1.0247081320450884E-3</v>
      </c>
      <c r="K6" s="9">
        <f t="shared" si="6"/>
        <v>1.0712857744107744E-3</v>
      </c>
      <c r="L6" s="9">
        <f t="shared" si="7"/>
        <v>1.1222993827160494E-3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228</v>
      </c>
      <c r="W6" s="104"/>
    </row>
    <row r="7" spans="1:23" ht="17.149999999999999" customHeight="1" x14ac:dyDescent="0.35">
      <c r="A7" s="8" t="s">
        <v>56</v>
      </c>
      <c r="B7" s="9">
        <v>1.3541666666666667E-2</v>
      </c>
      <c r="C7" s="9">
        <v>3.9351851851851857E-3</v>
      </c>
      <c r="D7" s="9">
        <f t="shared" si="0"/>
        <v>7.8785416666666674E-3</v>
      </c>
      <c r="E7" s="10">
        <v>0.58179999999999998</v>
      </c>
      <c r="F7" s="9">
        <f t="shared" si="1"/>
        <v>9.8379629629629642E-4</v>
      </c>
      <c r="G7" s="9">
        <f t="shared" si="2"/>
        <v>1.0504722222222224E-3</v>
      </c>
      <c r="H7" s="9">
        <f t="shared" si="3"/>
        <v>1.0833333333333333E-3</v>
      </c>
      <c r="I7" s="9">
        <f t="shared" si="4"/>
        <v>1.1295400238948627E-3</v>
      </c>
      <c r="J7" s="9">
        <f t="shared" si="5"/>
        <v>1.1418176328502417E-3</v>
      </c>
      <c r="K7" s="9">
        <f t="shared" si="6"/>
        <v>1.1937184343434346E-3</v>
      </c>
      <c r="L7" s="9">
        <f t="shared" si="7"/>
        <v>1.2505621693121695E-3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57</v>
      </c>
      <c r="W7" s="104"/>
    </row>
    <row r="8" spans="1:23" ht="17.149999999999999" customHeight="1" x14ac:dyDescent="0.35">
      <c r="A8" s="8"/>
      <c r="B8" s="9"/>
      <c r="C8" s="9"/>
      <c r="D8" s="9"/>
      <c r="E8" s="10"/>
      <c r="F8" s="9">
        <f t="shared" si="1"/>
        <v>0</v>
      </c>
      <c r="G8" s="9">
        <f t="shared" si="2"/>
        <v>0</v>
      </c>
      <c r="H8" s="9">
        <f t="shared" si="3"/>
        <v>0</v>
      </c>
      <c r="I8" s="9">
        <f t="shared" si="4"/>
        <v>0</v>
      </c>
      <c r="J8" s="9">
        <f t="shared" si="5"/>
        <v>0</v>
      </c>
      <c r="K8" s="9">
        <f t="shared" si="6"/>
        <v>0</v>
      </c>
      <c r="L8" s="9">
        <f t="shared" si="7"/>
        <v>0</v>
      </c>
      <c r="M8" s="11"/>
      <c r="N8" s="9"/>
      <c r="O8" s="12"/>
      <c r="P8" s="9"/>
      <c r="Q8" s="12"/>
      <c r="R8" s="9"/>
      <c r="S8" s="12"/>
      <c r="T8" s="9"/>
      <c r="U8" s="9"/>
      <c r="V8" s="13"/>
      <c r="W8" s="104"/>
    </row>
    <row r="9" spans="1:23" ht="17.149999999999999" customHeight="1" x14ac:dyDescent="0.35">
      <c r="A9" s="14"/>
      <c r="B9" s="15"/>
      <c r="C9" s="15"/>
      <c r="D9" s="15"/>
      <c r="E9" s="16"/>
      <c r="F9" s="15">
        <f t="shared" ref="F9" si="8">C9/4</f>
        <v>0</v>
      </c>
      <c r="G9" s="15">
        <f t="shared" ref="G9" si="9">D9/7.5</f>
        <v>0</v>
      </c>
      <c r="H9" s="15">
        <f t="shared" ref="H9" si="10">B9/12.5</f>
        <v>0</v>
      </c>
      <c r="I9" s="15">
        <f t="shared" ref="I9" si="11">G9/0.93</f>
        <v>0</v>
      </c>
      <c r="J9" s="15">
        <f t="shared" ref="J9" si="12">G9/0.92</f>
        <v>0</v>
      </c>
      <c r="K9" s="15">
        <f t="shared" ref="K9" si="13">G9/0.88</f>
        <v>0</v>
      </c>
      <c r="L9" s="15">
        <f t="shared" ref="L9" si="14">G9/0.84</f>
        <v>0</v>
      </c>
      <c r="M9" s="30" t="s">
        <v>133</v>
      </c>
      <c r="N9" s="15"/>
      <c r="O9" s="15"/>
      <c r="P9" s="15"/>
      <c r="Q9" s="15"/>
      <c r="R9" s="15"/>
      <c r="S9" s="15"/>
      <c r="T9" s="15"/>
      <c r="U9" s="15"/>
      <c r="V9" s="17"/>
      <c r="W9" s="104"/>
    </row>
    <row r="10" spans="1:23" ht="17.149999999999999" customHeight="1" x14ac:dyDescent="0.35">
      <c r="A10" s="8" t="s">
        <v>51</v>
      </c>
      <c r="B10" s="9">
        <v>1.2499999999999999E-2</v>
      </c>
      <c r="C10" s="9">
        <v>3.7037037037037034E-3</v>
      </c>
      <c r="D10" s="9">
        <f t="shared" ref="D10:D18" si="15">B10*E10</f>
        <v>7.2724999999999995E-3</v>
      </c>
      <c r="E10" s="10">
        <v>0.58179999999999998</v>
      </c>
      <c r="F10" s="9">
        <f t="shared" ref="F10:F18" si="16">C10/4</f>
        <v>9.2592592592592585E-4</v>
      </c>
      <c r="G10" s="9">
        <f t="shared" ref="G10:G18" si="17">D10/7.5</f>
        <v>9.6966666666666664E-4</v>
      </c>
      <c r="H10" s="9">
        <f t="shared" ref="H10:H18" si="18">B10/12.5</f>
        <v>1E-3</v>
      </c>
      <c r="I10" s="9">
        <f t="shared" ref="I10:I18" si="19">G10/0.93</f>
        <v>1.0426523297491039E-3</v>
      </c>
      <c r="J10" s="9">
        <f t="shared" ref="J10:J18" si="20">G10/0.92</f>
        <v>1.0539855072463768E-3</v>
      </c>
      <c r="K10" s="9">
        <f t="shared" ref="K10:K18" si="21">G10/0.88</f>
        <v>1.1018939393939394E-3</v>
      </c>
      <c r="L10" s="9">
        <f t="shared" ref="L10:L18" si="22">G10/0.84</f>
        <v>1.1543650793650795E-3</v>
      </c>
      <c r="M10" s="11">
        <f>Table1461012142422323436384044485052481113151719212325[[#This Row],[R]]/2</f>
        <v>4.6296296296296293E-4</v>
      </c>
      <c r="N10" s="9"/>
      <c r="O10" s="12"/>
      <c r="P10" s="9"/>
      <c r="Q10" s="12"/>
      <c r="R10" s="9"/>
      <c r="S10" s="12"/>
      <c r="T10" s="9"/>
      <c r="U10" s="9"/>
      <c r="V10" s="13" t="s">
        <v>30</v>
      </c>
      <c r="W10" s="104" t="s">
        <v>229</v>
      </c>
    </row>
    <row r="11" spans="1:23" ht="17.149999999999999" customHeight="1" x14ac:dyDescent="0.35">
      <c r="A11" s="8" t="s">
        <v>39</v>
      </c>
      <c r="B11" s="9">
        <v>1.3020833333333334E-2</v>
      </c>
      <c r="C11" s="9">
        <v>3.8194444444444443E-3</v>
      </c>
      <c r="D11" s="9">
        <f t="shared" si="15"/>
        <v>7.5755208333333334E-3</v>
      </c>
      <c r="E11" s="10">
        <v>0.58179999999999998</v>
      </c>
      <c r="F11" s="9">
        <f t="shared" si="16"/>
        <v>9.5486111111111108E-4</v>
      </c>
      <c r="G11" s="9">
        <f t="shared" si="17"/>
        <v>1.0100694444444445E-3</v>
      </c>
      <c r="H11" s="9">
        <f t="shared" si="18"/>
        <v>1.0416666666666667E-3</v>
      </c>
      <c r="I11" s="9">
        <f t="shared" si="19"/>
        <v>1.0860961768219832E-3</v>
      </c>
      <c r="J11" s="9">
        <f t="shared" si="20"/>
        <v>1.0979015700483092E-3</v>
      </c>
      <c r="K11" s="9">
        <f t="shared" si="21"/>
        <v>1.1478061868686869E-3</v>
      </c>
      <c r="L11" s="9">
        <f t="shared" si="22"/>
        <v>1.2024636243386244E-3</v>
      </c>
      <c r="M11" s="11">
        <f>Table1461012142422323436384044485052481113151719212325[[#This Row],[R]]/2</f>
        <v>4.7743055555555554E-4</v>
      </c>
      <c r="N11" s="9"/>
      <c r="O11" s="12"/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40</v>
      </c>
      <c r="B12" s="9">
        <v>1.3020833333333334E-2</v>
      </c>
      <c r="C12" s="9">
        <v>3.8194444444444443E-3</v>
      </c>
      <c r="D12" s="9">
        <f t="shared" si="15"/>
        <v>7.5755208333333334E-3</v>
      </c>
      <c r="E12" s="10">
        <v>0.58179999999999998</v>
      </c>
      <c r="F12" s="9">
        <f t="shared" si="16"/>
        <v>9.5486111111111108E-4</v>
      </c>
      <c r="G12" s="9">
        <f t="shared" si="17"/>
        <v>1.0100694444444445E-3</v>
      </c>
      <c r="H12" s="9">
        <f t="shared" si="18"/>
        <v>1.0416666666666667E-3</v>
      </c>
      <c r="I12" s="9">
        <f t="shared" si="19"/>
        <v>1.0860961768219832E-3</v>
      </c>
      <c r="J12" s="9">
        <f t="shared" si="20"/>
        <v>1.0979015700483092E-3</v>
      </c>
      <c r="K12" s="9">
        <f t="shared" si="21"/>
        <v>1.1478061868686869E-3</v>
      </c>
      <c r="L12" s="9">
        <f t="shared" si="22"/>
        <v>1.2024636243386244E-3</v>
      </c>
      <c r="M12" s="11">
        <f>Table1461012142422323436384044485052481113151719212325[[#This Row],[R]]/2</f>
        <v>4.7743055555555554E-4</v>
      </c>
      <c r="N12" s="9"/>
      <c r="O12" s="12"/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38</v>
      </c>
      <c r="B13" s="9">
        <v>1.238425925925926E-2</v>
      </c>
      <c r="C13" s="9">
        <v>3.8194444444444443E-3</v>
      </c>
      <c r="D13" s="9">
        <f t="shared" si="15"/>
        <v>7.2051620370370368E-3</v>
      </c>
      <c r="E13" s="10">
        <v>0.58179999999999998</v>
      </c>
      <c r="F13" s="9">
        <f t="shared" si="16"/>
        <v>9.5486111111111108E-4</v>
      </c>
      <c r="G13" s="9">
        <f t="shared" si="17"/>
        <v>9.6068827160493821E-4</v>
      </c>
      <c r="H13" s="9">
        <f t="shared" si="18"/>
        <v>9.9074074074074082E-4</v>
      </c>
      <c r="I13" s="9">
        <f t="shared" si="19"/>
        <v>1.0329981415106862E-3</v>
      </c>
      <c r="J13" s="9">
        <f t="shared" si="20"/>
        <v>1.0442263821792807E-3</v>
      </c>
      <c r="K13" s="9">
        <f t="shared" si="21"/>
        <v>1.0916912177328843E-3</v>
      </c>
      <c r="L13" s="9">
        <f t="shared" si="22"/>
        <v>1.1436765138154027E-3</v>
      </c>
      <c r="M13" s="11">
        <f>Table1461012142422323436384044485052481113151719212325[[#This Row],[R]]/2</f>
        <v>4.7743055555555554E-4</v>
      </c>
      <c r="N13" s="9"/>
      <c r="O13" s="12"/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50</v>
      </c>
      <c r="B14" s="9">
        <v>1.2499999999999999E-2</v>
      </c>
      <c r="C14" s="9">
        <v>3.9351851851851857E-3</v>
      </c>
      <c r="D14" s="9">
        <f t="shared" si="15"/>
        <v>7.2724999999999995E-3</v>
      </c>
      <c r="E14" s="10">
        <v>0.58179999999999998</v>
      </c>
      <c r="F14" s="9">
        <f t="shared" si="16"/>
        <v>9.8379629629629642E-4</v>
      </c>
      <c r="G14" s="9">
        <f t="shared" si="17"/>
        <v>9.6966666666666664E-4</v>
      </c>
      <c r="H14" s="9">
        <f t="shared" si="18"/>
        <v>1E-3</v>
      </c>
      <c r="I14" s="9">
        <f t="shared" si="19"/>
        <v>1.0426523297491039E-3</v>
      </c>
      <c r="J14" s="9">
        <f t="shared" si="20"/>
        <v>1.0539855072463768E-3</v>
      </c>
      <c r="K14" s="9">
        <f t="shared" si="21"/>
        <v>1.1018939393939394E-3</v>
      </c>
      <c r="L14" s="9">
        <f t="shared" si="22"/>
        <v>1.1543650793650795E-3</v>
      </c>
      <c r="M14" s="11">
        <f>Table1461012142422323436384044485052481113151719212325[[#This Row],[R]]/2</f>
        <v>4.9189814814814821E-4</v>
      </c>
      <c r="N14" s="9"/>
      <c r="O14" s="12"/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41</v>
      </c>
      <c r="B15" s="9">
        <v>1.3541666666666667E-2</v>
      </c>
      <c r="C15" s="9">
        <v>4.0509259259259257E-3</v>
      </c>
      <c r="D15" s="9">
        <f t="shared" si="15"/>
        <v>7.8785416666666674E-3</v>
      </c>
      <c r="E15" s="10">
        <v>0.58179999999999998</v>
      </c>
      <c r="F15" s="9">
        <f t="shared" si="16"/>
        <v>1.0127314814814814E-3</v>
      </c>
      <c r="G15" s="9">
        <f t="shared" si="17"/>
        <v>1.0504722222222224E-3</v>
      </c>
      <c r="H15" s="9">
        <f t="shared" si="18"/>
        <v>1.0833333333333333E-3</v>
      </c>
      <c r="I15" s="9">
        <f t="shared" si="19"/>
        <v>1.1295400238948627E-3</v>
      </c>
      <c r="J15" s="9">
        <f t="shared" si="20"/>
        <v>1.1418176328502417E-3</v>
      </c>
      <c r="K15" s="9">
        <f t="shared" si="21"/>
        <v>1.1937184343434346E-3</v>
      </c>
      <c r="L15" s="9">
        <f t="shared" si="22"/>
        <v>1.2505621693121695E-3</v>
      </c>
      <c r="M15" s="11">
        <f>Table1461012142422323436384044485052481113151719212325[[#This Row],[R]]/2</f>
        <v>5.0636574074074071E-4</v>
      </c>
      <c r="N15" s="9"/>
      <c r="O15" s="12"/>
      <c r="P15" s="9"/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42</v>
      </c>
      <c r="B16" s="9">
        <v>1.4236111111111111E-2</v>
      </c>
      <c r="C16" s="9">
        <v>4.0509259259259257E-3</v>
      </c>
      <c r="D16" s="9">
        <f t="shared" si="15"/>
        <v>8.2825694444444448E-3</v>
      </c>
      <c r="E16" s="10">
        <v>0.58179999999999998</v>
      </c>
      <c r="F16" s="9">
        <f t="shared" si="16"/>
        <v>1.0127314814814814E-3</v>
      </c>
      <c r="G16" s="9">
        <f t="shared" si="17"/>
        <v>1.1043425925925927E-3</v>
      </c>
      <c r="H16" s="9">
        <f t="shared" si="18"/>
        <v>1.1388888888888889E-3</v>
      </c>
      <c r="I16" s="9">
        <f t="shared" si="19"/>
        <v>1.1874651533253684E-3</v>
      </c>
      <c r="J16" s="9">
        <f t="shared" si="20"/>
        <v>1.2003723832528181E-3</v>
      </c>
      <c r="K16" s="9">
        <f t="shared" si="21"/>
        <v>1.2549347643097644E-3</v>
      </c>
      <c r="L16" s="9">
        <f t="shared" si="22"/>
        <v>1.3146935626102295E-3</v>
      </c>
      <c r="M16" s="11">
        <f>Table1461012142422323436384044485052481113151719212325[[#This Row],[R]]/2</f>
        <v>5.0636574074074071E-4</v>
      </c>
      <c r="N16" s="9"/>
      <c r="O16" s="12"/>
      <c r="P16" s="9"/>
      <c r="Q16" s="12"/>
      <c r="R16" s="9"/>
      <c r="S16" s="12"/>
      <c r="T16" s="9"/>
      <c r="U16" s="9"/>
      <c r="V16" s="13" t="s">
        <v>30</v>
      </c>
      <c r="W16" s="104"/>
    </row>
    <row r="17" spans="1:23" ht="17.149999999999999" customHeight="1" x14ac:dyDescent="0.35">
      <c r="A17" s="8" t="s">
        <v>43</v>
      </c>
      <c r="B17" s="9">
        <v>1.4236111111111111E-2</v>
      </c>
      <c r="C17" s="9">
        <v>4.0509259259259257E-3</v>
      </c>
      <c r="D17" s="9">
        <f t="shared" si="15"/>
        <v>8.2825694444444448E-3</v>
      </c>
      <c r="E17" s="10">
        <v>0.58179999999999998</v>
      </c>
      <c r="F17" s="9">
        <f t="shared" si="16"/>
        <v>1.0127314814814814E-3</v>
      </c>
      <c r="G17" s="9">
        <f t="shared" si="17"/>
        <v>1.1043425925925927E-3</v>
      </c>
      <c r="H17" s="9">
        <f t="shared" si="18"/>
        <v>1.1388888888888889E-3</v>
      </c>
      <c r="I17" s="9">
        <f t="shared" si="19"/>
        <v>1.1874651533253684E-3</v>
      </c>
      <c r="J17" s="9">
        <f t="shared" si="20"/>
        <v>1.2003723832528181E-3</v>
      </c>
      <c r="K17" s="9">
        <f t="shared" si="21"/>
        <v>1.2549347643097644E-3</v>
      </c>
      <c r="L17" s="9">
        <f t="shared" si="22"/>
        <v>1.3146935626102295E-3</v>
      </c>
      <c r="M17" s="11">
        <f>Table1461012142422323436384044485052481113151719212325[[#This Row],[R]]/2</f>
        <v>5.0636574074074071E-4</v>
      </c>
      <c r="N17" s="9"/>
      <c r="O17" s="12"/>
      <c r="P17" s="9"/>
      <c r="Q17" s="12"/>
      <c r="R17" s="9"/>
      <c r="S17" s="12"/>
      <c r="T17" s="9"/>
      <c r="U17" s="9"/>
      <c r="V17" s="13" t="s">
        <v>30</v>
      </c>
      <c r="W17" s="104"/>
    </row>
    <row r="18" spans="1:23" ht="17.149999999999999" customHeight="1" x14ac:dyDescent="0.35">
      <c r="A18" s="8" t="s">
        <v>44</v>
      </c>
      <c r="B18" s="9">
        <v>1.4236111111111111E-2</v>
      </c>
      <c r="C18" s="9">
        <v>4.1666666666666666E-3</v>
      </c>
      <c r="D18" s="9">
        <f t="shared" si="15"/>
        <v>8.2825694444444448E-3</v>
      </c>
      <c r="E18" s="10">
        <v>0.58179999999999998</v>
      </c>
      <c r="F18" s="9">
        <f t="shared" si="16"/>
        <v>1.0416666666666667E-3</v>
      </c>
      <c r="G18" s="9">
        <f t="shared" si="17"/>
        <v>1.1043425925925927E-3</v>
      </c>
      <c r="H18" s="9">
        <f t="shared" si="18"/>
        <v>1.1388888888888889E-3</v>
      </c>
      <c r="I18" s="9">
        <f t="shared" si="19"/>
        <v>1.1874651533253684E-3</v>
      </c>
      <c r="J18" s="9">
        <f t="shared" si="20"/>
        <v>1.2003723832528181E-3</v>
      </c>
      <c r="K18" s="9">
        <f t="shared" si="21"/>
        <v>1.2549347643097644E-3</v>
      </c>
      <c r="L18" s="9">
        <f t="shared" si="22"/>
        <v>1.3146935626102295E-3</v>
      </c>
      <c r="M18" s="11">
        <f>Table1461012142422323436384044485052481113151719212325[[#This Row],[R]]/2</f>
        <v>5.2083333333333333E-4</v>
      </c>
      <c r="N18" s="9"/>
      <c r="O18" s="12"/>
      <c r="P18" s="9"/>
      <c r="Q18" s="12"/>
      <c r="R18" s="9"/>
      <c r="S18" s="12"/>
      <c r="T18" s="9"/>
      <c r="U18" s="9"/>
      <c r="V18" s="13" t="s">
        <v>30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 t="s">
        <v>230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ref="F20" si="23">C20/4</f>
        <v>0</v>
      </c>
      <c r="G20" s="15">
        <f t="shared" ref="G20" si="24">D20/7.5</f>
        <v>0</v>
      </c>
      <c r="H20" s="15">
        <f t="shared" ref="H20" si="25">B20/12.5</f>
        <v>0</v>
      </c>
      <c r="I20" s="15">
        <f t="shared" ref="I20" si="26">G20/0.93</f>
        <v>0</v>
      </c>
      <c r="J20" s="15">
        <f t="shared" ref="J20" si="27">G20/0.92</f>
        <v>0</v>
      </c>
      <c r="K20" s="15">
        <f t="shared" ref="K20" si="28">G20/0.88</f>
        <v>0</v>
      </c>
      <c r="L20" s="15">
        <f t="shared" ref="L20" si="29">G20/0.84</f>
        <v>0</v>
      </c>
      <c r="M20" s="30" t="s">
        <v>12</v>
      </c>
      <c r="N20" s="15" t="s">
        <v>58</v>
      </c>
      <c r="O20" s="15" t="s">
        <v>27</v>
      </c>
      <c r="P20" s="15"/>
      <c r="Q20" s="15"/>
      <c r="R20" s="15"/>
      <c r="S20" s="15"/>
      <c r="T20" s="15"/>
      <c r="U20" s="15"/>
      <c r="V20" s="17"/>
      <c r="W20" s="108"/>
    </row>
    <row r="21" spans="1:23" ht="17.149999999999999" customHeight="1" x14ac:dyDescent="0.35">
      <c r="A21" s="8" t="s">
        <v>28</v>
      </c>
      <c r="B21" s="9">
        <v>1.1689814814814814E-2</v>
      </c>
      <c r="C21" s="9">
        <v>3.3564814814814811E-3</v>
      </c>
      <c r="D21" s="9">
        <f t="shared" ref="D21:D22" si="30">B21*E21</f>
        <v>6.8011342592592585E-3</v>
      </c>
      <c r="E21" s="10">
        <v>0.58179999999999998</v>
      </c>
      <c r="F21" s="9">
        <f t="shared" ref="F21:F22" si="31">C21/4</f>
        <v>8.3912037037037028E-4</v>
      </c>
      <c r="G21" s="9">
        <f t="shared" ref="G21:G22" si="32">D21/7.5</f>
        <v>9.0681790123456785E-4</v>
      </c>
      <c r="H21" s="9">
        <f t="shared" ref="H21:H22" si="33">B21/12.5</f>
        <v>9.3518518518518516E-4</v>
      </c>
      <c r="I21" s="9">
        <f t="shared" ref="I21:I22" si="34">G21/0.93</f>
        <v>9.7507301208018041E-4</v>
      </c>
      <c r="J21" s="9">
        <f t="shared" ref="J21:J22" si="35">G21/0.92</f>
        <v>9.8567163177670412E-4</v>
      </c>
      <c r="K21" s="9">
        <f t="shared" ref="K21:K22" si="36">G21/0.88</f>
        <v>1.0304748877665545E-3</v>
      </c>
      <c r="L21" s="9">
        <f t="shared" ref="L21:L22" si="37">G21/0.84</f>
        <v>1.0795451205173427E-3</v>
      </c>
      <c r="M21" s="11">
        <f>Table1461012142422323436384044485052481113151719212325[[#This Row],[Thresh]]</f>
        <v>1.0304748877665545E-3</v>
      </c>
      <c r="N21" s="9">
        <f>Table1461012142422323436384044485052481113151719212325[[#This Row],[T (400)]]*2.5</f>
        <v>2.5761872194163863E-3</v>
      </c>
      <c r="O21" s="12">
        <f>Table1461012142422323436384044485052481113151719212325[[#This Row],[R]]</f>
        <v>8.3912037037037028E-4</v>
      </c>
      <c r="P21" s="9"/>
      <c r="Q21" s="12"/>
      <c r="R21" s="9"/>
      <c r="S21" s="12"/>
      <c r="T21" s="9"/>
      <c r="U21" s="9"/>
      <c r="V21" s="13" t="s">
        <v>168</v>
      </c>
      <c r="W21" s="108"/>
    </row>
    <row r="22" spans="1:23" ht="17.149999999999999" customHeight="1" x14ac:dyDescent="0.35">
      <c r="A22" s="8" t="s">
        <v>31</v>
      </c>
      <c r="B22" s="9">
        <v>1.1689814814814814E-2</v>
      </c>
      <c r="C22" s="9">
        <v>3.3564814814814811E-3</v>
      </c>
      <c r="D22" s="9">
        <f t="shared" si="30"/>
        <v>6.8011342592592585E-3</v>
      </c>
      <c r="E22" s="10">
        <v>0.58179999999999998</v>
      </c>
      <c r="F22" s="9">
        <f t="shared" si="31"/>
        <v>8.3912037037037028E-4</v>
      </c>
      <c r="G22" s="9">
        <f t="shared" si="32"/>
        <v>9.0681790123456785E-4</v>
      </c>
      <c r="H22" s="9">
        <f t="shared" si="33"/>
        <v>9.3518518518518516E-4</v>
      </c>
      <c r="I22" s="9">
        <f t="shared" si="34"/>
        <v>9.7507301208018041E-4</v>
      </c>
      <c r="J22" s="9">
        <f t="shared" si="35"/>
        <v>9.8567163177670412E-4</v>
      </c>
      <c r="K22" s="9">
        <f t="shared" si="36"/>
        <v>1.0304748877665545E-3</v>
      </c>
      <c r="L22" s="9">
        <f t="shared" si="37"/>
        <v>1.0795451205173427E-3</v>
      </c>
      <c r="M22" s="11">
        <f>Table1461012142422323436384044485052481113151719212325[[#This Row],[Thresh]]</f>
        <v>1.0304748877665545E-3</v>
      </c>
      <c r="N22" s="9">
        <f>Table1461012142422323436384044485052481113151719212325[[#This Row],[T (400)]]*2.5</f>
        <v>2.5761872194163863E-3</v>
      </c>
      <c r="O22" s="12">
        <f>Table1461012142422323436384044485052481113151719212325[[#This Row],[R]]</f>
        <v>8.3912037037037028E-4</v>
      </c>
      <c r="P22" s="9"/>
      <c r="Q22" s="12"/>
      <c r="R22" s="9"/>
      <c r="S22" s="12"/>
      <c r="T22" s="9"/>
      <c r="U22" s="9"/>
      <c r="V22" s="13" t="s">
        <v>168</v>
      </c>
      <c r="W22" s="108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:F30" si="38">C24/4</f>
        <v>0</v>
      </c>
      <c r="G24" s="15">
        <f t="shared" ref="G24:G30" si="39">D24/7.5</f>
        <v>0</v>
      </c>
      <c r="H24" s="15">
        <f t="shared" ref="H24:H30" si="40">B24/12.5</f>
        <v>0</v>
      </c>
      <c r="I24" s="15">
        <f t="shared" ref="I24:I30" si="41">G24/0.93</f>
        <v>0</v>
      </c>
      <c r="J24" s="15">
        <f t="shared" ref="J24:J30" si="42">G24/0.92</f>
        <v>0</v>
      </c>
      <c r="K24" s="15">
        <f t="shared" ref="K24:K30" si="43">G24/0.88</f>
        <v>0</v>
      </c>
      <c r="L24" s="15">
        <f t="shared" ref="L24:L30" si="44">G24/0.84</f>
        <v>0</v>
      </c>
      <c r="M24" s="30" t="s">
        <v>12</v>
      </c>
      <c r="N24" s="15" t="s">
        <v>231</v>
      </c>
      <c r="O24" s="15" t="s">
        <v>136</v>
      </c>
      <c r="P24" s="15" t="s">
        <v>137</v>
      </c>
      <c r="Q24" s="15"/>
      <c r="R24" s="15"/>
      <c r="S24" s="15"/>
      <c r="T24" s="15"/>
      <c r="U24" s="15"/>
      <c r="V24" s="17"/>
      <c r="W24" s="108"/>
    </row>
    <row r="25" spans="1:23" ht="17.149999999999999" customHeight="1" x14ac:dyDescent="0.35">
      <c r="A25" s="8" t="s">
        <v>55</v>
      </c>
      <c r="B25" s="9">
        <v>1.1689814814814814E-2</v>
      </c>
      <c r="C25" s="9">
        <v>3.472222222222222E-3</v>
      </c>
      <c r="D25" s="9">
        <f t="shared" ref="D25:D30" si="45">B25*E25</f>
        <v>6.8011342592592585E-3</v>
      </c>
      <c r="E25" s="10">
        <v>0.58179999999999998</v>
      </c>
      <c r="F25" s="9">
        <f t="shared" si="38"/>
        <v>8.6805555555555551E-4</v>
      </c>
      <c r="G25" s="9">
        <f t="shared" si="39"/>
        <v>9.0681790123456785E-4</v>
      </c>
      <c r="H25" s="9">
        <f t="shared" si="40"/>
        <v>9.3518518518518516E-4</v>
      </c>
      <c r="I25" s="9">
        <f t="shared" si="41"/>
        <v>9.7507301208018041E-4</v>
      </c>
      <c r="J25" s="9">
        <f t="shared" si="42"/>
        <v>9.8567163177670412E-4</v>
      </c>
      <c r="K25" s="9">
        <f t="shared" si="43"/>
        <v>1.0304748877665545E-3</v>
      </c>
      <c r="L25" s="9">
        <f t="shared" si="44"/>
        <v>1.0795451205173427E-3</v>
      </c>
      <c r="M25" s="11">
        <f>Table1461012142422323436384044485052481113151719212325[[#This Row],[Thresh]]</f>
        <v>1.0304748877665545E-3</v>
      </c>
      <c r="N25" s="9">
        <f>Table1461012142422323436384044485052481113151719212325[[#This Row],[T (400)]]*1.5</f>
        <v>1.5457123316498316E-3</v>
      </c>
      <c r="O25" s="12">
        <f>Table1461012142422323436384044485052481113151719212325[[#This Row],[CV]]</f>
        <v>9.8567163177670412E-4</v>
      </c>
      <c r="P25" s="9">
        <f>Table1461012142422323436384044485052481113151719212325[[#This Row],[...]]*1.5</f>
        <v>1.4785074476650561E-3</v>
      </c>
      <c r="Q25" s="12"/>
      <c r="R25" s="9"/>
      <c r="S25" s="12"/>
      <c r="T25" s="9"/>
      <c r="U25" s="9"/>
      <c r="V25" s="13" t="s">
        <v>34</v>
      </c>
      <c r="W25" s="108"/>
    </row>
    <row r="26" spans="1:23" ht="17.149999999999999" customHeight="1" x14ac:dyDescent="0.35">
      <c r="A26" s="8" t="s">
        <v>33</v>
      </c>
      <c r="B26" s="9">
        <v>1.2268518518518519E-2</v>
      </c>
      <c r="C26" s="9">
        <v>3.645833333333333E-3</v>
      </c>
      <c r="D26" s="9">
        <f t="shared" si="45"/>
        <v>7.1378240740740742E-3</v>
      </c>
      <c r="E26" s="10">
        <v>0.58179999999999998</v>
      </c>
      <c r="F26" s="9">
        <f t="shared" si="38"/>
        <v>9.1145833333333324E-4</v>
      </c>
      <c r="G26" s="9">
        <f t="shared" si="39"/>
        <v>9.5170987654320989E-4</v>
      </c>
      <c r="H26" s="9">
        <f t="shared" si="40"/>
        <v>9.8148148148148161E-4</v>
      </c>
      <c r="I26" s="9">
        <f t="shared" si="41"/>
        <v>1.0233439532722685E-3</v>
      </c>
      <c r="J26" s="9">
        <f t="shared" si="42"/>
        <v>1.0344672571121847E-3</v>
      </c>
      <c r="K26" s="9">
        <f t="shared" si="43"/>
        <v>1.0814884960718295E-3</v>
      </c>
      <c r="L26" s="9">
        <f t="shared" si="44"/>
        <v>1.1329879482657262E-3</v>
      </c>
      <c r="M26" s="11">
        <f>Table1461012142422323436384044485052481113151719212325[[#This Row],[Thresh]]</f>
        <v>1.0814884960718295E-3</v>
      </c>
      <c r="N26" s="9">
        <f>Table1461012142422323436384044485052481113151719212325[[#This Row],[T (400)]]*1.5</f>
        <v>1.6222327441077441E-3</v>
      </c>
      <c r="O26" s="12">
        <f>Table1461012142422323436384044485052481113151719212325[[#This Row],[CV]]</f>
        <v>1.0344672571121847E-3</v>
      </c>
      <c r="P26" s="9">
        <f>Table1461012142422323436384044485052481113151719212325[[#This Row],[...]]*1.5</f>
        <v>1.551700885668277E-3</v>
      </c>
      <c r="Q26" s="12"/>
      <c r="R26" s="9"/>
      <c r="S26" s="12"/>
      <c r="T26" s="9"/>
      <c r="U26" s="9"/>
      <c r="V26" s="13" t="s">
        <v>34</v>
      </c>
      <c r="W26" s="108"/>
    </row>
    <row r="27" spans="1:23" ht="17.149999999999999" customHeight="1" x14ac:dyDescent="0.35">
      <c r="A27" s="8" t="s">
        <v>49</v>
      </c>
      <c r="B27" s="9">
        <v>1.2268518518518519E-2</v>
      </c>
      <c r="C27" s="9">
        <v>3.7037037037037034E-3</v>
      </c>
      <c r="D27" s="9">
        <f t="shared" si="45"/>
        <v>7.1378240740740742E-3</v>
      </c>
      <c r="E27" s="10">
        <v>0.58179999999999998</v>
      </c>
      <c r="F27" s="9">
        <f t="shared" si="38"/>
        <v>9.2592592592592585E-4</v>
      </c>
      <c r="G27" s="9">
        <f t="shared" si="39"/>
        <v>9.5170987654320989E-4</v>
      </c>
      <c r="H27" s="9">
        <f t="shared" si="40"/>
        <v>9.8148148148148161E-4</v>
      </c>
      <c r="I27" s="9">
        <f t="shared" si="41"/>
        <v>1.0233439532722685E-3</v>
      </c>
      <c r="J27" s="9">
        <f t="shared" si="42"/>
        <v>1.0344672571121847E-3</v>
      </c>
      <c r="K27" s="9">
        <f t="shared" si="43"/>
        <v>1.0814884960718295E-3</v>
      </c>
      <c r="L27" s="9">
        <f t="shared" si="44"/>
        <v>1.1329879482657262E-3</v>
      </c>
      <c r="M27" s="11">
        <f>Table1461012142422323436384044485052481113151719212325[[#This Row],[Thresh]]</f>
        <v>1.0814884960718295E-3</v>
      </c>
      <c r="N27" s="9">
        <f>Table1461012142422323436384044485052481113151719212325[[#This Row],[T (400)]]*1.5</f>
        <v>1.6222327441077441E-3</v>
      </c>
      <c r="O27" s="12">
        <f>Table1461012142422323436384044485052481113151719212325[[#This Row],[CV]]</f>
        <v>1.0344672571121847E-3</v>
      </c>
      <c r="P27" s="9">
        <f>Table1461012142422323436384044485052481113151719212325[[#This Row],[...]]*1.5</f>
        <v>1.551700885668277E-3</v>
      </c>
      <c r="Q27" s="12"/>
      <c r="R27" s="9"/>
      <c r="S27" s="12"/>
      <c r="T27" s="9"/>
      <c r="U27" s="9"/>
      <c r="V27" s="13" t="s">
        <v>34</v>
      </c>
      <c r="W27" s="108"/>
    </row>
    <row r="28" spans="1:23" ht="17.149999999999999" customHeight="1" x14ac:dyDescent="0.35">
      <c r="A28" s="8" t="s">
        <v>47</v>
      </c>
      <c r="B28" s="9">
        <v>1.2268518518518519E-2</v>
      </c>
      <c r="C28" s="9">
        <v>3.7037037037037034E-3</v>
      </c>
      <c r="D28" s="9">
        <f t="shared" si="45"/>
        <v>7.1378240740740742E-3</v>
      </c>
      <c r="E28" s="10">
        <v>0.58179999999999998</v>
      </c>
      <c r="F28" s="9">
        <f t="shared" si="38"/>
        <v>9.2592592592592585E-4</v>
      </c>
      <c r="G28" s="9">
        <f t="shared" si="39"/>
        <v>9.5170987654320989E-4</v>
      </c>
      <c r="H28" s="9">
        <f t="shared" si="40"/>
        <v>9.8148148148148161E-4</v>
      </c>
      <c r="I28" s="9">
        <f t="shared" si="41"/>
        <v>1.0233439532722685E-3</v>
      </c>
      <c r="J28" s="9">
        <f t="shared" si="42"/>
        <v>1.0344672571121847E-3</v>
      </c>
      <c r="K28" s="9">
        <f t="shared" si="43"/>
        <v>1.0814884960718295E-3</v>
      </c>
      <c r="L28" s="9">
        <f t="shared" si="44"/>
        <v>1.1329879482657262E-3</v>
      </c>
      <c r="M28" s="11">
        <f>Table1461012142422323436384044485052481113151719212325[[#This Row],[Thresh]]</f>
        <v>1.0814884960718295E-3</v>
      </c>
      <c r="N28" s="9">
        <f>Table1461012142422323436384044485052481113151719212325[[#This Row],[T (400)]]*1.5</f>
        <v>1.6222327441077441E-3</v>
      </c>
      <c r="O28" s="12">
        <f>Table1461012142422323436384044485052481113151719212325[[#This Row],[CV]]</f>
        <v>1.0344672571121847E-3</v>
      </c>
      <c r="P28" s="9">
        <f>Table1461012142422323436384044485052481113151719212325[[#This Row],[...]]*1.5</f>
        <v>1.551700885668277E-3</v>
      </c>
      <c r="Q28" s="12"/>
      <c r="R28" s="9"/>
      <c r="S28" s="12"/>
      <c r="T28" s="9"/>
      <c r="U28" s="9"/>
      <c r="V28" s="13" t="s">
        <v>34</v>
      </c>
      <c r="W28" s="104" t="s">
        <v>232</v>
      </c>
    </row>
    <row r="29" spans="1:23" ht="17.149999999999999" customHeight="1" x14ac:dyDescent="0.35">
      <c r="A29" s="8" t="s">
        <v>32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>C29/4</f>
        <v>8.9699074074074073E-4</v>
      </c>
      <c r="G29" s="9">
        <f>D29/7.5</f>
        <v>9.6068827160493821E-4</v>
      </c>
      <c r="H29" s="9">
        <f>B29/12.5</f>
        <v>9.9074074074074082E-4</v>
      </c>
      <c r="I29" s="9">
        <f>G29/0.93</f>
        <v>1.0329981415106862E-3</v>
      </c>
      <c r="J29" s="9">
        <f>G29/0.92</f>
        <v>1.0442263821792807E-3</v>
      </c>
      <c r="K29" s="9">
        <f>G29/0.88</f>
        <v>1.0916912177328843E-3</v>
      </c>
      <c r="L29" s="9">
        <f>G29/0.84</f>
        <v>1.1436765138154027E-3</v>
      </c>
      <c r="M29" s="11">
        <f>Table1461012142422323436384044485052481113151719212325[[#This Row],[Thresh]]</f>
        <v>1.0916912177328843E-3</v>
      </c>
      <c r="N29" s="9">
        <f>Table1461012142422323436384044485052481113151719212325[[#This Row],[T (400)]]*1.5</f>
        <v>1.6375368265993265E-3</v>
      </c>
      <c r="O29" s="12">
        <f>Table1461012142422323436384044485052481113151719212325[[#This Row],[CV]]</f>
        <v>1.0442263821792807E-3</v>
      </c>
      <c r="P29" s="9">
        <f>Table1461012142422323436384044485052481113151719212325[[#This Row],[...]]*1.5</f>
        <v>1.566339573268921E-3</v>
      </c>
      <c r="Q29" s="12"/>
      <c r="R29" s="9"/>
      <c r="S29" s="12"/>
      <c r="T29" s="9"/>
      <c r="U29" s="9"/>
      <c r="V29" s="13" t="s">
        <v>34</v>
      </c>
      <c r="W29" s="104"/>
    </row>
    <row r="30" spans="1:23" ht="17.149999999999999" customHeight="1" x14ac:dyDescent="0.35">
      <c r="A30" s="8" t="s">
        <v>37</v>
      </c>
      <c r="B30" s="9">
        <v>1.238425925925926E-2</v>
      </c>
      <c r="C30" s="9">
        <v>3.8194444444444443E-3</v>
      </c>
      <c r="D30" s="9">
        <f t="shared" si="45"/>
        <v>7.2051620370370368E-3</v>
      </c>
      <c r="E30" s="10">
        <v>0.58179999999999998</v>
      </c>
      <c r="F30" s="9">
        <f t="shared" si="38"/>
        <v>9.5486111111111108E-4</v>
      </c>
      <c r="G30" s="9">
        <f t="shared" si="39"/>
        <v>9.6068827160493821E-4</v>
      </c>
      <c r="H30" s="9">
        <f t="shared" si="40"/>
        <v>9.9074074074074082E-4</v>
      </c>
      <c r="I30" s="9">
        <f t="shared" si="41"/>
        <v>1.0329981415106862E-3</v>
      </c>
      <c r="J30" s="9">
        <f t="shared" si="42"/>
        <v>1.0442263821792807E-3</v>
      </c>
      <c r="K30" s="9">
        <f t="shared" si="43"/>
        <v>1.0916912177328843E-3</v>
      </c>
      <c r="L30" s="9">
        <f t="shared" si="44"/>
        <v>1.1436765138154027E-3</v>
      </c>
      <c r="M30" s="11">
        <f>Table1461012142422323436384044485052481113151719212325[[#This Row],[Thresh]]</f>
        <v>1.0916912177328843E-3</v>
      </c>
      <c r="N30" s="9">
        <f>Table1461012142422323436384044485052481113151719212325[[#This Row],[T (400)]]*1.5</f>
        <v>1.6375368265993265E-3</v>
      </c>
      <c r="O30" s="12">
        <f>Table1461012142422323436384044485052481113151719212325[[#This Row],[CV]]</f>
        <v>1.0442263821792807E-3</v>
      </c>
      <c r="P30" s="9">
        <f>Table1461012142422323436384044485052481113151719212325[[#This Row],[...]]*1.5</f>
        <v>1.566339573268921E-3</v>
      </c>
      <c r="Q30" s="12"/>
      <c r="R30" s="9"/>
      <c r="S30" s="12"/>
      <c r="T30" s="9"/>
      <c r="U30" s="9"/>
      <c r="V30" s="13" t="s">
        <v>34</v>
      </c>
      <c r="W30" s="104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53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226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179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227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8" si="46">B35*E35</f>
        <v>6.0604166666666662E-3</v>
      </c>
      <c r="E35" s="10">
        <v>0.58179999999999998</v>
      </c>
      <c r="F35" s="9">
        <f t="shared" ref="F35:F49" si="47">C35/4</f>
        <v>7.233796296296297E-4</v>
      </c>
      <c r="G35" s="9">
        <f t="shared" ref="G35:G49" si="48">D35/7.5</f>
        <v>8.0805555555555546E-4</v>
      </c>
      <c r="H35" s="9">
        <f t="shared" ref="H35:H49" si="49">B35/12.5</f>
        <v>8.3333333333333328E-4</v>
      </c>
      <c r="I35" s="9">
        <f t="shared" ref="I35:I49" si="50">G35/0.93</f>
        <v>8.6887694145758646E-4</v>
      </c>
      <c r="J35" s="9">
        <f t="shared" ref="J35:J49" si="51">G35/0.92</f>
        <v>8.7832125603864715E-4</v>
      </c>
      <c r="K35" s="9">
        <f t="shared" ref="K35:K49" si="52">G35/0.88</f>
        <v>9.1824494949494938E-4</v>
      </c>
      <c r="L35" s="9">
        <f t="shared" ref="L35:L49" si="53">G35/0.84</f>
        <v>9.6197089947089938E-4</v>
      </c>
      <c r="M35" s="11">
        <f>Table2571113152523333537394145495153591214161820222426[[#This Row],[Thresh]]</f>
        <v>9.1824494949494938E-4</v>
      </c>
      <c r="N35" s="9">
        <f>Table2571113152523333537394145495153591214161820222426[[#This Row],[T (400)]]*2.5</f>
        <v>2.2956123737373733E-3</v>
      </c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si="46"/>
        <v>6.0604166666666662E-3</v>
      </c>
      <c r="E36" s="10">
        <v>0.58179999999999998</v>
      </c>
      <c r="F36" s="9">
        <f t="shared" si="47"/>
        <v>7.378472222222222E-4</v>
      </c>
      <c r="G36" s="9">
        <f t="shared" si="48"/>
        <v>8.0805555555555546E-4</v>
      </c>
      <c r="H36" s="9">
        <f t="shared" si="49"/>
        <v>8.3333333333333328E-4</v>
      </c>
      <c r="I36" s="9">
        <f t="shared" si="50"/>
        <v>8.6887694145758646E-4</v>
      </c>
      <c r="J36" s="9">
        <f t="shared" si="51"/>
        <v>8.7832125603864715E-4</v>
      </c>
      <c r="K36" s="9">
        <f t="shared" si="52"/>
        <v>9.1824494949494938E-4</v>
      </c>
      <c r="L36" s="9">
        <f t="shared" si="53"/>
        <v>9.6197089947089938E-4</v>
      </c>
      <c r="M36" s="11">
        <f>Table2571113152523333537394145495153591214161820222426[[#This Row],[Thresh]]</f>
        <v>9.1824494949494938E-4</v>
      </c>
      <c r="N36" s="9">
        <f>Table2571113152523333537394145495153591214161820222426[[#This Row],[T (400)]]*2.5</f>
        <v>2.2956123737373733E-3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46"/>
        <v>6.0604166666666662E-3</v>
      </c>
      <c r="E37" s="10">
        <v>0.58179999999999998</v>
      </c>
      <c r="F37" s="9">
        <f t="shared" si="47"/>
        <v>7.4363425925925931E-4</v>
      </c>
      <c r="G37" s="9">
        <f t="shared" si="48"/>
        <v>8.0805555555555546E-4</v>
      </c>
      <c r="H37" s="9">
        <f t="shared" si="49"/>
        <v>8.3333333333333328E-4</v>
      </c>
      <c r="I37" s="9">
        <f t="shared" si="50"/>
        <v>8.6887694145758646E-4</v>
      </c>
      <c r="J37" s="9">
        <f t="shared" si="51"/>
        <v>8.7832125603864715E-4</v>
      </c>
      <c r="K37" s="9">
        <f t="shared" si="52"/>
        <v>9.1824494949494938E-4</v>
      </c>
      <c r="L37" s="9">
        <f t="shared" si="53"/>
        <v>9.6197089947089938E-4</v>
      </c>
      <c r="M37" s="11">
        <f>Table2571113152523333537394145495153591214161820222426[[#This Row],[Thresh]]</f>
        <v>9.1824494949494938E-4</v>
      </c>
      <c r="N37" s="9">
        <f>Table2571113152523333537394145495153591214161820222426[[#This Row],[T (400)]]*2.5</f>
        <v>2.2956123737373733E-3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81</v>
      </c>
      <c r="B38" s="9">
        <v>1.0763888888888891E-2</v>
      </c>
      <c r="C38" s="9">
        <v>3.0092592592592593E-3</v>
      </c>
      <c r="D38" s="9">
        <f t="shared" si="46"/>
        <v>6.2624305555555567E-3</v>
      </c>
      <c r="E38" s="10">
        <v>0.58179999999999998</v>
      </c>
      <c r="F38" s="9">
        <f t="shared" si="47"/>
        <v>7.5231481481481482E-4</v>
      </c>
      <c r="G38" s="9">
        <f t="shared" si="48"/>
        <v>8.3499074074074085E-4</v>
      </c>
      <c r="H38" s="9">
        <f t="shared" si="49"/>
        <v>8.6111111111111121E-4</v>
      </c>
      <c r="I38" s="9">
        <f t="shared" si="50"/>
        <v>8.9783950617283953E-4</v>
      </c>
      <c r="J38" s="9">
        <f t="shared" si="51"/>
        <v>9.0759863123993567E-4</v>
      </c>
      <c r="K38" s="9">
        <f t="shared" si="52"/>
        <v>9.4885311447811464E-4</v>
      </c>
      <c r="L38" s="9">
        <f t="shared" si="53"/>
        <v>9.9403659611992969E-4</v>
      </c>
      <c r="M38" s="11">
        <f>Table2571113152523333537394145495153591214161820222426[[#This Row],[Thresh]]</f>
        <v>9.4885311447811464E-4</v>
      </c>
      <c r="N38" s="9">
        <f>Table2571113152523333537394145495153591214161820222426[[#This Row],[T (400)]]*2.5</f>
        <v>2.3721327861952867E-3</v>
      </c>
      <c r="O38" s="24"/>
      <c r="P38" s="9"/>
      <c r="Q38" s="24"/>
      <c r="R38" s="9"/>
      <c r="S38" s="12"/>
      <c r="T38" s="25"/>
      <c r="V38" s="23" t="s">
        <v>24</v>
      </c>
      <c r="W38" s="104"/>
    </row>
    <row r="39" spans="1:23" ht="17.149999999999999" customHeight="1" x14ac:dyDescent="0.35">
      <c r="A39" s="8" t="s">
        <v>86</v>
      </c>
      <c r="B39" s="9">
        <v>1.087962962962963E-2</v>
      </c>
      <c r="C39" s="9">
        <v>3.1249999999999997E-3</v>
      </c>
      <c r="D39" s="9">
        <f t="shared" si="46"/>
        <v>6.3297685185185184E-3</v>
      </c>
      <c r="E39" s="10">
        <v>0.58179999999999998</v>
      </c>
      <c r="F39" s="9">
        <f t="shared" si="47"/>
        <v>7.8124999999999993E-4</v>
      </c>
      <c r="G39" s="9">
        <f t="shared" si="48"/>
        <v>8.4396913580246917E-4</v>
      </c>
      <c r="H39" s="9">
        <f t="shared" si="49"/>
        <v>8.7037037037037042E-4</v>
      </c>
      <c r="I39" s="9">
        <f t="shared" si="50"/>
        <v>9.0749369441125711E-4</v>
      </c>
      <c r="J39" s="9">
        <f t="shared" si="51"/>
        <v>9.173577563070317E-4</v>
      </c>
      <c r="K39" s="9">
        <f t="shared" si="52"/>
        <v>9.5905583613916951E-4</v>
      </c>
      <c r="L39" s="9">
        <f t="shared" si="53"/>
        <v>1.0047251616696062E-3</v>
      </c>
      <c r="M39" s="11">
        <f>Table2571113152523333537394145495153591214161820222426[[#This Row],[Thresh]]</f>
        <v>9.5905583613916951E-4</v>
      </c>
      <c r="N39" s="9">
        <f>Table2571113152523333537394145495153591214161820222426[[#This Row],[T (400)]]*2.5</f>
        <v>2.3976395903479238E-3</v>
      </c>
      <c r="O39" s="24"/>
      <c r="P39" s="24"/>
      <c r="Q39" s="24"/>
      <c r="R39" s="24"/>
      <c r="S39" s="24"/>
      <c r="T39" s="24"/>
      <c r="U39" s="24"/>
      <c r="V39" s="23" t="s">
        <v>24</v>
      </c>
      <c r="W39" s="104"/>
    </row>
    <row r="40" spans="1:23" ht="17.149999999999999" customHeight="1" x14ac:dyDescent="0.35">
      <c r="A40" s="8" t="s">
        <v>75</v>
      </c>
      <c r="B40" s="9">
        <v>1.087962962962963E-2</v>
      </c>
      <c r="C40" s="9">
        <v>2.9513888888888888E-3</v>
      </c>
      <c r="D40" s="9">
        <f t="shared" si="46"/>
        <v>6.3297685185185184E-3</v>
      </c>
      <c r="E40" s="10">
        <v>0.58179999999999998</v>
      </c>
      <c r="F40" s="9">
        <f t="shared" si="47"/>
        <v>7.378472222222222E-4</v>
      </c>
      <c r="G40" s="9">
        <f t="shared" si="48"/>
        <v>8.4396913580246917E-4</v>
      </c>
      <c r="H40" s="9">
        <f t="shared" si="49"/>
        <v>8.7037037037037042E-4</v>
      </c>
      <c r="I40" s="9">
        <f t="shared" si="50"/>
        <v>9.0749369441125711E-4</v>
      </c>
      <c r="J40" s="9">
        <f t="shared" si="51"/>
        <v>9.173577563070317E-4</v>
      </c>
      <c r="K40" s="9">
        <f t="shared" si="52"/>
        <v>9.5905583613916951E-4</v>
      </c>
      <c r="L40" s="9">
        <f t="shared" si="53"/>
        <v>1.0047251616696062E-3</v>
      </c>
      <c r="M40" s="11">
        <f>Table2571113152523333537394145495153591214161820222426[[#This Row],[Thresh]]</f>
        <v>9.5905583613916951E-4</v>
      </c>
      <c r="N40" s="9">
        <f>Table2571113152523333537394145495153591214161820222426[[#This Row],[T (400)]]*2.5</f>
        <v>2.3976395903479238E-3</v>
      </c>
      <c r="O40" s="24"/>
      <c r="P40" s="9"/>
      <c r="Q40" s="24"/>
      <c r="R40" s="9"/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62</v>
      </c>
      <c r="B41" s="9">
        <v>1.087962962962963E-2</v>
      </c>
      <c r="C41" s="9">
        <v>3.0092592592592588E-3</v>
      </c>
      <c r="D41" s="9">
        <f t="shared" si="46"/>
        <v>6.3297685185185184E-3</v>
      </c>
      <c r="E41" s="10">
        <v>0.58179999999999998</v>
      </c>
      <c r="F41" s="9">
        <f t="shared" si="47"/>
        <v>7.5231481481481471E-4</v>
      </c>
      <c r="G41" s="9">
        <f t="shared" si="48"/>
        <v>8.4396913580246917E-4</v>
      </c>
      <c r="H41" s="9">
        <f t="shared" si="49"/>
        <v>8.7037037037037042E-4</v>
      </c>
      <c r="I41" s="9">
        <f t="shared" si="50"/>
        <v>9.0749369441125711E-4</v>
      </c>
      <c r="J41" s="9">
        <f t="shared" si="51"/>
        <v>9.173577563070317E-4</v>
      </c>
      <c r="K41" s="9">
        <f t="shared" si="52"/>
        <v>9.5905583613916951E-4</v>
      </c>
      <c r="L41" s="9">
        <f t="shared" si="53"/>
        <v>1.0047251616696062E-3</v>
      </c>
      <c r="M41" s="11">
        <f>Table2571113152523333537394145495153591214161820222426[[#This Row],[Thresh]]</f>
        <v>9.5905583613916951E-4</v>
      </c>
      <c r="N41" s="9">
        <f>Table2571113152523333537394145495153591214161820222426[[#This Row],[T (400)]]*2.5</f>
        <v>2.3976395903479238E-3</v>
      </c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1.087962962962963E-2</v>
      </c>
      <c r="C42" s="9">
        <v>3.0092592592592588E-3</v>
      </c>
      <c r="D42" s="9">
        <f t="shared" si="46"/>
        <v>6.3297685185185184E-3</v>
      </c>
      <c r="E42" s="10">
        <v>0.58179999999999998</v>
      </c>
      <c r="F42" s="9">
        <f t="shared" si="47"/>
        <v>7.5231481481481471E-4</v>
      </c>
      <c r="G42" s="9">
        <f t="shared" si="48"/>
        <v>8.4396913580246917E-4</v>
      </c>
      <c r="H42" s="9">
        <f t="shared" si="49"/>
        <v>8.7037037037037042E-4</v>
      </c>
      <c r="I42" s="9">
        <f t="shared" si="50"/>
        <v>9.0749369441125711E-4</v>
      </c>
      <c r="J42" s="9">
        <f t="shared" si="51"/>
        <v>9.173577563070317E-4</v>
      </c>
      <c r="K42" s="9">
        <f t="shared" si="52"/>
        <v>9.5905583613916951E-4</v>
      </c>
      <c r="L42" s="9">
        <f t="shared" si="53"/>
        <v>1.0047251616696062E-3</v>
      </c>
      <c r="M42" s="11">
        <f>Table2571113152523333537394145495153591214161820222426[[#This Row],[Thresh]]</f>
        <v>9.5905583613916951E-4</v>
      </c>
      <c r="N42" s="9">
        <f>Table2571113152523333537394145495153591214161820222426[[#This Row],[T (400)]]*2.5</f>
        <v>2.3976395903479238E-3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83</v>
      </c>
      <c r="B43" s="9">
        <v>1.0995370370370371E-2</v>
      </c>
      <c r="C43" s="9">
        <v>3.0092592592592588E-3</v>
      </c>
      <c r="D43" s="9">
        <f t="shared" si="46"/>
        <v>6.397106481481481E-3</v>
      </c>
      <c r="E43" s="10">
        <v>0.58179999999999998</v>
      </c>
      <c r="F43" s="9">
        <f t="shared" si="47"/>
        <v>7.5231481481481471E-4</v>
      </c>
      <c r="G43" s="9">
        <f t="shared" si="48"/>
        <v>8.5294753086419749E-4</v>
      </c>
      <c r="H43" s="9">
        <f t="shared" si="49"/>
        <v>8.7962962962962962E-4</v>
      </c>
      <c r="I43" s="9">
        <f t="shared" si="50"/>
        <v>9.171478826496747E-4</v>
      </c>
      <c r="J43" s="9">
        <f t="shared" si="51"/>
        <v>9.2711688137412762E-4</v>
      </c>
      <c r="K43" s="9">
        <f t="shared" si="52"/>
        <v>9.6925855780022438E-4</v>
      </c>
      <c r="L43" s="9">
        <f t="shared" si="53"/>
        <v>1.0154137272192828E-3</v>
      </c>
      <c r="M43" s="11">
        <f>Table2571113152523333537394145495153591214161820222426[[#This Row],[Thresh]]</f>
        <v>9.6925855780022438E-4</v>
      </c>
      <c r="N43" s="9">
        <f>Table2571113152523333537394145495153591214161820222426[[#This Row],[T (400)]]*2.5</f>
        <v>2.4231463945005608E-3</v>
      </c>
      <c r="O43" s="24"/>
      <c r="P43" s="9"/>
      <c r="Q43" s="24"/>
      <c r="R43" s="9"/>
      <c r="S43" s="12"/>
      <c r="T43" s="25"/>
      <c r="V43" s="23" t="s">
        <v>24</v>
      </c>
      <c r="W43" s="104" t="s">
        <v>233</v>
      </c>
    </row>
    <row r="44" spans="1:23" ht="17.149999999999999" customHeight="1" x14ac:dyDescent="0.35">
      <c r="A44" s="8" t="s">
        <v>68</v>
      </c>
      <c r="B44" s="9">
        <v>1.1226851851851854E-2</v>
      </c>
      <c r="C44" s="9">
        <v>3.1828703703703702E-3</v>
      </c>
      <c r="D44" s="9">
        <f t="shared" si="46"/>
        <v>6.5317824074074089E-3</v>
      </c>
      <c r="E44" s="10">
        <v>0.58179999999999998</v>
      </c>
      <c r="F44" s="9">
        <f t="shared" si="47"/>
        <v>7.9571759259259255E-4</v>
      </c>
      <c r="G44" s="9">
        <f t="shared" si="48"/>
        <v>8.7090432098765457E-4</v>
      </c>
      <c r="H44" s="9">
        <f t="shared" si="49"/>
        <v>8.9814814814814835E-4</v>
      </c>
      <c r="I44" s="9">
        <f t="shared" si="50"/>
        <v>9.3645625912651019E-4</v>
      </c>
      <c r="J44" s="9">
        <f t="shared" si="51"/>
        <v>9.4663513150832011E-4</v>
      </c>
      <c r="K44" s="9">
        <f t="shared" si="52"/>
        <v>9.8966400112233477E-4</v>
      </c>
      <c r="L44" s="9">
        <f t="shared" si="53"/>
        <v>1.0367908583186363E-3</v>
      </c>
      <c r="M44" s="11">
        <f>Table2571113152523333537394145495153591214161820222426[[#This Row],[Thresh]]</f>
        <v>9.8966400112233477E-4</v>
      </c>
      <c r="N44" s="9">
        <f>Table2571113152523333537394145495153591214161820222426[[#This Row],[T (400)]]*2.5</f>
        <v>2.4741600028058367E-3</v>
      </c>
      <c r="O44" s="24"/>
      <c r="P44" s="9"/>
      <c r="Q44" s="24"/>
      <c r="R44" s="9"/>
      <c r="S44" s="12"/>
      <c r="T44" s="25"/>
      <c r="V44" s="23" t="s">
        <v>24</v>
      </c>
      <c r="W44" s="104"/>
    </row>
    <row r="45" spans="1:23" ht="17.149999999999999" customHeight="1" x14ac:dyDescent="0.35">
      <c r="A45" s="8" t="s">
        <v>66</v>
      </c>
      <c r="B45" s="9">
        <v>1.1226851851851854E-2</v>
      </c>
      <c r="C45" s="9">
        <v>3.1249999999999997E-3</v>
      </c>
      <c r="D45" s="9">
        <f t="shared" si="46"/>
        <v>6.5317824074074089E-3</v>
      </c>
      <c r="E45" s="10">
        <v>0.58179999999999998</v>
      </c>
      <c r="F45" s="9">
        <f t="shared" si="47"/>
        <v>7.8124999999999993E-4</v>
      </c>
      <c r="G45" s="9">
        <f t="shared" si="48"/>
        <v>8.7090432098765457E-4</v>
      </c>
      <c r="H45" s="9">
        <f t="shared" si="49"/>
        <v>8.9814814814814835E-4</v>
      </c>
      <c r="I45" s="9">
        <f t="shared" si="50"/>
        <v>9.3645625912651019E-4</v>
      </c>
      <c r="J45" s="9">
        <f t="shared" si="51"/>
        <v>9.4663513150832011E-4</v>
      </c>
      <c r="K45" s="9">
        <f t="shared" si="52"/>
        <v>9.8966400112233477E-4</v>
      </c>
      <c r="L45" s="9">
        <f t="shared" si="53"/>
        <v>1.0367908583186363E-3</v>
      </c>
      <c r="M45" s="11">
        <f>Table2571113152523333537394145495153591214161820222426[[#This Row],[Thresh]]</f>
        <v>9.8966400112233477E-4</v>
      </c>
      <c r="N45" s="9">
        <f>Table2571113152523333537394145495153591214161820222426[[#This Row],[T (400)]]*2.5</f>
        <v>2.4741600028058367E-3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4"/>
    </row>
    <row r="46" spans="1:23" ht="17.149999999999999" customHeight="1" x14ac:dyDescent="0.35">
      <c r="A46" s="8" t="s">
        <v>67</v>
      </c>
      <c r="B46" s="9">
        <v>1.1226851851851854E-2</v>
      </c>
      <c r="C46" s="9">
        <v>3.1249999999999997E-3</v>
      </c>
      <c r="D46" s="9">
        <f t="shared" si="46"/>
        <v>6.5317824074074089E-3</v>
      </c>
      <c r="E46" s="10">
        <v>0.58179999999999998</v>
      </c>
      <c r="F46" s="9">
        <f t="shared" si="47"/>
        <v>7.8124999999999993E-4</v>
      </c>
      <c r="G46" s="9">
        <f t="shared" si="48"/>
        <v>8.7090432098765457E-4</v>
      </c>
      <c r="H46" s="9">
        <f t="shared" si="49"/>
        <v>8.9814814814814835E-4</v>
      </c>
      <c r="I46" s="9">
        <f t="shared" si="50"/>
        <v>9.3645625912651019E-4</v>
      </c>
      <c r="J46" s="9">
        <f t="shared" si="51"/>
        <v>9.4663513150832011E-4</v>
      </c>
      <c r="K46" s="9">
        <f t="shared" si="52"/>
        <v>9.8966400112233477E-4</v>
      </c>
      <c r="L46" s="9">
        <f t="shared" si="53"/>
        <v>1.0367908583186363E-3</v>
      </c>
      <c r="M46" s="11">
        <f>Table2571113152523333537394145495153591214161820222426[[#This Row],[Thresh]]</f>
        <v>9.8966400112233477E-4</v>
      </c>
      <c r="N46" s="9">
        <f>Table2571113152523333537394145495153591214161820222426[[#This Row],[T (400)]]*2.5</f>
        <v>2.4741600028058367E-3</v>
      </c>
      <c r="O46" s="24"/>
      <c r="P46" s="9"/>
      <c r="Q46" s="24"/>
      <c r="R46" s="9"/>
      <c r="S46" s="12"/>
      <c r="T46" s="96"/>
      <c r="U46" s="9"/>
      <c r="V46" s="23" t="s">
        <v>24</v>
      </c>
      <c r="W46" s="104"/>
    </row>
    <row r="47" spans="1:23" ht="17.149999999999999" customHeight="1" x14ac:dyDescent="0.35">
      <c r="A47" s="8" t="s">
        <v>112</v>
      </c>
      <c r="B47" s="9">
        <v>1.1458333333333334E-2</v>
      </c>
      <c r="C47" s="9">
        <v>3.0671296296296297E-3</v>
      </c>
      <c r="D47" s="9">
        <f t="shared" si="46"/>
        <v>6.6664583333333333E-3</v>
      </c>
      <c r="E47" s="10">
        <v>0.58179999999999998</v>
      </c>
      <c r="F47" s="9">
        <f t="shared" si="47"/>
        <v>7.6678240740740743E-4</v>
      </c>
      <c r="G47" s="9">
        <f t="shared" si="48"/>
        <v>8.888611111111111E-4</v>
      </c>
      <c r="H47" s="9">
        <f t="shared" si="49"/>
        <v>9.1666666666666676E-4</v>
      </c>
      <c r="I47" s="9">
        <f t="shared" si="50"/>
        <v>9.5576463560334524E-4</v>
      </c>
      <c r="J47" s="9">
        <f t="shared" si="51"/>
        <v>9.6615338164251206E-4</v>
      </c>
      <c r="K47" s="9">
        <f t="shared" si="52"/>
        <v>1.0100694444444445E-3</v>
      </c>
      <c r="L47" s="9">
        <f t="shared" si="53"/>
        <v>1.0581679894179894E-3</v>
      </c>
      <c r="M47" s="11">
        <f>Table2571113152523333537394145495153591214161820222426[[#This Row],[Thresh]]</f>
        <v>1.0100694444444445E-3</v>
      </c>
      <c r="N47" s="9">
        <f>Table2571113152523333537394145495153591214161820222426[[#This Row],[T (400)]]*2.5</f>
        <v>2.5251736111111113E-3</v>
      </c>
      <c r="O47" s="24"/>
      <c r="P47" s="9"/>
      <c r="Q47" s="24"/>
      <c r="R47" s="9"/>
      <c r="S47" s="12"/>
      <c r="T47" s="96"/>
      <c r="U47" s="9"/>
      <c r="V47" s="23" t="s">
        <v>24</v>
      </c>
      <c r="W47" s="104"/>
    </row>
    <row r="48" spans="1:23" ht="17.149999999999999" customHeight="1" x14ac:dyDescent="0.35">
      <c r="A48" s="8" t="s">
        <v>113</v>
      </c>
      <c r="B48" s="9">
        <v>1.1805555555555555E-2</v>
      </c>
      <c r="C48" s="9">
        <v>3.414351851851852E-3</v>
      </c>
      <c r="D48" s="9">
        <f t="shared" si="46"/>
        <v>6.868472222222222E-3</v>
      </c>
      <c r="E48" s="10">
        <v>0.58179999999999998</v>
      </c>
      <c r="F48" s="9">
        <f t="shared" si="47"/>
        <v>8.53587962962963E-4</v>
      </c>
      <c r="G48" s="9">
        <f t="shared" si="48"/>
        <v>9.1579629629629628E-4</v>
      </c>
      <c r="H48" s="9">
        <f t="shared" si="49"/>
        <v>9.4444444444444437E-4</v>
      </c>
      <c r="I48" s="9">
        <f t="shared" si="50"/>
        <v>9.8472720031859799E-4</v>
      </c>
      <c r="J48" s="9">
        <f t="shared" si="51"/>
        <v>9.9543075684380036E-4</v>
      </c>
      <c r="K48" s="9">
        <f t="shared" si="52"/>
        <v>1.0406776094276093E-3</v>
      </c>
      <c r="L48" s="9">
        <f t="shared" si="53"/>
        <v>1.0902336860670195E-3</v>
      </c>
      <c r="M48" s="11">
        <f>Table2571113152523333537394145495153591214161820222426[[#This Row],[Thresh]]</f>
        <v>1.0406776094276093E-3</v>
      </c>
      <c r="N48" s="9">
        <f>Table2571113152523333537394145495153591214161820222426[[#This Row],[T (400)]]*2.5</f>
        <v>2.6016940235690234E-3</v>
      </c>
      <c r="O48" s="24"/>
      <c r="P48" s="9"/>
      <c r="Q48" s="24"/>
      <c r="R48" s="9"/>
      <c r="S48" s="12"/>
      <c r="T48" s="25"/>
      <c r="V48" s="23" t="s">
        <v>24</v>
      </c>
      <c r="W48" s="104"/>
    </row>
    <row r="49" spans="1:23" ht="17.149999999999999" customHeight="1" x14ac:dyDescent="0.35">
      <c r="A49" s="8"/>
      <c r="B49" s="9"/>
      <c r="C49" s="9"/>
      <c r="D49" s="9"/>
      <c r="E49" s="10"/>
      <c r="F49" s="9">
        <f t="shared" si="47"/>
        <v>0</v>
      </c>
      <c r="G49" s="9">
        <f t="shared" si="48"/>
        <v>0</v>
      </c>
      <c r="H49" s="9">
        <f t="shared" si="49"/>
        <v>0</v>
      </c>
      <c r="I49" s="9">
        <f t="shared" si="50"/>
        <v>0</v>
      </c>
      <c r="J49" s="9">
        <f t="shared" si="51"/>
        <v>0</v>
      </c>
      <c r="K49" s="9">
        <f t="shared" si="52"/>
        <v>0</v>
      </c>
      <c r="L49" s="9">
        <f t="shared" si="53"/>
        <v>0</v>
      </c>
      <c r="M49" s="11"/>
      <c r="P49" s="25"/>
      <c r="Q49" s="25"/>
      <c r="R49" s="25"/>
      <c r="S49" s="25"/>
      <c r="V49" s="23"/>
      <c r="W49" s="104"/>
    </row>
    <row r="50" spans="1:23" ht="17.149999999999999" customHeight="1" x14ac:dyDescent="0.35">
      <c r="A50" s="14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30" t="s">
        <v>133</v>
      </c>
      <c r="N50" s="15"/>
      <c r="O50" s="15"/>
      <c r="P50" s="15"/>
      <c r="Q50" s="15"/>
      <c r="R50" s="15"/>
      <c r="S50" s="15"/>
      <c r="T50" s="15"/>
      <c r="U50" s="15"/>
      <c r="V50" s="17"/>
      <c r="W50" s="104"/>
    </row>
    <row r="51" spans="1:23" ht="17.149999999999999" customHeight="1" x14ac:dyDescent="0.35">
      <c r="A51" s="8" t="s">
        <v>82</v>
      </c>
      <c r="B51" s="9">
        <v>1.0416666666666666E-2</v>
      </c>
      <c r="C51" s="9">
        <v>3.0092592592592588E-3</v>
      </c>
      <c r="D51" s="9">
        <f>B51*E51</f>
        <v>6.0604166666666662E-3</v>
      </c>
      <c r="E51" s="10">
        <v>0.58179999999999998</v>
      </c>
      <c r="F51" s="9">
        <f>C51/4</f>
        <v>7.5231481481481471E-4</v>
      </c>
      <c r="G51" s="9">
        <f>D51/7.5</f>
        <v>8.0805555555555546E-4</v>
      </c>
      <c r="H51" s="9">
        <f>B51/12.5</f>
        <v>8.3333333333333328E-4</v>
      </c>
      <c r="I51" s="9">
        <f>G51/0.93</f>
        <v>8.6887694145758646E-4</v>
      </c>
      <c r="J51" s="9">
        <f>G51/0.92</f>
        <v>8.7832125603864715E-4</v>
      </c>
      <c r="K51" s="9">
        <f>G51/0.88</f>
        <v>9.1824494949494938E-4</v>
      </c>
      <c r="L51" s="9">
        <f>G51/0.84</f>
        <v>9.6197089947089938E-4</v>
      </c>
      <c r="M51" s="11">
        <f>Table2571113152523333537394145495153591214161820222426[[#This Row],[R]]/2</f>
        <v>3.7615740740740735E-4</v>
      </c>
      <c r="N51" s="9"/>
      <c r="O51" s="24"/>
      <c r="P51" s="24"/>
      <c r="Q51" s="24"/>
      <c r="R51" s="24"/>
      <c r="S51" s="24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84</v>
      </c>
      <c r="B52" s="9">
        <v>1.064814814814815E-2</v>
      </c>
      <c r="C52" s="9">
        <v>3.0671296296296297E-3</v>
      </c>
      <c r="D52" s="9">
        <f t="shared" ref="D52:D53" si="54">B52*E52</f>
        <v>6.1950925925925932E-3</v>
      </c>
      <c r="E52" s="10">
        <v>0.58179999999999998</v>
      </c>
      <c r="F52" s="9">
        <f t="shared" ref="F52:F91" si="55">C52/4</f>
        <v>7.6678240740740743E-4</v>
      </c>
      <c r="G52" s="9">
        <f t="shared" ref="G52:G91" si="56">D52/7.5</f>
        <v>8.2601234567901242E-4</v>
      </c>
      <c r="H52" s="9">
        <f t="shared" ref="H52:H91" si="57">B52/12.5</f>
        <v>8.5185185185185201E-4</v>
      </c>
      <c r="I52" s="9">
        <f t="shared" ref="I52:I91" si="58">G52/0.93</f>
        <v>8.8818531793442195E-4</v>
      </c>
      <c r="J52" s="9">
        <f t="shared" ref="J52:J91" si="59">G52/0.92</f>
        <v>8.9783950617283953E-4</v>
      </c>
      <c r="K52" s="9">
        <f t="shared" ref="K52:K91" si="60">G52/0.88</f>
        <v>9.3865039281705955E-4</v>
      </c>
      <c r="L52" s="9">
        <f t="shared" ref="L52:L91" si="61">G52/0.84</f>
        <v>9.8334803057025292E-4</v>
      </c>
      <c r="M52" s="11">
        <f>Table2571113152523333537394145495153591214161820222426[[#This Row],[R]]/2</f>
        <v>3.8339120370370371E-4</v>
      </c>
      <c r="N52" s="9"/>
      <c r="O52" s="24"/>
      <c r="P52" s="9"/>
      <c r="Q52" s="24"/>
      <c r="R52" s="9"/>
      <c r="S52" s="12"/>
      <c r="T52" s="25"/>
      <c r="V52" s="23" t="s">
        <v>30</v>
      </c>
      <c r="W52" s="104" t="s">
        <v>234</v>
      </c>
    </row>
    <row r="53" spans="1:23" ht="17.149999999999999" customHeight="1" x14ac:dyDescent="0.35">
      <c r="A53" s="8" t="s">
        <v>85</v>
      </c>
      <c r="B53" s="9">
        <v>1.0763888888888889E-2</v>
      </c>
      <c r="C53" s="9">
        <v>3.0671296296296297E-3</v>
      </c>
      <c r="D53" s="9">
        <f t="shared" si="54"/>
        <v>6.2624305555555549E-3</v>
      </c>
      <c r="E53" s="10">
        <v>0.58179999999999998</v>
      </c>
      <c r="F53" s="9">
        <f t="shared" si="55"/>
        <v>7.6678240740740743E-4</v>
      </c>
      <c r="G53" s="9">
        <f t="shared" si="56"/>
        <v>8.3499074074074064E-4</v>
      </c>
      <c r="H53" s="9">
        <f t="shared" si="57"/>
        <v>8.611111111111111E-4</v>
      </c>
      <c r="I53" s="9">
        <f t="shared" si="58"/>
        <v>8.9783950617283931E-4</v>
      </c>
      <c r="J53" s="9">
        <f t="shared" si="59"/>
        <v>9.0759863123993545E-4</v>
      </c>
      <c r="K53" s="9">
        <f t="shared" si="60"/>
        <v>9.4885311447811432E-4</v>
      </c>
      <c r="L53" s="9">
        <f t="shared" si="61"/>
        <v>9.9403659611992947E-4</v>
      </c>
      <c r="M53" s="11">
        <f>Table2571113152523333537394145495153591214161820222426[[#This Row],[R]]/2</f>
        <v>3.8339120370370371E-4</v>
      </c>
      <c r="N53" s="9"/>
      <c r="O53" s="24"/>
      <c r="P53" s="24"/>
      <c r="Q53" s="24"/>
      <c r="R53" s="24"/>
      <c r="S53" s="24"/>
      <c r="T53" s="24"/>
      <c r="U53" s="24"/>
      <c r="V53" s="23" t="s">
        <v>30</v>
      </c>
      <c r="W53" s="104"/>
    </row>
    <row r="54" spans="1:23" ht="17.149999999999999" customHeight="1" x14ac:dyDescent="0.35">
      <c r="A54" s="8" t="s">
        <v>102</v>
      </c>
      <c r="B54" s="9">
        <v>1.0474537037037037E-2</v>
      </c>
      <c r="C54" s="9">
        <v>3.0671296296296297E-3</v>
      </c>
      <c r="D54" s="9">
        <f>B54*E54</f>
        <v>6.094085648148148E-3</v>
      </c>
      <c r="E54" s="10">
        <v>0.58179999999999998</v>
      </c>
      <c r="F54" s="9">
        <f>C54/4</f>
        <v>7.6678240740740743E-4</v>
      </c>
      <c r="G54" s="9">
        <f>D54/7.5</f>
        <v>8.1254475308641973E-4</v>
      </c>
      <c r="H54" s="9">
        <f>B54/12.5</f>
        <v>8.3796296296296299E-4</v>
      </c>
      <c r="I54" s="9">
        <f>G54/0.93</f>
        <v>8.7370403557679541E-4</v>
      </c>
      <c r="J54" s="9">
        <f>G54/0.92</f>
        <v>8.8320081857219527E-4</v>
      </c>
      <c r="K54" s="9">
        <f>G54/0.88</f>
        <v>9.2334631032547692E-4</v>
      </c>
      <c r="L54" s="9">
        <f>G54/0.84</f>
        <v>9.6731518224573777E-4</v>
      </c>
      <c r="M54" s="11">
        <f>Table2571113152523333537394145495153591214161820222426[[#This Row],[R]]/2</f>
        <v>3.8339120370370371E-4</v>
      </c>
      <c r="N54" s="9"/>
      <c r="O54" s="24"/>
      <c r="P54" s="9"/>
      <c r="Q54" s="24"/>
      <c r="R54" s="9"/>
      <c r="S54" s="12"/>
      <c r="V54" s="23" t="s">
        <v>30</v>
      </c>
      <c r="W54" s="104"/>
    </row>
    <row r="55" spans="1:23" ht="17.149999999999999" customHeight="1" x14ac:dyDescent="0.35">
      <c r="A55" s="8" t="s">
        <v>103</v>
      </c>
      <c r="B55" s="9">
        <v>1.064814814814815E-2</v>
      </c>
      <c r="C55" s="9">
        <v>3.0671296296296297E-3</v>
      </c>
      <c r="D55" s="9">
        <f>B55*E55</f>
        <v>6.1950925925925932E-3</v>
      </c>
      <c r="E55" s="10">
        <v>0.58179999999999998</v>
      </c>
      <c r="F55" s="9">
        <f>C55/4</f>
        <v>7.6678240740740743E-4</v>
      </c>
      <c r="G55" s="9">
        <f>D55/7.5</f>
        <v>8.2601234567901242E-4</v>
      </c>
      <c r="H55" s="9">
        <f>B55/12.5</f>
        <v>8.5185185185185201E-4</v>
      </c>
      <c r="I55" s="9">
        <f>G55/0.93</f>
        <v>8.8818531793442195E-4</v>
      </c>
      <c r="J55" s="9">
        <f>G55/0.92</f>
        <v>8.9783950617283953E-4</v>
      </c>
      <c r="K55" s="9">
        <f>G55/0.88</f>
        <v>9.3865039281705955E-4</v>
      </c>
      <c r="L55" s="9">
        <f>G55/0.84</f>
        <v>9.8334803057025292E-4</v>
      </c>
      <c r="M55" s="11">
        <f>Table2571113152523333537394145495153591214161820222426[[#This Row],[R]]/2</f>
        <v>3.8339120370370371E-4</v>
      </c>
      <c r="N55" s="9"/>
      <c r="O55" s="24"/>
      <c r="P55" s="9"/>
      <c r="Q55" s="24"/>
      <c r="R55" s="9"/>
      <c r="S55" s="12"/>
      <c r="U55" s="26"/>
      <c r="V55" s="23" t="s">
        <v>30</v>
      </c>
      <c r="W55" s="104"/>
    </row>
    <row r="56" spans="1:23" ht="17.149999999999999" customHeight="1" x14ac:dyDescent="0.35">
      <c r="A56" s="8" t="s">
        <v>104</v>
      </c>
      <c r="B56" s="9">
        <v>1.064814814814815E-2</v>
      </c>
      <c r="C56" s="9">
        <v>3.1249999999999997E-3</v>
      </c>
      <c r="D56" s="9">
        <f>B56*E56</f>
        <v>6.1950925925925932E-3</v>
      </c>
      <c r="E56" s="10">
        <v>0.58179999999999998</v>
      </c>
      <c r="F56" s="9">
        <f>C56/4</f>
        <v>7.8124999999999993E-4</v>
      </c>
      <c r="G56" s="9">
        <f>D56/7.5</f>
        <v>8.2601234567901242E-4</v>
      </c>
      <c r="H56" s="9">
        <f>B56/12.5</f>
        <v>8.5185185185185201E-4</v>
      </c>
      <c r="I56" s="9">
        <f>G56/0.93</f>
        <v>8.8818531793442195E-4</v>
      </c>
      <c r="J56" s="9">
        <f>G56/0.92</f>
        <v>8.9783950617283953E-4</v>
      </c>
      <c r="K56" s="9">
        <f>G56/0.88</f>
        <v>9.3865039281705955E-4</v>
      </c>
      <c r="L56" s="9">
        <f>G56/0.84</f>
        <v>9.8334803057025292E-4</v>
      </c>
      <c r="M56" s="11">
        <f>Table2571113152523333537394145495153591214161820222426[[#This Row],[R]]/2</f>
        <v>3.9062499999999997E-4</v>
      </c>
      <c r="N56" s="9"/>
      <c r="O56" s="24"/>
      <c r="P56" s="24"/>
      <c r="Q56" s="24"/>
      <c r="R56" s="24"/>
      <c r="S56" s="24"/>
      <c r="T56" s="24"/>
      <c r="U56" s="24"/>
      <c r="V56" s="23" t="s">
        <v>30</v>
      </c>
      <c r="W56" s="104"/>
    </row>
    <row r="57" spans="1:23" ht="17.149999999999999" customHeight="1" x14ac:dyDescent="0.35">
      <c r="A57" s="8" t="s">
        <v>106</v>
      </c>
      <c r="B57" s="9">
        <v>1.064814814814815E-2</v>
      </c>
      <c r="C57" s="9">
        <v>3.1249999999999997E-3</v>
      </c>
      <c r="D57" s="9">
        <f t="shared" ref="D57:D59" si="62">B57*E57</f>
        <v>6.1950925925925932E-3</v>
      </c>
      <c r="E57" s="10">
        <v>0.58179999999999998</v>
      </c>
      <c r="F57" s="9">
        <f t="shared" ref="F57:F59" si="63">C57/4</f>
        <v>7.8124999999999993E-4</v>
      </c>
      <c r="G57" s="9">
        <f t="shared" ref="G57:G59" si="64">D57/7.5</f>
        <v>8.2601234567901242E-4</v>
      </c>
      <c r="H57" s="9">
        <f t="shared" ref="H57:H59" si="65">B57/12.5</f>
        <v>8.5185185185185201E-4</v>
      </c>
      <c r="I57" s="9">
        <f t="shared" ref="I57:I59" si="66">G57/0.93</f>
        <v>8.8818531793442195E-4</v>
      </c>
      <c r="J57" s="9">
        <f t="shared" ref="J57:J59" si="67">G57/0.92</f>
        <v>8.9783950617283953E-4</v>
      </c>
      <c r="K57" s="9">
        <f t="shared" ref="K57:K59" si="68">G57/0.88</f>
        <v>9.3865039281705955E-4</v>
      </c>
      <c r="L57" s="9">
        <f t="shared" ref="L57:L59" si="69">G57/0.84</f>
        <v>9.8334803057025292E-4</v>
      </c>
      <c r="M57" s="11">
        <f>Table2571113152523333537394145495153591214161820222426[[#This Row],[R]]/2</f>
        <v>3.9062499999999997E-4</v>
      </c>
      <c r="N57" s="9"/>
      <c r="O57" s="24"/>
      <c r="P57" s="9"/>
      <c r="Q57" s="24"/>
      <c r="R57" s="9"/>
      <c r="S57" s="12"/>
      <c r="V57" s="23" t="s">
        <v>30</v>
      </c>
      <c r="W57" s="104"/>
    </row>
    <row r="58" spans="1:23" ht="17.149999999999999" customHeight="1" x14ac:dyDescent="0.35">
      <c r="A58" s="8" t="s">
        <v>105</v>
      </c>
      <c r="B58" s="9">
        <v>1.064814814814815E-2</v>
      </c>
      <c r="C58" s="9">
        <v>3.1249999999999997E-3</v>
      </c>
      <c r="D58" s="9">
        <f t="shared" si="62"/>
        <v>6.1950925925925932E-3</v>
      </c>
      <c r="E58" s="10">
        <v>0.58179999999999998</v>
      </c>
      <c r="F58" s="9">
        <f t="shared" si="63"/>
        <v>7.8124999999999993E-4</v>
      </c>
      <c r="G58" s="9">
        <f t="shared" si="64"/>
        <v>8.2601234567901242E-4</v>
      </c>
      <c r="H58" s="9">
        <f t="shared" si="65"/>
        <v>8.5185185185185201E-4</v>
      </c>
      <c r="I58" s="9">
        <f t="shared" si="66"/>
        <v>8.8818531793442195E-4</v>
      </c>
      <c r="J58" s="9">
        <f t="shared" si="67"/>
        <v>8.9783950617283953E-4</v>
      </c>
      <c r="K58" s="9">
        <f t="shared" si="68"/>
        <v>9.3865039281705955E-4</v>
      </c>
      <c r="L58" s="9">
        <f t="shared" si="69"/>
        <v>9.8334803057025292E-4</v>
      </c>
      <c r="M58" s="11">
        <f>Table2571113152523333537394145495153591214161820222426[[#This Row],[R]]/2</f>
        <v>3.9062499999999997E-4</v>
      </c>
      <c r="N58" s="9"/>
      <c r="O58" s="24"/>
      <c r="P58" s="9"/>
      <c r="Q58" s="24"/>
      <c r="R58" s="9"/>
      <c r="S58" s="12"/>
      <c r="V58" s="23" t="s">
        <v>30</v>
      </c>
      <c r="W58" s="104"/>
    </row>
    <row r="59" spans="1:23" ht="17.149999999999999" customHeight="1" x14ac:dyDescent="0.35">
      <c r="A59" s="8" t="s">
        <v>107</v>
      </c>
      <c r="B59" s="9">
        <v>1.0648148148148148E-2</v>
      </c>
      <c r="C59" s="9">
        <v>3.1249999999999997E-3</v>
      </c>
      <c r="D59" s="9">
        <f t="shared" si="62"/>
        <v>6.1950925925925923E-3</v>
      </c>
      <c r="E59" s="10">
        <v>0.58179999999999998</v>
      </c>
      <c r="F59" s="9">
        <f t="shared" si="63"/>
        <v>7.8124999999999993E-4</v>
      </c>
      <c r="G59" s="9">
        <f t="shared" si="64"/>
        <v>8.2601234567901232E-4</v>
      </c>
      <c r="H59" s="9">
        <f t="shared" si="65"/>
        <v>8.5185185185185179E-4</v>
      </c>
      <c r="I59" s="9">
        <f t="shared" si="66"/>
        <v>8.8818531793442184E-4</v>
      </c>
      <c r="J59" s="9">
        <f t="shared" si="67"/>
        <v>8.9783950617283942E-4</v>
      </c>
      <c r="K59" s="9">
        <f t="shared" si="68"/>
        <v>9.3865039281705945E-4</v>
      </c>
      <c r="L59" s="9">
        <f t="shared" si="69"/>
        <v>9.833480305702527E-4</v>
      </c>
      <c r="M59" s="11">
        <f>Table2571113152523333537394145495153591214161820222426[[#This Row],[R]]/2</f>
        <v>3.9062499999999997E-4</v>
      </c>
      <c r="N59" s="9"/>
      <c r="O59" s="24"/>
      <c r="P59" s="9"/>
      <c r="Q59" s="24"/>
      <c r="R59" s="9"/>
      <c r="S59" s="12"/>
      <c r="V59" s="23" t="s">
        <v>30</v>
      </c>
      <c r="W59" s="104"/>
    </row>
    <row r="60" spans="1:23" ht="17.149999999999999" customHeight="1" x14ac:dyDescent="0.35">
      <c r="A60" s="8" t="s">
        <v>87</v>
      </c>
      <c r="B60" s="9">
        <v>1.0763888888888891E-2</v>
      </c>
      <c r="C60" s="9">
        <v>3.1249999999999997E-3</v>
      </c>
      <c r="D60" s="9">
        <f t="shared" ref="D60:D66" si="70">B60*E60</f>
        <v>6.2624305555555567E-3</v>
      </c>
      <c r="E60" s="10">
        <v>0.58179999999999998</v>
      </c>
      <c r="F60" s="9">
        <f t="shared" ref="F60:F66" si="71">C60/4</f>
        <v>7.8124999999999993E-4</v>
      </c>
      <c r="G60" s="9">
        <f t="shared" ref="G60:G66" si="72">D60/7.5</f>
        <v>8.3499074074074085E-4</v>
      </c>
      <c r="H60" s="9">
        <f t="shared" ref="H60:H66" si="73">B60/12.5</f>
        <v>8.6111111111111121E-4</v>
      </c>
      <c r="I60" s="9">
        <f t="shared" ref="I60:I66" si="74">G60/0.93</f>
        <v>8.9783950617283953E-4</v>
      </c>
      <c r="J60" s="9">
        <f t="shared" ref="J60:J66" si="75">G60/0.92</f>
        <v>9.0759863123993567E-4</v>
      </c>
      <c r="K60" s="9">
        <f t="shared" ref="K60:K66" si="76">G60/0.88</f>
        <v>9.4885311447811464E-4</v>
      </c>
      <c r="L60" s="9">
        <f t="shared" ref="L60:L66" si="77">G60/0.84</f>
        <v>9.9403659611992969E-4</v>
      </c>
      <c r="M60" s="11">
        <f>Table2571113152523333537394145495153591214161820222426[[#This Row],[R]]/2</f>
        <v>3.9062499999999997E-4</v>
      </c>
      <c r="N60" s="9"/>
      <c r="O60" s="24"/>
      <c r="P60" s="24"/>
      <c r="Q60" s="24"/>
      <c r="R60" s="24"/>
      <c r="S60" s="24"/>
      <c r="T60" s="24"/>
      <c r="U60" s="24"/>
      <c r="V60" s="23" t="s">
        <v>30</v>
      </c>
      <c r="W60" s="104"/>
    </row>
    <row r="61" spans="1:23" ht="17.149999999999999" customHeight="1" x14ac:dyDescent="0.35">
      <c r="A61" s="8" t="s">
        <v>110</v>
      </c>
      <c r="B61" s="9">
        <v>1.087962962962963E-2</v>
      </c>
      <c r="C61" s="9">
        <v>3.1249999999999997E-3</v>
      </c>
      <c r="D61" s="9">
        <f t="shared" si="70"/>
        <v>6.3297685185185184E-3</v>
      </c>
      <c r="E61" s="10">
        <v>0.58179999999999998</v>
      </c>
      <c r="F61" s="9">
        <f t="shared" si="71"/>
        <v>7.8124999999999993E-4</v>
      </c>
      <c r="G61" s="9">
        <f t="shared" si="72"/>
        <v>8.4396913580246917E-4</v>
      </c>
      <c r="H61" s="9">
        <f t="shared" si="73"/>
        <v>8.7037037037037042E-4</v>
      </c>
      <c r="I61" s="9">
        <f t="shared" si="74"/>
        <v>9.0749369441125711E-4</v>
      </c>
      <c r="J61" s="9">
        <f t="shared" si="75"/>
        <v>9.173577563070317E-4</v>
      </c>
      <c r="K61" s="9">
        <f t="shared" si="76"/>
        <v>9.5905583613916951E-4</v>
      </c>
      <c r="L61" s="9">
        <f t="shared" si="77"/>
        <v>1.0047251616696062E-3</v>
      </c>
      <c r="M61" s="11">
        <f>Table2571113152523333537394145495153591214161820222426[[#This Row],[R]]/2</f>
        <v>3.9062499999999997E-4</v>
      </c>
      <c r="N61" s="9"/>
      <c r="O61" s="24"/>
      <c r="P61" s="24"/>
      <c r="Q61" s="24"/>
      <c r="R61" s="24"/>
      <c r="S61" s="24"/>
      <c r="T61" s="24"/>
      <c r="U61" s="24"/>
      <c r="V61" s="23" t="s">
        <v>30</v>
      </c>
      <c r="W61" s="104" t="s">
        <v>235</v>
      </c>
    </row>
    <row r="62" spans="1:23" ht="17.149999999999999" customHeight="1" x14ac:dyDescent="0.35">
      <c r="A62" s="8" t="s">
        <v>111</v>
      </c>
      <c r="B62" s="9">
        <v>1.087962962962963E-2</v>
      </c>
      <c r="C62" s="9">
        <v>3.1828703703703702E-3</v>
      </c>
      <c r="D62" s="9">
        <f t="shared" si="70"/>
        <v>6.3297685185185184E-3</v>
      </c>
      <c r="E62" s="10">
        <v>0.58179999999999998</v>
      </c>
      <c r="F62" s="9">
        <f t="shared" si="71"/>
        <v>7.9571759259259255E-4</v>
      </c>
      <c r="G62" s="9">
        <f t="shared" si="72"/>
        <v>8.4396913580246917E-4</v>
      </c>
      <c r="H62" s="9">
        <f t="shared" si="73"/>
        <v>8.7037037037037042E-4</v>
      </c>
      <c r="I62" s="9">
        <f t="shared" si="74"/>
        <v>9.0749369441125711E-4</v>
      </c>
      <c r="J62" s="9">
        <f t="shared" si="75"/>
        <v>9.173577563070317E-4</v>
      </c>
      <c r="K62" s="9">
        <f t="shared" si="76"/>
        <v>9.5905583613916951E-4</v>
      </c>
      <c r="L62" s="9">
        <f t="shared" si="77"/>
        <v>1.0047251616696062E-3</v>
      </c>
      <c r="M62" s="11">
        <f>Table2571113152523333537394145495153591214161820222426[[#This Row],[R]]/2</f>
        <v>3.9785879629629627E-4</v>
      </c>
      <c r="N62" s="9"/>
      <c r="O62" s="24"/>
      <c r="P62" s="24"/>
      <c r="Q62" s="24"/>
      <c r="R62" s="24"/>
      <c r="S62" s="24"/>
      <c r="T62" s="24"/>
      <c r="U62" s="24"/>
      <c r="V62" s="23" t="s">
        <v>30</v>
      </c>
      <c r="W62" s="104"/>
    </row>
    <row r="63" spans="1:23" ht="17.149999999999999" customHeight="1" x14ac:dyDescent="0.35">
      <c r="A63" s="8" t="s">
        <v>90</v>
      </c>
      <c r="B63" s="9">
        <v>1.0995370370370371E-2</v>
      </c>
      <c r="C63" s="9">
        <v>3.1828703703703702E-3</v>
      </c>
      <c r="D63" s="9">
        <f t="shared" si="70"/>
        <v>6.397106481481481E-3</v>
      </c>
      <c r="E63" s="10">
        <v>0.58179999999999998</v>
      </c>
      <c r="F63" s="9">
        <f t="shared" si="71"/>
        <v>7.9571759259259255E-4</v>
      </c>
      <c r="G63" s="9">
        <f t="shared" si="72"/>
        <v>8.5294753086419749E-4</v>
      </c>
      <c r="H63" s="9">
        <f t="shared" si="73"/>
        <v>8.7962962962962962E-4</v>
      </c>
      <c r="I63" s="9">
        <f t="shared" si="74"/>
        <v>9.171478826496747E-4</v>
      </c>
      <c r="J63" s="9">
        <f t="shared" si="75"/>
        <v>9.2711688137412762E-4</v>
      </c>
      <c r="K63" s="9">
        <f t="shared" si="76"/>
        <v>9.6925855780022438E-4</v>
      </c>
      <c r="L63" s="9">
        <f t="shared" si="77"/>
        <v>1.0154137272192828E-3</v>
      </c>
      <c r="M63" s="11">
        <f>Table2571113152523333537394145495153591214161820222426[[#This Row],[R]]/2</f>
        <v>3.9785879629629627E-4</v>
      </c>
      <c r="N63" s="9"/>
      <c r="O63" s="24"/>
      <c r="P63" s="9"/>
      <c r="Q63" s="24"/>
      <c r="R63" s="9"/>
      <c r="S63" s="12"/>
      <c r="T63" s="25"/>
      <c r="U63" s="28"/>
      <c r="V63" s="23" t="s">
        <v>134</v>
      </c>
      <c r="W63" s="104"/>
    </row>
    <row r="64" spans="1:23" ht="17.149999999999999" customHeight="1" x14ac:dyDescent="0.35">
      <c r="A64" s="8" t="s">
        <v>92</v>
      </c>
      <c r="B64" s="9">
        <v>1.1458333333333334E-2</v>
      </c>
      <c r="C64" s="9">
        <v>3.2407407407407406E-3</v>
      </c>
      <c r="D64" s="9">
        <f t="shared" si="70"/>
        <v>6.6664583333333333E-3</v>
      </c>
      <c r="E64" s="10">
        <v>0.58179999999999998</v>
      </c>
      <c r="F64" s="9">
        <f t="shared" si="71"/>
        <v>8.1018518518518516E-4</v>
      </c>
      <c r="G64" s="9">
        <f t="shared" si="72"/>
        <v>8.888611111111111E-4</v>
      </c>
      <c r="H64" s="9">
        <f t="shared" si="73"/>
        <v>9.1666666666666676E-4</v>
      </c>
      <c r="I64" s="9">
        <f t="shared" si="74"/>
        <v>9.5576463560334524E-4</v>
      </c>
      <c r="J64" s="9">
        <f t="shared" si="75"/>
        <v>9.6615338164251206E-4</v>
      </c>
      <c r="K64" s="9">
        <f t="shared" si="76"/>
        <v>1.0100694444444445E-3</v>
      </c>
      <c r="L64" s="9">
        <f t="shared" si="77"/>
        <v>1.0581679894179894E-3</v>
      </c>
      <c r="M64" s="11">
        <f>Table2571113152523333537394145495153591214161820222426[[#This Row],[R]]/2</f>
        <v>4.0509259259259258E-4</v>
      </c>
      <c r="N64" s="9"/>
      <c r="O64" s="24"/>
      <c r="P64" s="9"/>
      <c r="Q64" s="24"/>
      <c r="R64" s="9"/>
      <c r="S64" s="12"/>
      <c r="T64" s="25"/>
      <c r="V64" s="23" t="s">
        <v>30</v>
      </c>
      <c r="W64" s="104"/>
    </row>
    <row r="65" spans="1:23" ht="17.149999999999999" customHeight="1" x14ac:dyDescent="0.35">
      <c r="A65" s="8" t="s">
        <v>91</v>
      </c>
      <c r="B65" s="9">
        <v>1.1458333333333334E-2</v>
      </c>
      <c r="C65" s="9">
        <v>3.2407407407407406E-3</v>
      </c>
      <c r="D65" s="9">
        <f t="shared" si="70"/>
        <v>6.6664583333333333E-3</v>
      </c>
      <c r="E65" s="10">
        <v>0.58179999999999998</v>
      </c>
      <c r="F65" s="9">
        <f t="shared" si="71"/>
        <v>8.1018518518518516E-4</v>
      </c>
      <c r="G65" s="9">
        <f t="shared" si="72"/>
        <v>8.888611111111111E-4</v>
      </c>
      <c r="H65" s="9">
        <f t="shared" si="73"/>
        <v>9.1666666666666676E-4</v>
      </c>
      <c r="I65" s="9">
        <f t="shared" si="74"/>
        <v>9.5576463560334524E-4</v>
      </c>
      <c r="J65" s="9">
        <f t="shared" si="75"/>
        <v>9.6615338164251206E-4</v>
      </c>
      <c r="K65" s="9">
        <f t="shared" si="76"/>
        <v>1.0100694444444445E-3</v>
      </c>
      <c r="L65" s="9">
        <f t="shared" si="77"/>
        <v>1.0581679894179894E-3</v>
      </c>
      <c r="M65" s="11">
        <f>Table2571113152523333537394145495153591214161820222426[[#This Row],[R]]/2</f>
        <v>4.0509259259259258E-4</v>
      </c>
      <c r="N65" s="9"/>
      <c r="O65" s="24"/>
      <c r="P65" s="9"/>
      <c r="Q65" s="24"/>
      <c r="R65" s="9"/>
      <c r="S65" s="12"/>
      <c r="V65" s="23" t="s">
        <v>30</v>
      </c>
      <c r="W65" s="104"/>
    </row>
    <row r="66" spans="1:23" ht="17.149999999999999" customHeight="1" x14ac:dyDescent="0.35">
      <c r="A66" s="8" t="s">
        <v>93</v>
      </c>
      <c r="B66" s="9">
        <v>1.1921296296296298E-2</v>
      </c>
      <c r="C66" s="9">
        <v>3.414351851851852E-3</v>
      </c>
      <c r="D66" s="9">
        <f t="shared" si="70"/>
        <v>6.9358101851851863E-3</v>
      </c>
      <c r="E66" s="10">
        <v>0.58179999999999998</v>
      </c>
      <c r="F66" s="9">
        <f t="shared" si="71"/>
        <v>8.53587962962963E-4</v>
      </c>
      <c r="G66" s="9">
        <f t="shared" si="72"/>
        <v>9.2477469135802482E-4</v>
      </c>
      <c r="H66" s="9">
        <f t="shared" si="73"/>
        <v>9.5370370370370379E-4</v>
      </c>
      <c r="I66" s="9">
        <f t="shared" si="74"/>
        <v>9.943813885570159E-4</v>
      </c>
      <c r="J66" s="9">
        <f t="shared" si="75"/>
        <v>1.0051898819108964E-3</v>
      </c>
      <c r="K66" s="9">
        <f t="shared" si="76"/>
        <v>1.0508803310886646E-3</v>
      </c>
      <c r="L66" s="9">
        <f t="shared" si="77"/>
        <v>1.1009222516166963E-3</v>
      </c>
      <c r="M66" s="11">
        <f>Table2571113152523333537394145495153591214161820222426[[#This Row],[R]]/2</f>
        <v>4.267939814814815E-4</v>
      </c>
      <c r="N66" s="9"/>
      <c r="O66" s="24"/>
      <c r="P66" s="9"/>
      <c r="Q66" s="24"/>
      <c r="R66" s="9"/>
      <c r="S66" s="12"/>
      <c r="T66" s="25"/>
      <c r="V66" s="23" t="s">
        <v>134</v>
      </c>
      <c r="W66" s="109"/>
    </row>
    <row r="67" spans="1:23" ht="17.149999999999999" customHeight="1" x14ac:dyDescent="0.35">
      <c r="A67" s="14" t="s">
        <v>226</v>
      </c>
      <c r="B67" s="15"/>
      <c r="C67" s="15"/>
      <c r="D67" s="15"/>
      <c r="E67" s="16"/>
      <c r="F67" s="15">
        <f t="shared" si="55"/>
        <v>0</v>
      </c>
      <c r="G67" s="15">
        <f t="shared" si="56"/>
        <v>0</v>
      </c>
      <c r="H67" s="15">
        <f t="shared" si="57"/>
        <v>0</v>
      </c>
      <c r="I67" s="15">
        <f t="shared" si="58"/>
        <v>0</v>
      </c>
      <c r="J67" s="15">
        <f t="shared" si="59"/>
        <v>0</v>
      </c>
      <c r="K67" s="15">
        <f t="shared" si="60"/>
        <v>0</v>
      </c>
      <c r="L67" s="15">
        <f t="shared" si="61"/>
        <v>0</v>
      </c>
      <c r="M67" s="30" t="s">
        <v>12</v>
      </c>
      <c r="N67" s="15" t="s">
        <v>58</v>
      </c>
      <c r="O67" s="15" t="s">
        <v>27</v>
      </c>
      <c r="P67" s="15"/>
      <c r="Q67" s="15"/>
      <c r="R67" s="15"/>
      <c r="S67" s="15"/>
      <c r="T67" s="15"/>
      <c r="U67" s="15"/>
      <c r="V67" s="17"/>
      <c r="W67" s="104" t="s">
        <v>236</v>
      </c>
    </row>
    <row r="68" spans="1:23" ht="17.149999999999999" customHeight="1" x14ac:dyDescent="0.35">
      <c r="A68" s="8" t="s">
        <v>70</v>
      </c>
      <c r="B68" s="9">
        <v>9.780092592592592E-3</v>
      </c>
      <c r="C68" s="9">
        <v>2.8124999999999995E-3</v>
      </c>
      <c r="D68" s="9">
        <f t="shared" ref="D68" si="78">B68*E68</f>
        <v>5.6900578703703696E-3</v>
      </c>
      <c r="E68" s="10">
        <v>0.58179999999999998</v>
      </c>
      <c r="F68" s="9">
        <f>C68/4</f>
        <v>7.0312499999999987E-4</v>
      </c>
      <c r="G68" s="9">
        <f>D68/7.5</f>
        <v>7.5867438271604926E-4</v>
      </c>
      <c r="H68" s="9">
        <f>B68/12.5</f>
        <v>7.8240740740740734E-4</v>
      </c>
      <c r="I68" s="9">
        <f>G68/0.93</f>
        <v>8.1577890614628948E-4</v>
      </c>
      <c r="J68" s="9">
        <f>G68/0.92</f>
        <v>8.2464606816961877E-4</v>
      </c>
      <c r="K68" s="9">
        <f>G68/0.88</f>
        <v>8.6212998035914683E-4</v>
      </c>
      <c r="L68" s="9">
        <f>G68/0.84</f>
        <v>9.031837889476777E-4</v>
      </c>
      <c r="M68" s="11">
        <f>Table2571113152523333537394145495153591214161820222426[[#This Row],[Thresh]]</f>
        <v>8.6212998035914683E-4</v>
      </c>
      <c r="N68" s="9">
        <f>Table2571113152523333537394145495153591214161820222426[[#This Row],[T (400)]]*2.5</f>
        <v>2.1553249508978671E-3</v>
      </c>
      <c r="O68" s="24">
        <f>Table2571113152523333537394145495153591214161820222426[[#This Row],[R]]</f>
        <v>7.0312499999999987E-4</v>
      </c>
      <c r="P68" s="9"/>
      <c r="Q68" s="24"/>
      <c r="R68" s="9"/>
      <c r="S68" s="12"/>
      <c r="T68" s="25"/>
      <c r="V68" s="23" t="s">
        <v>168</v>
      </c>
      <c r="W68" s="104"/>
    </row>
    <row r="69" spans="1:23" ht="17.149999999999999" customHeight="1" x14ac:dyDescent="0.35">
      <c r="A69" s="8" t="s">
        <v>72</v>
      </c>
      <c r="B69" s="9">
        <v>1.0127314814814815E-2</v>
      </c>
      <c r="C69" s="9">
        <v>2.8935185185185188E-3</v>
      </c>
      <c r="D69" s="9">
        <f>B69*E69</f>
        <v>5.8920717592592592E-3</v>
      </c>
      <c r="E69" s="10">
        <v>0.58179999999999998</v>
      </c>
      <c r="F69" s="9">
        <f>C69/4</f>
        <v>7.233796296296297E-4</v>
      </c>
      <c r="G69" s="9">
        <f>D69/7.5</f>
        <v>7.8560956790123455E-4</v>
      </c>
      <c r="H69" s="9">
        <f>B69/12.5</f>
        <v>8.1018518518518516E-4</v>
      </c>
      <c r="I69" s="9">
        <f>G69/0.93</f>
        <v>8.4474147086154245E-4</v>
      </c>
      <c r="J69" s="9">
        <f>G69/0.92</f>
        <v>8.5392344337090708E-4</v>
      </c>
      <c r="K69" s="9">
        <f>G69/0.88</f>
        <v>8.9273814534231199E-4</v>
      </c>
      <c r="L69" s="9">
        <f>G69/0.84</f>
        <v>9.3524948559670779E-4</v>
      </c>
      <c r="M69" s="11">
        <f>Table2571113152523333537394145495153591214161820222426[[#This Row],[Thresh]]</f>
        <v>8.9273814534231199E-4</v>
      </c>
      <c r="N69" s="9">
        <f>Table2571113152523333537394145495153591214161820222426[[#This Row],[T (400)]]*2.5</f>
        <v>2.23184536335578E-3</v>
      </c>
      <c r="O69" s="24">
        <f>Table2571113152523333537394145495153591214161820222426[[#This Row],[R]]</f>
        <v>7.233796296296297E-4</v>
      </c>
      <c r="P69" s="9"/>
      <c r="Q69" s="24"/>
      <c r="R69" s="9"/>
      <c r="S69" s="12"/>
      <c r="T69" s="25"/>
      <c r="V69" s="23" t="s">
        <v>168</v>
      </c>
      <c r="W69" s="104"/>
    </row>
    <row r="70" spans="1:23" ht="17.149999999999999" customHeight="1" x14ac:dyDescent="0.35">
      <c r="A70" s="8" t="s">
        <v>74</v>
      </c>
      <c r="B70" s="9">
        <v>1.0243055555555556E-2</v>
      </c>
      <c r="C70" s="9">
        <v>2.9513888888888888E-3</v>
      </c>
      <c r="D70" s="9">
        <f>B70*E70</f>
        <v>5.9594097222222218E-3</v>
      </c>
      <c r="E70" s="10">
        <v>0.58179999999999998</v>
      </c>
      <c r="F70" s="9">
        <f>C70/4</f>
        <v>7.378472222222222E-4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Table2571113152523333537394145495153591214161820222426[[#This Row],[Thresh]]</f>
        <v>9.0294086700336686E-4</v>
      </c>
      <c r="N70" s="9">
        <f>Table2571113152523333537394145495153591214161820222426[[#This Row],[T (400)]]*2.5</f>
        <v>2.2573521675084171E-3</v>
      </c>
      <c r="O70" s="24">
        <f>Table2571113152523333537394145495153591214161820222426[[#This Row],[R]]</f>
        <v>7.378472222222222E-4</v>
      </c>
      <c r="P70" s="9"/>
      <c r="Q70" s="24"/>
      <c r="R70" s="9"/>
      <c r="S70" s="12"/>
      <c r="T70" s="25"/>
      <c r="V70" s="23" t="s">
        <v>168</v>
      </c>
      <c r="W70" s="104"/>
    </row>
    <row r="71" spans="1:23" ht="17.149999999999999" customHeight="1" x14ac:dyDescent="0.35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N71" s="9"/>
      <c r="O71" s="24"/>
      <c r="P71" s="9"/>
      <c r="Q71" s="24"/>
      <c r="R71" s="9"/>
      <c r="S71" s="12"/>
      <c r="V71" s="23"/>
      <c r="W71" s="104"/>
    </row>
    <row r="72" spans="1:23" ht="17.149999999999999" customHeight="1" x14ac:dyDescent="0.35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 t="s">
        <v>12</v>
      </c>
      <c r="N72" s="15" t="s">
        <v>13</v>
      </c>
      <c r="O72" s="15" t="s">
        <v>136</v>
      </c>
      <c r="P72" s="15" t="s">
        <v>144</v>
      </c>
      <c r="Q72" s="15"/>
      <c r="R72" s="15"/>
      <c r="S72" s="15"/>
      <c r="T72" s="15"/>
      <c r="U72" s="15"/>
      <c r="V72" s="17"/>
      <c r="W72" s="104"/>
    </row>
    <row r="73" spans="1:23" ht="17.149999999999999" customHeight="1" x14ac:dyDescent="0.35">
      <c r="A73" s="8" t="s">
        <v>76</v>
      </c>
      <c r="B73" s="9">
        <v>1.0011574074074074E-2</v>
      </c>
      <c r="C73" s="9">
        <v>2.9513888888888888E-3</v>
      </c>
      <c r="D73" s="9">
        <f>B73*E73</f>
        <v>5.8247337962962957E-3</v>
      </c>
      <c r="E73" s="10">
        <v>0.58179999999999998</v>
      </c>
      <c r="F73" s="9">
        <f>C73/4</f>
        <v>7.378472222222222E-4</v>
      </c>
      <c r="G73" s="9">
        <f>D73/7.5</f>
        <v>7.7663117283950612E-4</v>
      </c>
      <c r="H73" s="9">
        <f>B73/12.5</f>
        <v>8.0092592592592585E-4</v>
      </c>
      <c r="I73" s="9">
        <f>G73/0.93</f>
        <v>8.3508728262312486E-4</v>
      </c>
      <c r="J73" s="9">
        <f>G73/0.92</f>
        <v>8.4416431830381094E-4</v>
      </c>
      <c r="K73" s="9">
        <f>G73/0.88</f>
        <v>8.825354236812569E-4</v>
      </c>
      <c r="L73" s="9">
        <f>G73/0.84</f>
        <v>9.2456092004703113E-4</v>
      </c>
      <c r="M73" s="11">
        <f>Table2571113152523333537394145495153591214161820222426[[#This Row],[Thresh]]</f>
        <v>8.825354236812569E-4</v>
      </c>
      <c r="N73" s="9">
        <f>Table2571113152523333537394145495153591214161820222426[[#This Row],[T (400)]]*2</f>
        <v>1.7650708473625138E-3</v>
      </c>
      <c r="O73" s="24">
        <f>Table2571113152523333537394145495153591214161820222426[[#This Row],[CV]]</f>
        <v>8.4416431830381094E-4</v>
      </c>
      <c r="P73" s="97">
        <f>Table2571113152523333537394145495153591214161820222426[[#This Row],[...]]*2</f>
        <v>1.6883286366076219E-3</v>
      </c>
      <c r="Q73" s="24"/>
      <c r="R73" s="24"/>
      <c r="S73" s="24"/>
      <c r="T73" s="24"/>
      <c r="U73" s="24"/>
      <c r="V73" s="23" t="s">
        <v>34</v>
      </c>
      <c r="W73" s="104"/>
    </row>
    <row r="74" spans="1:23" ht="17.149999999999999" customHeight="1" x14ac:dyDescent="0.35">
      <c r="A74" s="8" t="s">
        <v>71</v>
      </c>
      <c r="B74" s="9">
        <v>1.0011574074074074E-2</v>
      </c>
      <c r="C74" s="9">
        <v>2.8935185185185188E-3</v>
      </c>
      <c r="D74" s="9">
        <f>B74*E74</f>
        <v>5.8247337962962957E-3</v>
      </c>
      <c r="E74" s="10">
        <v>0.58179999999999998</v>
      </c>
      <c r="F74" s="9">
        <f>C74/4</f>
        <v>7.233796296296297E-4</v>
      </c>
      <c r="G74" s="9">
        <f>D74/7.5</f>
        <v>7.7663117283950612E-4</v>
      </c>
      <c r="H74" s="9">
        <f>B74/12.5</f>
        <v>8.0092592592592585E-4</v>
      </c>
      <c r="I74" s="9">
        <f>G74/0.93</f>
        <v>8.3508728262312486E-4</v>
      </c>
      <c r="J74" s="9">
        <f>G74/0.92</f>
        <v>8.4416431830381094E-4</v>
      </c>
      <c r="K74" s="9">
        <f>G74/0.88</f>
        <v>8.825354236812569E-4</v>
      </c>
      <c r="L74" s="9">
        <f>G74/0.84</f>
        <v>9.2456092004703113E-4</v>
      </c>
      <c r="M74" s="11">
        <f>Table2571113152523333537394145495153591214161820222426[[#This Row],[Thresh]]</f>
        <v>8.825354236812569E-4</v>
      </c>
      <c r="N74" s="9">
        <f>Table2571113152523333537394145495153591214161820222426[[#This Row],[T (400)]]*2</f>
        <v>1.7650708473625138E-3</v>
      </c>
      <c r="O74" s="24">
        <f>Table2571113152523333537394145495153591214161820222426[[#This Row],[CV]]</f>
        <v>8.4416431830381094E-4</v>
      </c>
      <c r="P74" s="97">
        <f>Table2571113152523333537394145495153591214161820222426[[#This Row],[...]]*2</f>
        <v>1.6883286366076219E-3</v>
      </c>
      <c r="Q74" s="24"/>
      <c r="R74" s="24"/>
      <c r="S74" s="24"/>
      <c r="T74" s="24"/>
      <c r="U74" s="24"/>
      <c r="V74" s="23" t="s">
        <v>34</v>
      </c>
      <c r="W74" s="104"/>
    </row>
    <row r="75" spans="1:23" ht="17.149999999999999" customHeight="1" x14ac:dyDescent="0.35">
      <c r="A75" s="8" t="s">
        <v>73</v>
      </c>
      <c r="B75" s="9">
        <v>1.0011574074074074E-2</v>
      </c>
      <c r="C75" s="9">
        <v>2.8935185185185188E-3</v>
      </c>
      <c r="D75" s="9">
        <f>B75*E75</f>
        <v>5.8247337962962957E-3</v>
      </c>
      <c r="E75" s="10">
        <v>0.58179999999999998</v>
      </c>
      <c r="F75" s="9">
        <f>C75/4</f>
        <v>7.233796296296297E-4</v>
      </c>
      <c r="G75" s="9">
        <f>D75/7.5</f>
        <v>7.7663117283950612E-4</v>
      </c>
      <c r="H75" s="9">
        <f>B75/12.5</f>
        <v>8.0092592592592585E-4</v>
      </c>
      <c r="I75" s="9">
        <f>G75/0.93</f>
        <v>8.3508728262312486E-4</v>
      </c>
      <c r="J75" s="9">
        <f>G75/0.92</f>
        <v>8.4416431830381094E-4</v>
      </c>
      <c r="K75" s="9">
        <f>G75/0.88</f>
        <v>8.825354236812569E-4</v>
      </c>
      <c r="L75" s="9">
        <f>G75/0.84</f>
        <v>9.2456092004703113E-4</v>
      </c>
      <c r="M75" s="11">
        <f>Table2571113152523333537394145495153591214161820222426[[#This Row],[Thresh]]</f>
        <v>8.825354236812569E-4</v>
      </c>
      <c r="N75" s="9">
        <f>Table2571113152523333537394145495153591214161820222426[[#This Row],[T (400)]]*2</f>
        <v>1.7650708473625138E-3</v>
      </c>
      <c r="O75" s="24">
        <f>Table2571113152523333537394145495153591214161820222426[[#This Row],[CV]]</f>
        <v>8.4416431830381094E-4</v>
      </c>
      <c r="P75" s="97">
        <f>Table2571113152523333537394145495153591214161820222426[[#This Row],[...]]*2</f>
        <v>1.6883286366076219E-3</v>
      </c>
      <c r="Q75" s="24"/>
      <c r="R75" s="24"/>
      <c r="S75" s="24"/>
      <c r="T75" s="24"/>
      <c r="U75" s="24"/>
      <c r="V75" s="23" t="s">
        <v>34</v>
      </c>
      <c r="W75" s="104"/>
    </row>
    <row r="76" spans="1:23" ht="17.149999999999999" customHeight="1" x14ac:dyDescent="0.35">
      <c r="A76" s="8" t="s">
        <v>96</v>
      </c>
      <c r="B76" s="9">
        <v>1.0011574074074074E-2</v>
      </c>
      <c r="C76" s="9">
        <v>2.9513888888888888E-3</v>
      </c>
      <c r="D76" s="9">
        <f>B76*E76</f>
        <v>5.8247337962962957E-3</v>
      </c>
      <c r="E76" s="10">
        <v>0.58179999999999998</v>
      </c>
      <c r="F76" s="9">
        <f>C76/4</f>
        <v>7.378472222222222E-4</v>
      </c>
      <c r="G76" s="9">
        <f>D76/7.5</f>
        <v>7.7663117283950612E-4</v>
      </c>
      <c r="H76" s="9">
        <f>B76/12.5</f>
        <v>8.0092592592592585E-4</v>
      </c>
      <c r="I76" s="9">
        <f>G76/0.93</f>
        <v>8.3508728262312486E-4</v>
      </c>
      <c r="J76" s="9">
        <f>G76/0.92</f>
        <v>8.4416431830381094E-4</v>
      </c>
      <c r="K76" s="9">
        <f>G76/0.88</f>
        <v>8.825354236812569E-4</v>
      </c>
      <c r="L76" s="9">
        <f>G76/0.84</f>
        <v>9.2456092004703113E-4</v>
      </c>
      <c r="M76" s="11">
        <f>Table2571113152523333537394145495153591214161820222426[[#This Row],[Thresh]]</f>
        <v>8.825354236812569E-4</v>
      </c>
      <c r="N76" s="9">
        <f>Table2571113152523333537394145495153591214161820222426[[#This Row],[T (400)]]*2</f>
        <v>1.7650708473625138E-3</v>
      </c>
      <c r="O76" s="24">
        <f>Table2571113152523333537394145495153591214161820222426[[#This Row],[CV]]</f>
        <v>8.4416431830381094E-4</v>
      </c>
      <c r="P76" s="97">
        <f>Table2571113152523333537394145495153591214161820222426[[#This Row],[...]]*2</f>
        <v>1.6883286366076219E-3</v>
      </c>
      <c r="Q76" s="24"/>
      <c r="R76" s="9"/>
      <c r="S76" s="12"/>
      <c r="V76" s="23" t="s">
        <v>34</v>
      </c>
      <c r="W76" s="108" t="s">
        <v>237</v>
      </c>
    </row>
    <row r="77" spans="1:23" ht="17.149999999999999" customHeight="1" x14ac:dyDescent="0.35">
      <c r="A77" s="8" t="s">
        <v>97</v>
      </c>
      <c r="B77" s="9">
        <v>1.0011574074074074E-2</v>
      </c>
      <c r="C77" s="9">
        <v>2.9745370370370373E-3</v>
      </c>
      <c r="D77" s="9">
        <f t="shared" ref="D77:D85" si="79">B77*E77</f>
        <v>5.8247337962962957E-3</v>
      </c>
      <c r="E77" s="10">
        <v>0.58179999999999998</v>
      </c>
      <c r="F77" s="9">
        <f t="shared" si="55"/>
        <v>7.4363425925925931E-4</v>
      </c>
      <c r="G77" s="9">
        <f t="shared" si="56"/>
        <v>7.7663117283950612E-4</v>
      </c>
      <c r="H77" s="9">
        <f t="shared" si="57"/>
        <v>8.0092592592592585E-4</v>
      </c>
      <c r="I77" s="9">
        <f t="shared" si="58"/>
        <v>8.3508728262312486E-4</v>
      </c>
      <c r="J77" s="9">
        <f t="shared" si="59"/>
        <v>8.4416431830381094E-4</v>
      </c>
      <c r="K77" s="9">
        <f t="shared" si="60"/>
        <v>8.825354236812569E-4</v>
      </c>
      <c r="L77" s="9">
        <f t="shared" si="61"/>
        <v>9.2456092004703113E-4</v>
      </c>
      <c r="M77" s="11">
        <f>Table2571113152523333537394145495153591214161820222426[[#This Row],[Thresh]]</f>
        <v>8.825354236812569E-4</v>
      </c>
      <c r="N77" s="9">
        <f>Table2571113152523333537394145495153591214161820222426[[#This Row],[T (400)]]*2</f>
        <v>1.7650708473625138E-3</v>
      </c>
      <c r="O77" s="24">
        <f>Table2571113152523333537394145495153591214161820222426[[#This Row],[CV]]</f>
        <v>8.4416431830381094E-4</v>
      </c>
      <c r="P77" s="97">
        <f>Table2571113152523333537394145495153591214161820222426[[#This Row],[...]]*2</f>
        <v>1.6883286366076219E-3</v>
      </c>
      <c r="Q77" s="24"/>
      <c r="R77" s="24"/>
      <c r="S77" s="24"/>
      <c r="T77" s="24"/>
      <c r="U77" s="24"/>
      <c r="V77" s="23" t="s">
        <v>34</v>
      </c>
      <c r="W77" s="108"/>
    </row>
    <row r="78" spans="1:23" ht="17.149999999999999" customHeight="1" x14ac:dyDescent="0.35">
      <c r="A78" s="8" t="s">
        <v>78</v>
      </c>
      <c r="B78" s="9">
        <v>1.0243055555555556E-2</v>
      </c>
      <c r="C78" s="9">
        <v>2.9745370370370373E-3</v>
      </c>
      <c r="D78" s="9">
        <f t="shared" si="79"/>
        <v>5.9594097222222218E-3</v>
      </c>
      <c r="E78" s="10">
        <v>0.58179999999999998</v>
      </c>
      <c r="F78" s="9">
        <f t="shared" si="55"/>
        <v>7.4363425925925931E-4</v>
      </c>
      <c r="G78" s="9">
        <f t="shared" si="56"/>
        <v>7.9458796296296287E-4</v>
      </c>
      <c r="H78" s="9">
        <f t="shared" si="57"/>
        <v>8.1944444444444447E-4</v>
      </c>
      <c r="I78" s="9">
        <f t="shared" si="58"/>
        <v>8.5439565909996003E-4</v>
      </c>
      <c r="J78" s="9">
        <f t="shared" si="59"/>
        <v>8.636825684380031E-4</v>
      </c>
      <c r="K78" s="9">
        <f t="shared" si="60"/>
        <v>9.0294086700336686E-4</v>
      </c>
      <c r="L78" s="9">
        <f t="shared" si="61"/>
        <v>9.4593805114638445E-4</v>
      </c>
      <c r="M78" s="11">
        <f>Table2571113152523333537394145495153591214161820222426[[#This Row],[Thresh]]</f>
        <v>9.0294086700336686E-4</v>
      </c>
      <c r="N78" s="9">
        <f>Table2571113152523333537394145495153591214161820222426[[#This Row],[T (400)]]*2</f>
        <v>1.8058817340067337E-3</v>
      </c>
      <c r="O78" s="24">
        <f>Table2571113152523333537394145495153591214161820222426[[#This Row],[CV]]</f>
        <v>8.636825684380031E-4</v>
      </c>
      <c r="P78" s="97">
        <f>Table2571113152523333537394145495153591214161820222426[[#This Row],[...]]*2</f>
        <v>1.7273651368760062E-3</v>
      </c>
      <c r="Q78" s="24"/>
      <c r="R78" s="24"/>
      <c r="S78" s="24"/>
      <c r="T78" s="24"/>
      <c r="U78" s="24"/>
      <c r="V78" s="23" t="s">
        <v>34</v>
      </c>
      <c r="W78" s="108"/>
    </row>
    <row r="79" spans="1:23" ht="17.149999999999999" customHeight="1" x14ac:dyDescent="0.35">
      <c r="A79" s="8" t="s">
        <v>99</v>
      </c>
      <c r="B79" s="9">
        <v>1.0243055555555556E-2</v>
      </c>
      <c r="C79" s="9">
        <v>3.0092592592592588E-3</v>
      </c>
      <c r="D79" s="9">
        <f>B79*E79</f>
        <v>5.9594097222222218E-3</v>
      </c>
      <c r="E79" s="10">
        <v>0.58179999999999998</v>
      </c>
      <c r="F79" s="9">
        <f>C79/4</f>
        <v>7.5231481481481471E-4</v>
      </c>
      <c r="G79" s="9">
        <f>D79/7.5</f>
        <v>7.9458796296296287E-4</v>
      </c>
      <c r="H79" s="9">
        <f>B79/12.5</f>
        <v>8.1944444444444447E-4</v>
      </c>
      <c r="I79" s="9">
        <f>G79/0.93</f>
        <v>8.5439565909996003E-4</v>
      </c>
      <c r="J79" s="9">
        <f>G79/0.92</f>
        <v>8.636825684380031E-4</v>
      </c>
      <c r="K79" s="9">
        <f>G79/0.88</f>
        <v>9.0294086700336686E-4</v>
      </c>
      <c r="L79" s="9">
        <f>G79/0.84</f>
        <v>9.4593805114638445E-4</v>
      </c>
      <c r="M79" s="11">
        <f>Table2571113152523333537394145495153591214161820222426[[#This Row],[Thresh]]</f>
        <v>9.0294086700336686E-4</v>
      </c>
      <c r="N79" s="9">
        <f>Table2571113152523333537394145495153591214161820222426[[#This Row],[T (400)]]*2</f>
        <v>1.8058817340067337E-3</v>
      </c>
      <c r="O79" s="24">
        <f>Table2571113152523333537394145495153591214161820222426[[#This Row],[CV]]</f>
        <v>8.636825684380031E-4</v>
      </c>
      <c r="P79" s="97">
        <f>Table2571113152523333537394145495153591214161820222426[[#This Row],[...]]*2</f>
        <v>1.7273651368760062E-3</v>
      </c>
      <c r="Q79" s="24"/>
      <c r="R79" s="9"/>
      <c r="S79" s="12"/>
      <c r="V79" s="23" t="s">
        <v>34</v>
      </c>
      <c r="W79" s="108"/>
    </row>
    <row r="80" spans="1:23" ht="17.149999999999999" customHeight="1" x14ac:dyDescent="0.35">
      <c r="A80" s="8" t="s">
        <v>98</v>
      </c>
      <c r="B80" s="9">
        <v>1.0243055555555556E-2</v>
      </c>
      <c r="C80" s="9">
        <v>3.0092592592592588E-3</v>
      </c>
      <c r="D80" s="9">
        <f>B80*E80</f>
        <v>5.9594097222222218E-3</v>
      </c>
      <c r="E80" s="10">
        <v>0.58179999999999998</v>
      </c>
      <c r="F80" s="9">
        <f>C80/4</f>
        <v>7.5231481481481471E-4</v>
      </c>
      <c r="G80" s="9">
        <f>D80/7.5</f>
        <v>7.9458796296296287E-4</v>
      </c>
      <c r="H80" s="9">
        <f>B80/12.5</f>
        <v>8.1944444444444447E-4</v>
      </c>
      <c r="I80" s="9">
        <f>G80/0.93</f>
        <v>8.5439565909996003E-4</v>
      </c>
      <c r="J80" s="9">
        <f>G80/0.92</f>
        <v>8.636825684380031E-4</v>
      </c>
      <c r="K80" s="9">
        <f>G80/0.88</f>
        <v>9.0294086700336686E-4</v>
      </c>
      <c r="L80" s="9">
        <f>G80/0.84</f>
        <v>9.4593805114638445E-4</v>
      </c>
      <c r="M80" s="11">
        <f>Table2571113152523333537394145495153591214161820222426[[#This Row],[Thresh]]</f>
        <v>9.0294086700336686E-4</v>
      </c>
      <c r="N80" s="9">
        <f>Table2571113152523333537394145495153591214161820222426[[#This Row],[T (400)]]*2</f>
        <v>1.8058817340067337E-3</v>
      </c>
      <c r="O80" s="24">
        <f>Table2571113152523333537394145495153591214161820222426[[#This Row],[CV]]</f>
        <v>8.636825684380031E-4</v>
      </c>
      <c r="P80" s="97">
        <f>Table2571113152523333537394145495153591214161820222426[[#This Row],[...]]*2</f>
        <v>1.7273651368760062E-3</v>
      </c>
      <c r="Q80" s="24"/>
      <c r="R80" s="9"/>
      <c r="S80" s="12"/>
      <c r="V80" s="23" t="s">
        <v>34</v>
      </c>
      <c r="W80" s="108"/>
    </row>
    <row r="81" spans="1:23" ht="17.149999999999999" customHeight="1" x14ac:dyDescent="0.35">
      <c r="A81" s="8" t="s">
        <v>100</v>
      </c>
      <c r="B81" s="9">
        <v>1.0243055555555556E-2</v>
      </c>
      <c r="C81" s="9">
        <v>2.9745370370370373E-3</v>
      </c>
      <c r="D81" s="9">
        <f>B81*E81</f>
        <v>5.9594097222222218E-3</v>
      </c>
      <c r="E81" s="10">
        <v>0.58179999999999998</v>
      </c>
      <c r="F81" s="9">
        <f>C81/4</f>
        <v>7.4363425925925931E-4</v>
      </c>
      <c r="G81" s="9">
        <f>D81/7.5</f>
        <v>7.9458796296296287E-4</v>
      </c>
      <c r="H81" s="9">
        <f>B81/12.5</f>
        <v>8.1944444444444447E-4</v>
      </c>
      <c r="I81" s="9">
        <f>G81/0.93</f>
        <v>8.5439565909996003E-4</v>
      </c>
      <c r="J81" s="9">
        <f>G81/0.92</f>
        <v>8.636825684380031E-4</v>
      </c>
      <c r="K81" s="9">
        <f>G81/0.88</f>
        <v>9.0294086700336686E-4</v>
      </c>
      <c r="L81" s="9">
        <f>G81/0.84</f>
        <v>9.4593805114638445E-4</v>
      </c>
      <c r="M81" s="11">
        <f>Table2571113152523333537394145495153591214161820222426[[#This Row],[Thresh]]</f>
        <v>9.0294086700336686E-4</v>
      </c>
      <c r="N81" s="9">
        <f>Table2571113152523333537394145495153591214161820222426[[#This Row],[T (400)]]*2</f>
        <v>1.8058817340067337E-3</v>
      </c>
      <c r="O81" s="24">
        <f>Table2571113152523333537394145495153591214161820222426[[#This Row],[CV]]</f>
        <v>8.636825684380031E-4</v>
      </c>
      <c r="P81" s="97">
        <f>Table2571113152523333537394145495153591214161820222426[[#This Row],[...]]*2</f>
        <v>1.7273651368760062E-3</v>
      </c>
      <c r="Q81" s="24"/>
      <c r="R81" s="9"/>
      <c r="S81" s="12"/>
      <c r="V81" s="23" t="s">
        <v>34</v>
      </c>
      <c r="W81" s="108"/>
    </row>
    <row r="82" spans="1:23" ht="17.149999999999999" customHeight="1" x14ac:dyDescent="0.35">
      <c r="A82" s="8" t="s">
        <v>80</v>
      </c>
      <c r="B82" s="9">
        <v>1.0416666666666666E-2</v>
      </c>
      <c r="C82" s="9">
        <v>3.0092592592592588E-3</v>
      </c>
      <c r="D82" s="9">
        <f t="shared" si="79"/>
        <v>6.0604166666666662E-3</v>
      </c>
      <c r="E82" s="10">
        <v>0.58179999999999998</v>
      </c>
      <c r="F82" s="9">
        <f t="shared" si="55"/>
        <v>7.5231481481481471E-4</v>
      </c>
      <c r="G82" s="9">
        <f t="shared" si="56"/>
        <v>8.0805555555555546E-4</v>
      </c>
      <c r="H82" s="9">
        <f t="shared" si="57"/>
        <v>8.3333333333333328E-4</v>
      </c>
      <c r="I82" s="9">
        <f t="shared" si="58"/>
        <v>8.6887694145758646E-4</v>
      </c>
      <c r="J82" s="9">
        <f t="shared" si="59"/>
        <v>8.7832125603864715E-4</v>
      </c>
      <c r="K82" s="9">
        <f t="shared" si="60"/>
        <v>9.1824494949494938E-4</v>
      </c>
      <c r="L82" s="9">
        <f t="shared" si="61"/>
        <v>9.6197089947089938E-4</v>
      </c>
      <c r="M82" s="11">
        <f>Table2571113152523333537394145495153591214161820222426[[#This Row],[Thresh]]</f>
        <v>9.1824494949494938E-4</v>
      </c>
      <c r="N82" s="9">
        <f>Table2571113152523333537394145495153591214161820222426[[#This Row],[T (400)]]*2</f>
        <v>1.8364898989898988E-3</v>
      </c>
      <c r="O82" s="24">
        <f>Table2571113152523333537394145495153591214161820222426[[#This Row],[CV]]</f>
        <v>8.7832125603864715E-4</v>
      </c>
      <c r="P82" s="97">
        <f>Table2571113152523333537394145495153591214161820222426[[#This Row],[...]]*2</f>
        <v>1.7566425120772943E-3</v>
      </c>
      <c r="Q82" s="24"/>
      <c r="R82" s="24"/>
      <c r="S82" s="24"/>
      <c r="T82" s="24"/>
      <c r="U82" s="24"/>
      <c r="V82" s="23" t="s">
        <v>34</v>
      </c>
      <c r="W82" s="108"/>
    </row>
    <row r="83" spans="1:23" ht="17.149999999999999" customHeight="1" x14ac:dyDescent="0.35">
      <c r="A83" s="8" t="s">
        <v>77</v>
      </c>
      <c r="B83" s="9">
        <v>1.0416666666666666E-2</v>
      </c>
      <c r="C83" s="9">
        <v>2.9745370370370373E-3</v>
      </c>
      <c r="D83" s="9">
        <f>B83*E83</f>
        <v>6.0604166666666662E-3</v>
      </c>
      <c r="E83" s="10">
        <v>0.58179999999999998</v>
      </c>
      <c r="F83" s="9">
        <f>C83/4</f>
        <v>7.4363425925925931E-4</v>
      </c>
      <c r="G83" s="9">
        <f>D83/7.5</f>
        <v>8.0805555555555546E-4</v>
      </c>
      <c r="H83" s="9">
        <f>B83/12.5</f>
        <v>8.3333333333333328E-4</v>
      </c>
      <c r="I83" s="9">
        <f>G83/0.93</f>
        <v>8.6887694145758646E-4</v>
      </c>
      <c r="J83" s="9">
        <f>G83/0.92</f>
        <v>8.7832125603864715E-4</v>
      </c>
      <c r="K83" s="9">
        <f>G83/0.88</f>
        <v>9.1824494949494938E-4</v>
      </c>
      <c r="L83" s="9">
        <f>G83/0.84</f>
        <v>9.6197089947089938E-4</v>
      </c>
      <c r="M83" s="11">
        <f>Table2571113152523333537394145495153591214161820222426[[#This Row],[Thresh]]</f>
        <v>9.1824494949494938E-4</v>
      </c>
      <c r="N83" s="9">
        <f>Table2571113152523333537394145495153591214161820222426[[#This Row],[T (400)]]*2</f>
        <v>1.8364898989898988E-3</v>
      </c>
      <c r="O83" s="24">
        <f>Table2571113152523333537394145495153591214161820222426[[#This Row],[CV]]</f>
        <v>8.7832125603864715E-4</v>
      </c>
      <c r="P83" s="97">
        <f>Table2571113152523333537394145495153591214161820222426[[#This Row],[...]]*2</f>
        <v>1.7566425120772943E-3</v>
      </c>
      <c r="Q83" s="24"/>
      <c r="R83" s="24"/>
      <c r="S83" s="24"/>
      <c r="T83" s="24"/>
      <c r="U83" s="24"/>
      <c r="V83" s="23" t="s">
        <v>34</v>
      </c>
      <c r="W83" s="108"/>
    </row>
    <row r="84" spans="1:23" ht="17.149999999999999" customHeight="1" x14ac:dyDescent="0.35">
      <c r="A84" s="8" t="s">
        <v>101</v>
      </c>
      <c r="B84" s="9">
        <v>1.0474537037037037E-2</v>
      </c>
      <c r="C84" s="9">
        <v>3.0671296296296297E-3</v>
      </c>
      <c r="D84" s="9">
        <f>B84*E84</f>
        <v>6.094085648148148E-3</v>
      </c>
      <c r="E84" s="10">
        <v>0.58179999999999998</v>
      </c>
      <c r="F84" s="9">
        <f>C84/4</f>
        <v>7.6678240740740743E-4</v>
      </c>
      <c r="G84" s="9">
        <f>D84/7.5</f>
        <v>8.1254475308641973E-4</v>
      </c>
      <c r="H84" s="9">
        <f>B84/12.5</f>
        <v>8.3796296296296299E-4</v>
      </c>
      <c r="I84" s="9">
        <f>G84/0.93</f>
        <v>8.7370403557679541E-4</v>
      </c>
      <c r="J84" s="9">
        <f>G84/0.92</f>
        <v>8.8320081857219527E-4</v>
      </c>
      <c r="K84" s="9">
        <f>G84/0.88</f>
        <v>9.2334631032547692E-4</v>
      </c>
      <c r="L84" s="9">
        <f>G84/0.84</f>
        <v>9.6731518224573777E-4</v>
      </c>
      <c r="M84" s="11">
        <f>Table2571113152523333537394145495153591214161820222426[[#This Row],[Thresh]]</f>
        <v>9.2334631032547692E-4</v>
      </c>
      <c r="N84" s="9">
        <f>Table2571113152523333537394145495153591214161820222426[[#This Row],[T (400)]]*2</f>
        <v>1.8466926206509538E-3</v>
      </c>
      <c r="O84" s="24">
        <f>Table2571113152523333537394145495153591214161820222426[[#This Row],[CV]]</f>
        <v>8.8320081857219527E-4</v>
      </c>
      <c r="P84" s="97">
        <f>Table2571113152523333537394145495153591214161820222426[[#This Row],[...]]*2</f>
        <v>1.7664016371443905E-3</v>
      </c>
      <c r="Q84" s="24"/>
      <c r="R84" s="9"/>
      <c r="S84" s="12"/>
      <c r="V84" s="23" t="s">
        <v>34</v>
      </c>
      <c r="W84" s="108"/>
    </row>
    <row r="85" spans="1:23" ht="17.149999999999999" customHeight="1" x14ac:dyDescent="0.35">
      <c r="A85" s="8" t="s">
        <v>108</v>
      </c>
      <c r="B85" s="9">
        <v>1.0763888888888891E-2</v>
      </c>
      <c r="C85" s="9">
        <v>3.1828703703703702E-3</v>
      </c>
      <c r="D85" s="9">
        <f t="shared" si="79"/>
        <v>6.2624305555555567E-3</v>
      </c>
      <c r="E85" s="10">
        <v>0.58179999999999998</v>
      </c>
      <c r="F85" s="9">
        <f t="shared" si="55"/>
        <v>7.9571759259259255E-4</v>
      </c>
      <c r="G85" s="9">
        <f t="shared" si="56"/>
        <v>8.3499074074074085E-4</v>
      </c>
      <c r="H85" s="9">
        <f t="shared" si="57"/>
        <v>8.6111111111111121E-4</v>
      </c>
      <c r="I85" s="9">
        <f t="shared" si="58"/>
        <v>8.9783950617283953E-4</v>
      </c>
      <c r="J85" s="9">
        <f t="shared" si="59"/>
        <v>9.0759863123993567E-4</v>
      </c>
      <c r="K85" s="9">
        <f t="shared" si="60"/>
        <v>9.4885311447811464E-4</v>
      </c>
      <c r="L85" s="9">
        <f t="shared" si="61"/>
        <v>9.9403659611992969E-4</v>
      </c>
      <c r="M85" s="11">
        <f>Table2571113152523333537394145495153591214161820222426[[#This Row],[Thresh]]</f>
        <v>9.4885311447811464E-4</v>
      </c>
      <c r="N85" s="9">
        <f>Table2571113152523333537394145495153591214161820222426[[#This Row],[T (400)]]*2</f>
        <v>1.8977062289562293E-3</v>
      </c>
      <c r="O85" s="24">
        <f>Table2571113152523333537394145495153591214161820222426[[#This Row],[CV]]</f>
        <v>9.0759863123993567E-4</v>
      </c>
      <c r="P85" s="97">
        <f>Table2571113152523333537394145495153591214161820222426[[#This Row],[...]]*2</f>
        <v>1.8151972624798713E-3</v>
      </c>
      <c r="Q85" s="24"/>
      <c r="R85" s="24"/>
      <c r="S85" s="24"/>
      <c r="T85" s="24"/>
      <c r="U85" s="24"/>
      <c r="V85" s="23" t="s">
        <v>34</v>
      </c>
      <c r="W85" s="104" t="s">
        <v>238</v>
      </c>
    </row>
    <row r="86" spans="1:23" ht="17.149999999999999" customHeight="1" x14ac:dyDescent="0.35">
      <c r="A86" s="8" t="s">
        <v>94</v>
      </c>
      <c r="B86" s="9">
        <v>1.1689814814814814E-2</v>
      </c>
      <c r="C86" s="9">
        <v>3.472222222222222E-3</v>
      </c>
      <c r="D86" s="9">
        <f>B86*E86</f>
        <v>6.8011342592592585E-3</v>
      </c>
      <c r="E86" s="10">
        <v>0.58179999999999998</v>
      </c>
      <c r="F86" s="9">
        <f>C86/4</f>
        <v>8.6805555555555551E-4</v>
      </c>
      <c r="G86" s="9">
        <f>D86/7.5</f>
        <v>9.0681790123456785E-4</v>
      </c>
      <c r="H86" s="9">
        <f>B86/12.5</f>
        <v>9.3518518518518516E-4</v>
      </c>
      <c r="I86" s="9">
        <f>G86/0.93</f>
        <v>9.7507301208018041E-4</v>
      </c>
      <c r="J86" s="9">
        <f>G86/0.92</f>
        <v>9.8567163177670412E-4</v>
      </c>
      <c r="K86" s="9">
        <f>G86/0.88</f>
        <v>1.0304748877665545E-3</v>
      </c>
      <c r="L86" s="9">
        <f>G86/0.84</f>
        <v>1.0795451205173427E-3</v>
      </c>
      <c r="M86" s="11">
        <f>Table2571113152523333537394145495153591214161820222426[[#This Row],[Thresh]]</f>
        <v>1.0304748877665545E-3</v>
      </c>
      <c r="N86" s="9">
        <f>Table2571113152523333537394145495153591214161820222426[[#This Row],[T (400)]]*1.5</f>
        <v>1.5457123316498316E-3</v>
      </c>
      <c r="O86" s="24">
        <f>Table2571113152523333537394145495153591214161820222426[[#This Row],[CV]]</f>
        <v>9.8567163177670412E-4</v>
      </c>
      <c r="P86" s="97">
        <f>Table2571113152523333537394145495153591214161820222426[[#This Row],[...]]*1.5</f>
        <v>1.4785074476650561E-3</v>
      </c>
      <c r="Q86" s="24">
        <f>Table2571113152523333537394145495153591214161820222426[[#This Row],[I]]</f>
        <v>9.3518518518518516E-4</v>
      </c>
      <c r="R86" s="9">
        <f>Table2571113152523333537394145495153591214161820222426[[#This Row],[.....]]*1.5</f>
        <v>1.4027777777777777E-3</v>
      </c>
      <c r="S86" s="12"/>
      <c r="V86" s="23" t="s">
        <v>239</v>
      </c>
      <c r="W86" s="104"/>
    </row>
    <row r="87" spans="1:23" ht="17.149999999999999" customHeight="1" x14ac:dyDescent="0.35">
      <c r="A87" s="8"/>
      <c r="B87" s="9"/>
      <c r="C87" s="9"/>
      <c r="D87" s="9"/>
      <c r="E87" s="10"/>
      <c r="F87" s="9">
        <f>C87/4</f>
        <v>0</v>
      </c>
      <c r="G87" s="9">
        <f>D87/7.5</f>
        <v>0</v>
      </c>
      <c r="H87" s="9">
        <f>B87/12.5</f>
        <v>0</v>
      </c>
      <c r="I87" s="9">
        <f>G87/0.93</f>
        <v>0</v>
      </c>
      <c r="J87" s="9">
        <f>G87/0.92</f>
        <v>0</v>
      </c>
      <c r="K87" s="9">
        <f>G87/0.88</f>
        <v>0</v>
      </c>
      <c r="L87" s="9">
        <f>G87/0.84</f>
        <v>0</v>
      </c>
      <c r="M87" s="11"/>
      <c r="P87" s="25"/>
      <c r="Q87" s="25"/>
      <c r="R87" s="25"/>
      <c r="S87" s="25"/>
      <c r="V87" s="23"/>
      <c r="W87" s="104"/>
    </row>
    <row r="88" spans="1:23" ht="17.149999999999999" customHeight="1" x14ac:dyDescent="0.35">
      <c r="A88" s="8" t="s">
        <v>88</v>
      </c>
      <c r="B88" s="9">
        <v>1.087962962962963E-2</v>
      </c>
      <c r="C88" s="9">
        <v>3.1828703703703702E-3</v>
      </c>
      <c r="D88" s="9">
        <f>B88*E88</f>
        <v>6.3297685185185184E-3</v>
      </c>
      <c r="E88" s="10">
        <v>0.58179999999999998</v>
      </c>
      <c r="F88" s="9">
        <f>C88/4</f>
        <v>7.9571759259259255E-4</v>
      </c>
      <c r="G88" s="9">
        <f>D88/7.5</f>
        <v>8.4396913580246917E-4</v>
      </c>
      <c r="H88" s="9">
        <f>B88/12.5</f>
        <v>8.7037037037037042E-4</v>
      </c>
      <c r="I88" s="9">
        <f>G88/0.93</f>
        <v>9.0749369441125711E-4</v>
      </c>
      <c r="J88" s="9">
        <f>G88/0.92</f>
        <v>9.173577563070317E-4</v>
      </c>
      <c r="K88" s="9">
        <f>G88/0.88</f>
        <v>9.5905583613916951E-4</v>
      </c>
      <c r="L88" s="9">
        <f>G88/0.84</f>
        <v>1.0047251616696062E-3</v>
      </c>
      <c r="M88" s="11"/>
      <c r="N88" s="9"/>
      <c r="O88" s="24"/>
      <c r="P88" s="24"/>
      <c r="Q88" s="24"/>
      <c r="R88" s="24"/>
      <c r="S88" s="24"/>
      <c r="T88" s="24"/>
      <c r="U88" s="24"/>
      <c r="V88" s="23" t="s">
        <v>48</v>
      </c>
      <c r="W88" s="104"/>
    </row>
    <row r="89" spans="1:23" ht="17.149999999999999" customHeight="1" x14ac:dyDescent="0.35">
      <c r="A89" s="8" t="s">
        <v>109</v>
      </c>
      <c r="B89" s="9">
        <v>1.0763888888888889E-2</v>
      </c>
      <c r="C89" s="9">
        <v>3.1249999999999997E-3</v>
      </c>
      <c r="D89" s="9">
        <f>B89*E89</f>
        <v>6.2624305555555549E-3</v>
      </c>
      <c r="E89" s="10">
        <v>0.58179999999999998</v>
      </c>
      <c r="F89" s="9">
        <f>C89/4</f>
        <v>7.8124999999999993E-4</v>
      </c>
      <c r="G89" s="9">
        <f>D89/7.5</f>
        <v>8.3499074074074064E-4</v>
      </c>
      <c r="H89" s="9">
        <f>B89/12.5</f>
        <v>8.611111111111111E-4</v>
      </c>
      <c r="I89" s="9">
        <f>G89/0.93</f>
        <v>8.9783950617283931E-4</v>
      </c>
      <c r="J89" s="9">
        <f>G89/0.92</f>
        <v>9.0759863123993545E-4</v>
      </c>
      <c r="K89" s="9">
        <f>G89/0.88</f>
        <v>9.4885311447811432E-4</v>
      </c>
      <c r="L89" s="9">
        <f>G89/0.84</f>
        <v>9.9403659611992947E-4</v>
      </c>
      <c r="M89" s="11"/>
      <c r="N89" s="9"/>
      <c r="O89" s="9"/>
      <c r="P89" s="24"/>
      <c r="Q89" s="24"/>
      <c r="R89" s="24"/>
      <c r="S89" s="24"/>
      <c r="T89" s="24"/>
      <c r="U89" s="24"/>
      <c r="V89" s="23" t="s">
        <v>228</v>
      </c>
      <c r="W89" s="104"/>
    </row>
    <row r="90" spans="1:23" ht="17.149999999999999" customHeight="1" x14ac:dyDescent="0.35">
      <c r="A90" s="8" t="s">
        <v>115</v>
      </c>
      <c r="B90" s="9">
        <v>1.1111111111111112E-2</v>
      </c>
      <c r="C90" s="9">
        <v>3.1249999999999997E-3</v>
      </c>
      <c r="D90" s="9">
        <f>B90*E90</f>
        <v>6.4644444444444445E-3</v>
      </c>
      <c r="E90" s="10">
        <v>0.58179999999999998</v>
      </c>
      <c r="F90" s="9">
        <f>C90/4</f>
        <v>7.8124999999999993E-4</v>
      </c>
      <c r="G90" s="9">
        <f>D90/7.5</f>
        <v>8.6192592592592592E-4</v>
      </c>
      <c r="H90" s="9">
        <f>B90/12.5</f>
        <v>8.8888888888888893E-4</v>
      </c>
      <c r="I90" s="9">
        <f>G90/0.93</f>
        <v>9.2680207088809239E-4</v>
      </c>
      <c r="J90" s="9">
        <f>G90/0.92</f>
        <v>9.3687600644122375E-4</v>
      </c>
      <c r="K90" s="9">
        <f>G90/0.88</f>
        <v>9.7946127946127947E-4</v>
      </c>
      <c r="L90" s="9">
        <f>G90/0.84</f>
        <v>1.0261022927689596E-3</v>
      </c>
      <c r="M90" s="11"/>
      <c r="N90" s="9"/>
      <c r="O90" s="24"/>
      <c r="P90" s="9"/>
      <c r="Q90" s="24"/>
      <c r="R90" s="9"/>
      <c r="S90" s="12"/>
      <c r="T90" s="96"/>
      <c r="U90" s="9"/>
      <c r="V90" s="23" t="s">
        <v>53</v>
      </c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 t="shared" si="55"/>
        <v>0</v>
      </c>
      <c r="G91" s="9">
        <f t="shared" si="56"/>
        <v>0</v>
      </c>
      <c r="H91" s="9">
        <f t="shared" si="57"/>
        <v>0</v>
      </c>
      <c r="I91" s="9">
        <f t="shared" si="58"/>
        <v>0</v>
      </c>
      <c r="J91" s="9">
        <f t="shared" si="59"/>
        <v>0</v>
      </c>
      <c r="K91" s="9">
        <f t="shared" si="60"/>
        <v>0</v>
      </c>
      <c r="L91" s="9">
        <f t="shared" si="61"/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618-6ED0-4A8A-8344-5838515F04EA}">
  <sheetPr>
    <pageSetUpPr fitToPage="1"/>
  </sheetPr>
  <dimension ref="A1:W99"/>
  <sheetViews>
    <sheetView topLeftCell="A21" workbookViewId="0">
      <selection activeCell="T87" sqref="T87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240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133</v>
      </c>
      <c r="P1" s="6" t="s">
        <v>129</v>
      </c>
      <c r="Q1" s="6" t="s">
        <v>130</v>
      </c>
      <c r="R1" s="6" t="s">
        <v>120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241</v>
      </c>
    </row>
    <row r="2" spans="1:23" ht="17.149999999999999" customHeight="1" x14ac:dyDescent="0.35">
      <c r="A2" s="8" t="s">
        <v>28</v>
      </c>
      <c r="B2" s="9">
        <v>1.1689814814814814E-2</v>
      </c>
      <c r="C2" s="9">
        <v>3.3564814814814811E-3</v>
      </c>
      <c r="D2" s="9">
        <f t="shared" ref="D2:D9" si="0">B2*E2</f>
        <v>6.8011342592592585E-3</v>
      </c>
      <c r="E2" s="10">
        <v>0.58179999999999998</v>
      </c>
      <c r="F2" s="9">
        <f t="shared" ref="F2:F7" si="1">C2/4</f>
        <v>8.3912037037037028E-4</v>
      </c>
      <c r="G2" s="9">
        <f t="shared" ref="G2:G7" si="2">D2/7.5</f>
        <v>9.0681790123456785E-4</v>
      </c>
      <c r="H2" s="9">
        <f t="shared" ref="H2:H7" si="3">B2/12.5</f>
        <v>9.3518518518518516E-4</v>
      </c>
      <c r="I2" s="9">
        <f t="shared" ref="I2:I7" si="4">G2/0.93</f>
        <v>9.7507301208018041E-4</v>
      </c>
      <c r="J2" s="9">
        <f t="shared" ref="J2:J7" si="5">G2/0.92</f>
        <v>9.8567163177670412E-4</v>
      </c>
      <c r="K2" s="9">
        <f t="shared" ref="K2:K7" si="6">G2/0.88</f>
        <v>1.0304748877665545E-3</v>
      </c>
      <c r="L2" s="9">
        <f t="shared" ref="L2:L7" si="7">G2/0.84</f>
        <v>1.0795451205173427E-3</v>
      </c>
      <c r="M2" s="11">
        <f>Table14610121424223234363840444850524811131517192123[[#This Row],[Thresh]]</f>
        <v>1.0304748877665545E-3</v>
      </c>
      <c r="N2" s="9">
        <f>Table14610121424223234363840444850524811131517192123[[#This Row],[T (400)]]*2.5</f>
        <v>2.5761872194163863E-3</v>
      </c>
      <c r="O2" s="12">
        <f>Table14610121424223234363840444850524811131517192123[[#This Row],[R]]/2</f>
        <v>4.1956018518518514E-4</v>
      </c>
      <c r="P2" s="9"/>
      <c r="Q2" s="12"/>
      <c r="R2" s="9"/>
      <c r="S2" s="12"/>
      <c r="T2" s="9"/>
      <c r="U2" s="9"/>
      <c r="V2" s="13" t="s">
        <v>30</v>
      </c>
      <c r="W2" s="104"/>
    </row>
    <row r="3" spans="1:23" ht="17.149999999999999" customHeight="1" x14ac:dyDescent="0.35">
      <c r="A3" s="8" t="s">
        <v>31</v>
      </c>
      <c r="B3" s="9">
        <v>1.1689814814814814E-2</v>
      </c>
      <c r="C3" s="9">
        <v>3.3564814814814811E-3</v>
      </c>
      <c r="D3" s="9">
        <f t="shared" si="0"/>
        <v>6.8011342592592585E-3</v>
      </c>
      <c r="E3" s="10">
        <v>0.58179999999999998</v>
      </c>
      <c r="F3" s="9">
        <f t="shared" si="1"/>
        <v>8.3912037037037028E-4</v>
      </c>
      <c r="G3" s="9">
        <f t="shared" si="2"/>
        <v>9.0681790123456785E-4</v>
      </c>
      <c r="H3" s="9">
        <f t="shared" si="3"/>
        <v>9.3518518518518516E-4</v>
      </c>
      <c r="I3" s="9">
        <f t="shared" si="4"/>
        <v>9.7507301208018041E-4</v>
      </c>
      <c r="J3" s="9">
        <f t="shared" si="5"/>
        <v>9.8567163177670412E-4</v>
      </c>
      <c r="K3" s="9">
        <f t="shared" si="6"/>
        <v>1.0304748877665545E-3</v>
      </c>
      <c r="L3" s="9">
        <f t="shared" si="7"/>
        <v>1.0795451205173427E-3</v>
      </c>
      <c r="M3" s="11">
        <f>Table14610121424223234363840444850524811131517192123[[#This Row],[Thresh]]</f>
        <v>1.0304748877665545E-3</v>
      </c>
      <c r="N3" s="9">
        <f>Table14610121424223234363840444850524811131517192123[[#This Row],[T (400)]]*2.5</f>
        <v>2.5761872194163863E-3</v>
      </c>
      <c r="O3" s="12">
        <f>Table14610121424223234363840444850524811131517192123[[#This Row],[R]]/2</f>
        <v>4.1956018518518514E-4</v>
      </c>
      <c r="P3" s="9"/>
      <c r="Q3" s="12"/>
      <c r="R3" s="9"/>
      <c r="S3" s="12"/>
      <c r="T3" s="9"/>
      <c r="U3" s="9"/>
      <c r="V3" s="13" t="s">
        <v>30</v>
      </c>
      <c r="W3" s="104"/>
    </row>
    <row r="4" spans="1:23" ht="17.149999999999999" customHeight="1" x14ac:dyDescent="0.35">
      <c r="A4" s="8" t="s">
        <v>52</v>
      </c>
      <c r="B4" s="9">
        <v>1.1805555555555555E-2</v>
      </c>
      <c r="C4" s="9">
        <v>3.472222222222222E-3</v>
      </c>
      <c r="D4" s="9">
        <f t="shared" si="0"/>
        <v>6.868472222222222E-3</v>
      </c>
      <c r="E4" s="10">
        <v>0.58179999999999998</v>
      </c>
      <c r="F4" s="9">
        <f t="shared" si="1"/>
        <v>8.6805555555555551E-4</v>
      </c>
      <c r="G4" s="9">
        <f t="shared" si="2"/>
        <v>9.1579629629629628E-4</v>
      </c>
      <c r="H4" s="9">
        <f t="shared" si="3"/>
        <v>9.4444444444444437E-4</v>
      </c>
      <c r="I4" s="9">
        <f t="shared" si="4"/>
        <v>9.8472720031859799E-4</v>
      </c>
      <c r="J4" s="9">
        <f t="shared" si="5"/>
        <v>9.9543075684380036E-4</v>
      </c>
      <c r="K4" s="9">
        <f t="shared" si="6"/>
        <v>1.0406776094276093E-3</v>
      </c>
      <c r="L4" s="9">
        <f t="shared" si="7"/>
        <v>1.0902336860670195E-3</v>
      </c>
      <c r="M4" s="11">
        <f>Table14610121424223234363840444850524811131517192123[[#This Row],[Thresh]]</f>
        <v>1.0406776094276093E-3</v>
      </c>
      <c r="N4" s="9">
        <f>Table14610121424223234363840444850524811131517192123[[#This Row],[T (400)]]*2.5</f>
        <v>2.6016940235690234E-3</v>
      </c>
      <c r="O4" s="12">
        <f>Table14610121424223234363840444850524811131517192123[[#This Row],[R]]/2</f>
        <v>4.3402777777777775E-4</v>
      </c>
      <c r="P4" s="9"/>
      <c r="Q4" s="12"/>
      <c r="R4" s="9"/>
      <c r="S4" s="12"/>
      <c r="T4" s="9"/>
      <c r="U4" s="9"/>
      <c r="V4" s="13" t="s">
        <v>30</v>
      </c>
      <c r="W4" s="104"/>
    </row>
    <row r="5" spans="1:23" ht="17.149999999999999" customHeight="1" x14ac:dyDescent="0.35">
      <c r="A5" s="8" t="s">
        <v>26</v>
      </c>
      <c r="B5" s="9">
        <v>1.2152777777777778E-2</v>
      </c>
      <c r="C5" s="9">
        <v>3.472222222222222E-3</v>
      </c>
      <c r="D5" s="9">
        <f t="shared" si="0"/>
        <v>7.0704861111111107E-3</v>
      </c>
      <c r="E5" s="10">
        <v>0.58179999999999998</v>
      </c>
      <c r="F5" s="9">
        <f t="shared" si="1"/>
        <v>8.6805555555555551E-4</v>
      </c>
      <c r="G5" s="9">
        <f t="shared" si="2"/>
        <v>9.4273148148148146E-4</v>
      </c>
      <c r="H5" s="9">
        <f t="shared" si="3"/>
        <v>9.7222222222222219E-4</v>
      </c>
      <c r="I5" s="9">
        <f t="shared" si="4"/>
        <v>1.0136897650338511E-3</v>
      </c>
      <c r="J5" s="9">
        <f t="shared" si="5"/>
        <v>1.0247081320450884E-3</v>
      </c>
      <c r="K5" s="9">
        <f t="shared" si="6"/>
        <v>1.0712857744107744E-3</v>
      </c>
      <c r="L5" s="9">
        <f t="shared" si="7"/>
        <v>1.1222993827160494E-3</v>
      </c>
      <c r="M5" s="11">
        <f>Table14610121424223234363840444850524811131517192123[[#This Row],[Thresh]]</f>
        <v>1.0712857744107744E-3</v>
      </c>
      <c r="N5" s="9">
        <f>Table14610121424223234363840444850524811131517192123[[#This Row],[T (400)]]*2.5</f>
        <v>2.6782144360269359E-3</v>
      </c>
      <c r="O5" s="12">
        <f>Table14610121424223234363840444850524811131517192123[[#This Row],[R]]/2</f>
        <v>4.3402777777777775E-4</v>
      </c>
      <c r="P5" s="9"/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32</v>
      </c>
      <c r="B6" s="9">
        <v>1.238425925925926E-2</v>
      </c>
      <c r="C6" s="9">
        <v>3.5879629629629629E-3</v>
      </c>
      <c r="D6" s="9">
        <f t="shared" si="0"/>
        <v>7.2051620370370368E-3</v>
      </c>
      <c r="E6" s="10">
        <v>0.58179999999999998</v>
      </c>
      <c r="F6" s="9">
        <f t="shared" si="1"/>
        <v>8.9699074074074073E-4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Table14610121424223234363840444850524811131517192123[[#This Row],[Thresh]]</f>
        <v>1.0916912177328843E-3</v>
      </c>
      <c r="N6" s="9">
        <f>Table14610121424223234363840444850524811131517192123[[#This Row],[T (400)]]*2.5</f>
        <v>2.7292280443322109E-3</v>
      </c>
      <c r="O6" s="12">
        <f>Table14610121424223234363840444850524811131517192123[[#This Row],[R]]/2</f>
        <v>4.4849537037037037E-4</v>
      </c>
      <c r="P6" s="9"/>
      <c r="Q6" s="12"/>
      <c r="R6" s="9"/>
      <c r="S6" s="12"/>
      <c r="T6" s="9"/>
      <c r="U6" s="9"/>
      <c r="V6" s="13" t="s">
        <v>30</v>
      </c>
      <c r="W6" s="104"/>
    </row>
    <row r="7" spans="1:23" ht="17.149999999999999" customHeight="1" x14ac:dyDescent="0.35">
      <c r="A7" s="8" t="s">
        <v>36</v>
      </c>
      <c r="B7" s="9">
        <v>1.3020833333333334E-2</v>
      </c>
      <c r="C7" s="9">
        <v>3.7615740740740739E-3</v>
      </c>
      <c r="D7" s="9">
        <f t="shared" si="0"/>
        <v>7.5755208333333334E-3</v>
      </c>
      <c r="E7" s="10">
        <v>0.58179999999999998</v>
      </c>
      <c r="F7" s="9">
        <f t="shared" si="1"/>
        <v>9.4039351851851847E-4</v>
      </c>
      <c r="G7" s="9">
        <f t="shared" si="2"/>
        <v>1.0100694444444445E-3</v>
      </c>
      <c r="H7" s="9">
        <f t="shared" si="3"/>
        <v>1.0416666666666667E-3</v>
      </c>
      <c r="I7" s="9">
        <f t="shared" si="4"/>
        <v>1.0860961768219832E-3</v>
      </c>
      <c r="J7" s="9">
        <f t="shared" si="5"/>
        <v>1.0979015700483092E-3</v>
      </c>
      <c r="K7" s="9">
        <f t="shared" si="6"/>
        <v>1.1478061868686869E-3</v>
      </c>
      <c r="L7" s="9">
        <f t="shared" si="7"/>
        <v>1.2024636243386244E-3</v>
      </c>
      <c r="M7" s="11">
        <f>Table14610121424223234363840444850524811131517192123[[#This Row],[Thresh]]</f>
        <v>1.1478061868686869E-3</v>
      </c>
      <c r="N7" s="9">
        <f>Table14610121424223234363840444850524811131517192123[[#This Row],[T (400)]]*2.5</f>
        <v>2.8695154671717171E-3</v>
      </c>
      <c r="O7" s="12">
        <f>Table14610121424223234363840444850524811131517192123[[#This Row],[R]]/2</f>
        <v>4.7019675925925923E-4</v>
      </c>
      <c r="P7" s="9"/>
      <c r="Q7" s="12"/>
      <c r="R7" s="9"/>
      <c r="S7" s="12"/>
      <c r="T7" s="9"/>
      <c r="U7" s="9"/>
      <c r="V7" s="13" t="s">
        <v>30</v>
      </c>
      <c r="W7" s="104"/>
    </row>
    <row r="8" spans="1:23" ht="17.149999999999999" customHeight="1" x14ac:dyDescent="0.35">
      <c r="A8" s="8" t="s">
        <v>23</v>
      </c>
      <c r="B8" s="9">
        <v>1.3020833333333334E-2</v>
      </c>
      <c r="C8" s="9">
        <v>3.7037037037037034E-3</v>
      </c>
      <c r="D8" s="9">
        <f t="shared" si="0"/>
        <v>7.5755208333333334E-3</v>
      </c>
      <c r="E8" s="10">
        <v>0.58179999999999998</v>
      </c>
      <c r="F8" s="9">
        <f t="shared" ref="F8:F15" si="8">C8/4</f>
        <v>9.2592592592592585E-4</v>
      </c>
      <c r="G8" s="9">
        <f t="shared" ref="G8:G15" si="9">D8/7.5</f>
        <v>1.0100694444444445E-3</v>
      </c>
      <c r="H8" s="9">
        <f t="shared" ref="H8:H15" si="10">B8/12.5</f>
        <v>1.0416666666666667E-3</v>
      </c>
      <c r="I8" s="9">
        <f t="shared" ref="I8:I15" si="11">G8/0.93</f>
        <v>1.0860961768219832E-3</v>
      </c>
      <c r="J8" s="9">
        <f t="shared" ref="J8:J15" si="12">G8/0.92</f>
        <v>1.0979015700483092E-3</v>
      </c>
      <c r="K8" s="9">
        <f t="shared" ref="K8:K15" si="13">G8/0.88</f>
        <v>1.1478061868686869E-3</v>
      </c>
      <c r="L8" s="9">
        <f t="shared" ref="L8:L15" si="14">G8/0.84</f>
        <v>1.2024636243386244E-3</v>
      </c>
      <c r="M8" s="11">
        <f>Table14610121424223234363840444850524811131517192123[[#This Row],[Thresh]]</f>
        <v>1.1478061868686869E-3</v>
      </c>
      <c r="N8" s="9">
        <f>Table14610121424223234363840444850524811131517192123[[#This Row],[T (400)]]*2.5</f>
        <v>2.8695154671717171E-3</v>
      </c>
      <c r="O8" s="12">
        <f>Table14610121424223234363840444850524811131517192123[[#This Row],[R]]/2</f>
        <v>4.6296296296296293E-4</v>
      </c>
      <c r="P8" s="9"/>
      <c r="Q8" s="12"/>
      <c r="R8" s="9"/>
      <c r="S8" s="12"/>
      <c r="T8" s="9"/>
      <c r="U8" s="9"/>
      <c r="V8" s="13" t="s">
        <v>24</v>
      </c>
      <c r="W8" s="104"/>
    </row>
    <row r="9" spans="1:23" ht="17.149999999999999" customHeight="1" x14ac:dyDescent="0.35">
      <c r="A9" s="8" t="s">
        <v>25</v>
      </c>
      <c r="B9" s="9">
        <v>1.3541666666666667E-2</v>
      </c>
      <c r="C9" s="9">
        <v>3.7615740740740739E-3</v>
      </c>
      <c r="D9" s="9">
        <f t="shared" si="0"/>
        <v>7.8785416666666674E-3</v>
      </c>
      <c r="E9" s="10">
        <v>0.58179999999999998</v>
      </c>
      <c r="F9" s="9">
        <f t="shared" si="8"/>
        <v>9.4039351851851847E-4</v>
      </c>
      <c r="G9" s="9">
        <f t="shared" si="9"/>
        <v>1.0504722222222224E-3</v>
      </c>
      <c r="H9" s="9">
        <f t="shared" si="10"/>
        <v>1.0833333333333333E-3</v>
      </c>
      <c r="I9" s="9">
        <f t="shared" si="11"/>
        <v>1.1295400238948627E-3</v>
      </c>
      <c r="J9" s="9">
        <f t="shared" si="12"/>
        <v>1.1418176328502417E-3</v>
      </c>
      <c r="K9" s="9">
        <f t="shared" si="13"/>
        <v>1.1937184343434346E-3</v>
      </c>
      <c r="L9" s="9">
        <f t="shared" si="14"/>
        <v>1.2505621693121695E-3</v>
      </c>
      <c r="M9" s="11">
        <f>Table14610121424223234363840444850524811131517192123[[#This Row],[Thresh]]</f>
        <v>1.1937184343434346E-3</v>
      </c>
      <c r="N9" s="9">
        <f>Table14610121424223234363840444850524811131517192123[[#This Row],[T (400)]]*2.5</f>
        <v>2.9842960858585863E-3</v>
      </c>
      <c r="O9" s="12">
        <f>Table14610121424223234363840444850524811131517192123[[#This Row],[R]]/2</f>
        <v>4.7019675925925923E-4</v>
      </c>
      <c r="P9" s="9"/>
      <c r="Q9" s="12"/>
      <c r="R9" s="9"/>
      <c r="S9" s="12"/>
      <c r="T9" s="9"/>
      <c r="U9" s="9"/>
      <c r="V9" s="13" t="s">
        <v>24</v>
      </c>
      <c r="W9" s="104"/>
    </row>
    <row r="10" spans="1:23" ht="17.149999999999999" customHeight="1" x14ac:dyDescent="0.35">
      <c r="A10" s="8" t="s">
        <v>41</v>
      </c>
      <c r="B10" s="9">
        <v>1.3541666666666667E-2</v>
      </c>
      <c r="C10" s="9">
        <v>4.0509259259259257E-3</v>
      </c>
      <c r="D10" s="9">
        <f t="shared" ref="D10:D13" si="15">B10*E10</f>
        <v>7.8785416666666674E-3</v>
      </c>
      <c r="E10" s="10">
        <v>0.58179999999999998</v>
      </c>
      <c r="F10" s="9">
        <f>C10/4</f>
        <v>1.0127314814814814E-3</v>
      </c>
      <c r="G10" s="9">
        <f>D10/7.5</f>
        <v>1.0504722222222224E-3</v>
      </c>
      <c r="H10" s="9">
        <f>B10/12.5</f>
        <v>1.0833333333333333E-3</v>
      </c>
      <c r="I10" s="9">
        <f>G10/0.93</f>
        <v>1.1295400238948627E-3</v>
      </c>
      <c r="J10" s="9">
        <f>G10/0.92</f>
        <v>1.1418176328502417E-3</v>
      </c>
      <c r="K10" s="9">
        <f>G10/0.88</f>
        <v>1.1937184343434346E-3</v>
      </c>
      <c r="L10" s="9">
        <f>G10/0.84</f>
        <v>1.2505621693121695E-3</v>
      </c>
      <c r="M10" s="11">
        <f>Table14610121424223234363840444850524811131517192123[[#This Row],[Thresh]]</f>
        <v>1.1937184343434346E-3</v>
      </c>
      <c r="N10" s="9">
        <f>Table14610121424223234363840444850524811131517192123[[#This Row],[T (400)]]*2.5</f>
        <v>2.9842960858585863E-3</v>
      </c>
      <c r="O10" s="12">
        <f>Table14610121424223234363840444850524811131517192123[[#This Row],[R]]/2</f>
        <v>5.0636574074074071E-4</v>
      </c>
      <c r="P10" s="9"/>
      <c r="Q10" s="12"/>
      <c r="R10" s="9"/>
      <c r="S10" s="12"/>
      <c r="T10" s="9"/>
      <c r="U10" s="9"/>
      <c r="V10" s="13" t="s">
        <v>134</v>
      </c>
      <c r="W10" s="104" t="s">
        <v>242</v>
      </c>
    </row>
    <row r="11" spans="1:23" ht="17.149999999999999" customHeight="1" x14ac:dyDescent="0.35">
      <c r="A11" s="8" t="s">
        <v>42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>
        <f>Table14610121424223234363840444850524811131517192123[[#This Row],[Thresh]]</f>
        <v>1.2549347643097644E-3</v>
      </c>
      <c r="N11" s="9">
        <f>Table14610121424223234363840444850524811131517192123[[#This Row],[T (400)]]*2.5</f>
        <v>3.1373369107744109E-3</v>
      </c>
      <c r="O11" s="12">
        <f>Table14610121424223234363840444850524811131517192123[[#This Row],[R]]/2</f>
        <v>5.2083333333333333E-4</v>
      </c>
      <c r="P11" s="9"/>
      <c r="Q11" s="12"/>
      <c r="R11" s="9"/>
      <c r="S11" s="12"/>
      <c r="T11" s="9"/>
      <c r="U11" s="9"/>
      <c r="V11" s="13" t="s">
        <v>134</v>
      </c>
      <c r="W11" s="104"/>
    </row>
    <row r="12" spans="1:23" ht="17.149999999999999" customHeight="1" x14ac:dyDescent="0.35">
      <c r="A12" s="8" t="s">
        <v>43</v>
      </c>
      <c r="B12" s="9">
        <v>1.4236111111111111E-2</v>
      </c>
      <c r="C12" s="9">
        <v>4.1666666666666666E-3</v>
      </c>
      <c r="D12" s="9">
        <f t="shared" si="15"/>
        <v>8.2825694444444448E-3</v>
      </c>
      <c r="E12" s="10">
        <v>0.58179999999999998</v>
      </c>
      <c r="F12" s="9">
        <f>C12/4</f>
        <v>1.0416666666666667E-3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Table14610121424223234363840444850524811131517192123[[#This Row],[Thresh]]</f>
        <v>1.2549347643097644E-3</v>
      </c>
      <c r="N12" s="9">
        <f>Table14610121424223234363840444850524811131517192123[[#This Row],[T (400)]]*2.5</f>
        <v>3.1373369107744109E-3</v>
      </c>
      <c r="O12" s="12">
        <f>Table14610121424223234363840444850524811131517192123[[#This Row],[R]]/2</f>
        <v>5.2083333333333333E-4</v>
      </c>
      <c r="P12" s="9"/>
      <c r="Q12" s="12"/>
      <c r="R12" s="9"/>
      <c r="S12" s="12"/>
      <c r="T12" s="9"/>
      <c r="U12" s="9"/>
      <c r="V12" s="13" t="s">
        <v>134</v>
      </c>
      <c r="W12" s="104"/>
    </row>
    <row r="13" spans="1:23" ht="17.149999999999999" customHeight="1" x14ac:dyDescent="0.35">
      <c r="A13" s="8" t="s">
        <v>44</v>
      </c>
      <c r="B13" s="9">
        <v>1.4236111111111111E-2</v>
      </c>
      <c r="C13" s="9">
        <v>4.1666666666666666E-3</v>
      </c>
      <c r="D13" s="9">
        <f t="shared" si="15"/>
        <v>8.2825694444444448E-3</v>
      </c>
      <c r="E13" s="10">
        <v>0.58179999999999998</v>
      </c>
      <c r="F13" s="9">
        <f>C13/4</f>
        <v>1.0416666666666667E-3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Table14610121424223234363840444850524811131517192123[[#This Row],[Thresh]]</f>
        <v>1.2549347643097644E-3</v>
      </c>
      <c r="N13" s="9">
        <f>Table14610121424223234363840444850524811131517192123[[#This Row],[T (400)]]*2.5</f>
        <v>3.1373369107744109E-3</v>
      </c>
      <c r="O13" s="12">
        <f>Table14610121424223234363840444850524811131517192123[[#This Row],[R]]/2</f>
        <v>5.2083333333333333E-4</v>
      </c>
      <c r="P13" s="9"/>
      <c r="Q13" s="12"/>
      <c r="R13" s="9"/>
      <c r="S13" s="12"/>
      <c r="T13" s="9"/>
      <c r="U13" s="9"/>
      <c r="V13" s="13" t="s">
        <v>134</v>
      </c>
      <c r="W13" s="104"/>
    </row>
    <row r="14" spans="1:23" ht="17.149999999999999" customHeight="1" x14ac:dyDescent="0.35">
      <c r="A14" s="8" t="s">
        <v>56</v>
      </c>
      <c r="B14" s="9">
        <v>1.3541666666666667E-2</v>
      </c>
      <c r="C14" s="9">
        <v>3.9351851851851857E-3</v>
      </c>
      <c r="D14" s="9">
        <f>B14*E14</f>
        <v>7.8785416666666674E-3</v>
      </c>
      <c r="E14" s="10">
        <v>0.58179999999999998</v>
      </c>
      <c r="F14" s="9">
        <f t="shared" si="8"/>
        <v>9.8379629629629642E-4</v>
      </c>
      <c r="G14" s="9">
        <f t="shared" si="9"/>
        <v>1.0504722222222224E-3</v>
      </c>
      <c r="H14" s="9">
        <f t="shared" si="10"/>
        <v>1.0833333333333333E-3</v>
      </c>
      <c r="I14" s="9">
        <f t="shared" si="11"/>
        <v>1.1295400238948627E-3</v>
      </c>
      <c r="J14" s="9">
        <f t="shared" si="12"/>
        <v>1.1418176328502417E-3</v>
      </c>
      <c r="K14" s="9">
        <f t="shared" si="13"/>
        <v>1.1937184343434346E-3</v>
      </c>
      <c r="L14" s="9">
        <f t="shared" si="14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57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>
        <f t="shared" si="8"/>
        <v>0</v>
      </c>
      <c r="G15" s="9">
        <f t="shared" si="9"/>
        <v>0</v>
      </c>
      <c r="H15" s="9">
        <f t="shared" si="10"/>
        <v>0</v>
      </c>
      <c r="I15" s="9">
        <f t="shared" si="11"/>
        <v>0</v>
      </c>
      <c r="J15" s="9">
        <f t="shared" si="12"/>
        <v>0</v>
      </c>
      <c r="K15" s="9">
        <f t="shared" si="13"/>
        <v>0</v>
      </c>
      <c r="L15" s="9">
        <f t="shared" si="14"/>
        <v>0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1"/>
      <c r="N18" s="9"/>
      <c r="O18" s="12"/>
      <c r="P18" s="9"/>
      <c r="Q18" s="12"/>
      <c r="R18" s="9"/>
      <c r="S18" s="12"/>
      <c r="T18" s="9"/>
      <c r="U18" s="9"/>
      <c r="V18" s="13"/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243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ref="F20" si="16">C20/4</f>
        <v>0</v>
      </c>
      <c r="G20" s="15">
        <f t="shared" ref="G20" si="17">D20/7.5</f>
        <v>0</v>
      </c>
      <c r="H20" s="15">
        <f t="shared" ref="H20" si="18">B20/12.5</f>
        <v>0</v>
      </c>
      <c r="I20" s="15">
        <f t="shared" ref="I20" si="19">G20/0.93</f>
        <v>0</v>
      </c>
      <c r="J20" s="15">
        <f t="shared" ref="J20" si="20">G20/0.92</f>
        <v>0</v>
      </c>
      <c r="K20" s="15">
        <f t="shared" ref="K20" si="21">G20/0.88</f>
        <v>0</v>
      </c>
      <c r="L20" s="15">
        <f t="shared" ref="L20" si="22">G20/0.84</f>
        <v>0</v>
      </c>
      <c r="M20" s="30" t="s">
        <v>12</v>
      </c>
      <c r="N20" s="15" t="s">
        <v>58</v>
      </c>
      <c r="O20" s="15" t="s">
        <v>46</v>
      </c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55</v>
      </c>
      <c r="B21" s="9">
        <v>1.1689814814814814E-2</v>
      </c>
      <c r="C21" s="9">
        <v>3.472222222222222E-3</v>
      </c>
      <c r="D21" s="9">
        <f t="shared" ref="D21:D26" si="23">B21*E21</f>
        <v>6.8011342592592585E-3</v>
      </c>
      <c r="E21" s="10">
        <v>0.58179999999999998</v>
      </c>
      <c r="F21" s="9">
        <f t="shared" ref="F21:F33" si="24">C21/4</f>
        <v>8.6805555555555551E-4</v>
      </c>
      <c r="G21" s="9">
        <f t="shared" ref="G21:G33" si="25">D21/7.5</f>
        <v>9.0681790123456785E-4</v>
      </c>
      <c r="H21" s="9">
        <f t="shared" ref="H21:H33" si="26">B21/12.5</f>
        <v>9.3518518518518516E-4</v>
      </c>
      <c r="I21" s="9">
        <f t="shared" ref="I21:I33" si="27">G21/0.93</f>
        <v>9.7507301208018041E-4</v>
      </c>
      <c r="J21" s="9">
        <f t="shared" ref="J21:J33" si="28">G21/0.92</f>
        <v>9.8567163177670412E-4</v>
      </c>
      <c r="K21" s="9">
        <f t="shared" ref="K21:K33" si="29">G21/0.88</f>
        <v>1.0304748877665545E-3</v>
      </c>
      <c r="L21" s="9">
        <f t="shared" ref="L21:L33" si="30">G21/0.84</f>
        <v>1.0795451205173427E-3</v>
      </c>
      <c r="M21" s="11">
        <f>Table14610121424223234363840444850524811131517192123[[#This Row],[Thresh]]</f>
        <v>1.0304748877665545E-3</v>
      </c>
      <c r="N21" s="9">
        <f>Table14610121424223234363840444850524811131517192123[[#This Row],[T (400)]]*2.5</f>
        <v>2.5761872194163863E-3</v>
      </c>
      <c r="O21" s="12">
        <f>Table14610121424223234363840444850524811131517192123[[#This Row],[I]]</f>
        <v>9.3518518518518516E-4</v>
      </c>
      <c r="P21" s="9"/>
      <c r="Q21" s="12"/>
      <c r="R21" s="9"/>
      <c r="S21" s="12"/>
      <c r="T21" s="9"/>
      <c r="U21" s="9"/>
      <c r="V21" s="13" t="s">
        <v>48</v>
      </c>
      <c r="W21" s="104"/>
    </row>
    <row r="22" spans="1:23" ht="17.149999999999999" customHeight="1" x14ac:dyDescent="0.35">
      <c r="A22" s="8" t="s">
        <v>33</v>
      </c>
      <c r="B22" s="9">
        <v>1.2268518518518519E-2</v>
      </c>
      <c r="C22" s="9">
        <v>3.645833333333333E-3</v>
      </c>
      <c r="D22" s="9">
        <f t="shared" si="23"/>
        <v>7.1378240740740742E-3</v>
      </c>
      <c r="E22" s="10">
        <v>0.58179999999999998</v>
      </c>
      <c r="F22" s="9">
        <f t="shared" si="24"/>
        <v>9.1145833333333324E-4</v>
      </c>
      <c r="G22" s="9">
        <f t="shared" si="25"/>
        <v>9.5170987654320989E-4</v>
      </c>
      <c r="H22" s="9">
        <f t="shared" si="26"/>
        <v>9.8148148148148161E-4</v>
      </c>
      <c r="I22" s="9">
        <f t="shared" si="27"/>
        <v>1.0233439532722685E-3</v>
      </c>
      <c r="J22" s="9">
        <f t="shared" si="28"/>
        <v>1.0344672571121847E-3</v>
      </c>
      <c r="K22" s="9">
        <f t="shared" si="29"/>
        <v>1.0814884960718295E-3</v>
      </c>
      <c r="L22" s="9">
        <f t="shared" si="30"/>
        <v>1.1329879482657262E-3</v>
      </c>
      <c r="M22" s="11">
        <f>Table14610121424223234363840444850524811131517192123[[#This Row],[Thresh]]</f>
        <v>1.0814884960718295E-3</v>
      </c>
      <c r="N22" s="9">
        <f>Table14610121424223234363840444850524811131517192123[[#This Row],[T (400)]]*2.5</f>
        <v>2.7037212401795738E-3</v>
      </c>
      <c r="O22" s="12">
        <f>Table14610121424223234363840444850524811131517192123[[#This Row],[I]]</f>
        <v>9.8148148148148161E-4</v>
      </c>
      <c r="P22" s="9"/>
      <c r="Q22" s="12"/>
      <c r="R22" s="9"/>
      <c r="S22" s="12"/>
      <c r="T22" s="9"/>
      <c r="U22" s="9"/>
      <c r="V22" s="13" t="s">
        <v>48</v>
      </c>
      <c r="W22" s="104"/>
    </row>
    <row r="23" spans="1:23" ht="17.149999999999999" customHeight="1" x14ac:dyDescent="0.35">
      <c r="A23" s="8" t="s">
        <v>49</v>
      </c>
      <c r="B23" s="9">
        <v>1.2268518518518519E-2</v>
      </c>
      <c r="C23" s="9">
        <v>3.7037037037037034E-3</v>
      </c>
      <c r="D23" s="9">
        <f t="shared" si="23"/>
        <v>7.1378240740740742E-3</v>
      </c>
      <c r="E23" s="10">
        <v>0.58179999999999998</v>
      </c>
      <c r="F23" s="9">
        <f t="shared" si="24"/>
        <v>9.2592592592592585E-4</v>
      </c>
      <c r="G23" s="9">
        <f t="shared" si="25"/>
        <v>9.5170987654320989E-4</v>
      </c>
      <c r="H23" s="9">
        <f t="shared" si="26"/>
        <v>9.8148148148148161E-4</v>
      </c>
      <c r="I23" s="9">
        <f t="shared" si="27"/>
        <v>1.0233439532722685E-3</v>
      </c>
      <c r="J23" s="9">
        <f t="shared" si="28"/>
        <v>1.0344672571121847E-3</v>
      </c>
      <c r="K23" s="9">
        <f t="shared" si="29"/>
        <v>1.0814884960718295E-3</v>
      </c>
      <c r="L23" s="9">
        <f t="shared" si="30"/>
        <v>1.1329879482657262E-3</v>
      </c>
      <c r="M23" s="11">
        <f>Table14610121424223234363840444850524811131517192123[[#This Row],[Thresh]]</f>
        <v>1.0814884960718295E-3</v>
      </c>
      <c r="N23" s="9">
        <f>Table14610121424223234363840444850524811131517192123[[#This Row],[T (400)]]*2.5</f>
        <v>2.7037212401795738E-3</v>
      </c>
      <c r="O23" s="12">
        <f>Table14610121424223234363840444850524811131517192123[[#This Row],[I]]</f>
        <v>9.8148148148148161E-4</v>
      </c>
      <c r="P23" s="9"/>
      <c r="Q23" s="12"/>
      <c r="R23" s="9"/>
      <c r="S23" s="12"/>
      <c r="T23" s="9"/>
      <c r="U23" s="9"/>
      <c r="V23" s="13" t="s">
        <v>48</v>
      </c>
      <c r="W23" s="104"/>
    </row>
    <row r="24" spans="1:23" ht="17.149999999999999" customHeight="1" x14ac:dyDescent="0.35">
      <c r="A24" s="8" t="s">
        <v>47</v>
      </c>
      <c r="B24" s="9">
        <v>1.2268518518518519E-2</v>
      </c>
      <c r="C24" s="9">
        <v>3.7037037037037034E-3</v>
      </c>
      <c r="D24" s="9">
        <f t="shared" si="23"/>
        <v>7.1378240740740742E-3</v>
      </c>
      <c r="E24" s="10">
        <v>0.58179999999999998</v>
      </c>
      <c r="F24" s="9">
        <f t="shared" si="24"/>
        <v>9.2592592592592585E-4</v>
      </c>
      <c r="G24" s="9">
        <f t="shared" si="25"/>
        <v>9.5170987654320989E-4</v>
      </c>
      <c r="H24" s="9">
        <f t="shared" si="26"/>
        <v>9.8148148148148161E-4</v>
      </c>
      <c r="I24" s="9">
        <f t="shared" si="27"/>
        <v>1.0233439532722685E-3</v>
      </c>
      <c r="J24" s="9">
        <f t="shared" si="28"/>
        <v>1.0344672571121847E-3</v>
      </c>
      <c r="K24" s="9">
        <f t="shared" si="29"/>
        <v>1.0814884960718295E-3</v>
      </c>
      <c r="L24" s="9">
        <f t="shared" si="30"/>
        <v>1.1329879482657262E-3</v>
      </c>
      <c r="M24" s="11">
        <f>Table14610121424223234363840444850524811131517192123[[#This Row],[Thresh]]</f>
        <v>1.0814884960718295E-3</v>
      </c>
      <c r="N24" s="9">
        <f>Table14610121424223234363840444850524811131517192123[[#This Row],[T (400)]]*2.5</f>
        <v>2.7037212401795738E-3</v>
      </c>
      <c r="O24" s="12">
        <f>Table14610121424223234363840444850524811131517192123[[#This Row],[I]]</f>
        <v>9.8148148148148161E-4</v>
      </c>
      <c r="P24" s="9"/>
      <c r="Q24" s="12"/>
      <c r="R24" s="9"/>
      <c r="S24" s="12"/>
      <c r="T24" s="9"/>
      <c r="U24" s="9"/>
      <c r="V24" s="13" t="s">
        <v>48</v>
      </c>
      <c r="W24" s="104"/>
    </row>
    <row r="25" spans="1:23" ht="17.149999999999999" customHeight="1" x14ac:dyDescent="0.35">
      <c r="A25" s="8" t="s">
        <v>37</v>
      </c>
      <c r="B25" s="9">
        <v>1.238425925925926E-2</v>
      </c>
      <c r="C25" s="9">
        <v>3.8194444444444443E-3</v>
      </c>
      <c r="D25" s="9">
        <f t="shared" si="23"/>
        <v>7.2051620370370368E-3</v>
      </c>
      <c r="E25" s="10">
        <v>0.58179999999999998</v>
      </c>
      <c r="F25" s="9">
        <f t="shared" si="24"/>
        <v>9.5486111111111108E-4</v>
      </c>
      <c r="G25" s="9">
        <f t="shared" si="25"/>
        <v>9.6068827160493821E-4</v>
      </c>
      <c r="H25" s="9">
        <f t="shared" si="26"/>
        <v>9.9074074074074082E-4</v>
      </c>
      <c r="I25" s="9">
        <f t="shared" si="27"/>
        <v>1.0329981415106862E-3</v>
      </c>
      <c r="J25" s="9">
        <f t="shared" si="28"/>
        <v>1.0442263821792807E-3</v>
      </c>
      <c r="K25" s="9">
        <f t="shared" si="29"/>
        <v>1.0916912177328843E-3</v>
      </c>
      <c r="L25" s="9">
        <f t="shared" si="30"/>
        <v>1.1436765138154027E-3</v>
      </c>
      <c r="M25" s="11">
        <f>Table14610121424223234363840444850524811131517192123[[#This Row],[Thresh]]</f>
        <v>1.0916912177328843E-3</v>
      </c>
      <c r="N25" s="9">
        <f>Table14610121424223234363840444850524811131517192123[[#This Row],[T (400)]]*2.5</f>
        <v>2.7292280443322109E-3</v>
      </c>
      <c r="O25" s="12">
        <f>Table14610121424223234363840444850524811131517192123[[#This Row],[I]]</f>
        <v>9.9074074074074082E-4</v>
      </c>
      <c r="P25" s="9"/>
      <c r="Q25" s="12"/>
      <c r="R25" s="9"/>
      <c r="S25" s="12"/>
      <c r="T25" s="9"/>
      <c r="U25" s="9"/>
      <c r="V25" s="13" t="s">
        <v>168</v>
      </c>
      <c r="W25" s="104"/>
    </row>
    <row r="26" spans="1:23" ht="17.149999999999999" customHeight="1" x14ac:dyDescent="0.35">
      <c r="A26" s="8" t="s">
        <v>38</v>
      </c>
      <c r="B26" s="9">
        <v>1.238425925925926E-2</v>
      </c>
      <c r="C26" s="9">
        <v>3.8194444444444443E-3</v>
      </c>
      <c r="D26" s="9">
        <f t="shared" si="23"/>
        <v>7.2051620370370368E-3</v>
      </c>
      <c r="E26" s="10">
        <v>0.58179999999999998</v>
      </c>
      <c r="F26" s="9">
        <f t="shared" si="24"/>
        <v>9.5486111111111108E-4</v>
      </c>
      <c r="G26" s="9">
        <f t="shared" si="25"/>
        <v>9.6068827160493821E-4</v>
      </c>
      <c r="H26" s="9">
        <f t="shared" si="26"/>
        <v>9.9074074074074082E-4</v>
      </c>
      <c r="I26" s="9">
        <f t="shared" si="27"/>
        <v>1.0329981415106862E-3</v>
      </c>
      <c r="J26" s="9">
        <f t="shared" si="28"/>
        <v>1.0442263821792807E-3</v>
      </c>
      <c r="K26" s="9">
        <f t="shared" si="29"/>
        <v>1.0916912177328843E-3</v>
      </c>
      <c r="L26" s="9">
        <f t="shared" si="30"/>
        <v>1.1436765138154027E-3</v>
      </c>
      <c r="M26" s="11">
        <f>Table14610121424223234363840444850524811131517192123[[#This Row],[Thresh]]</f>
        <v>1.0916912177328843E-3</v>
      </c>
      <c r="N26" s="9">
        <f>Table14610121424223234363840444850524811131517192123[[#This Row],[T (400)]]*2.5</f>
        <v>2.7292280443322109E-3</v>
      </c>
      <c r="O26" s="12">
        <f>Table14610121424223234363840444850524811131517192123[[#This Row],[I]]</f>
        <v>9.9074074074074082E-4</v>
      </c>
      <c r="P26" s="9"/>
      <c r="Q26" s="12"/>
      <c r="R26" s="9"/>
      <c r="S26" s="12"/>
      <c r="T26" s="9"/>
      <c r="U26" s="9"/>
      <c r="V26" s="13" t="s">
        <v>168</v>
      </c>
      <c r="W26" s="104"/>
    </row>
    <row r="27" spans="1:23" ht="17.149999999999999" customHeight="1" x14ac:dyDescent="0.35">
      <c r="A27" s="8" t="s">
        <v>50</v>
      </c>
      <c r="B27" s="9">
        <v>1.2499999999999999E-2</v>
      </c>
      <c r="C27" s="9">
        <v>3.9351851851851857E-3</v>
      </c>
      <c r="D27" s="9">
        <f t="shared" ref="D27:D28" si="31">B27*E27</f>
        <v>7.2724999999999995E-3</v>
      </c>
      <c r="E27" s="10">
        <v>0.58179999999999998</v>
      </c>
      <c r="F27" s="9">
        <f t="shared" si="24"/>
        <v>9.8379629629629642E-4</v>
      </c>
      <c r="G27" s="9">
        <f t="shared" si="25"/>
        <v>9.6966666666666664E-4</v>
      </c>
      <c r="H27" s="9">
        <f t="shared" si="26"/>
        <v>1E-3</v>
      </c>
      <c r="I27" s="9">
        <f t="shared" si="27"/>
        <v>1.0426523297491039E-3</v>
      </c>
      <c r="J27" s="9">
        <f t="shared" si="28"/>
        <v>1.0539855072463768E-3</v>
      </c>
      <c r="K27" s="9">
        <f t="shared" si="29"/>
        <v>1.1018939393939394E-3</v>
      </c>
      <c r="L27" s="9">
        <f t="shared" si="30"/>
        <v>1.1543650793650795E-3</v>
      </c>
      <c r="M27" s="11">
        <f>Table14610121424223234363840444850524811131517192123[[#This Row],[Thresh]]</f>
        <v>1.1018939393939394E-3</v>
      </c>
      <c r="N27" s="9">
        <f>Table14610121424223234363840444850524811131517192123[[#This Row],[T (400)]]*2.5</f>
        <v>2.7547348484848484E-3</v>
      </c>
      <c r="O27" s="12">
        <f>Table14610121424223234363840444850524811131517192123[[#This Row],[I]]</f>
        <v>1E-3</v>
      </c>
      <c r="P27" s="9"/>
      <c r="Q27" s="12"/>
      <c r="R27" s="9"/>
      <c r="S27" s="12"/>
      <c r="T27" s="9"/>
      <c r="U27" s="9"/>
      <c r="V27" s="13" t="s">
        <v>145</v>
      </c>
      <c r="W27" s="104"/>
    </row>
    <row r="28" spans="1:23" ht="17.149999999999999" customHeight="1" x14ac:dyDescent="0.35">
      <c r="A28" s="8" t="s">
        <v>51</v>
      </c>
      <c r="B28" s="9">
        <v>1.2499999999999999E-2</v>
      </c>
      <c r="C28" s="9">
        <v>3.7037037037037034E-3</v>
      </c>
      <c r="D28" s="9">
        <f t="shared" si="31"/>
        <v>7.2724999999999995E-3</v>
      </c>
      <c r="E28" s="10">
        <v>0.58179999999999998</v>
      </c>
      <c r="F28" s="9">
        <f t="shared" si="24"/>
        <v>9.2592592592592585E-4</v>
      </c>
      <c r="G28" s="9">
        <f t="shared" si="25"/>
        <v>9.6966666666666664E-4</v>
      </c>
      <c r="H28" s="9">
        <f t="shared" si="26"/>
        <v>1E-3</v>
      </c>
      <c r="I28" s="9">
        <f t="shared" si="27"/>
        <v>1.0426523297491039E-3</v>
      </c>
      <c r="J28" s="9">
        <f t="shared" si="28"/>
        <v>1.0539855072463768E-3</v>
      </c>
      <c r="K28" s="9">
        <f t="shared" si="29"/>
        <v>1.1018939393939394E-3</v>
      </c>
      <c r="L28" s="9">
        <f t="shared" si="30"/>
        <v>1.1543650793650795E-3</v>
      </c>
      <c r="M28" s="11">
        <f>Table14610121424223234363840444850524811131517192123[[#This Row],[Thresh]]</f>
        <v>1.1018939393939394E-3</v>
      </c>
      <c r="N28" s="9">
        <f>Table14610121424223234363840444850524811131517192123[[#This Row],[T (400)]]*2.5</f>
        <v>2.7547348484848484E-3</v>
      </c>
      <c r="O28" s="12">
        <f>Table14610121424223234363840444850524811131517192123[[#This Row],[I]]</f>
        <v>1E-3</v>
      </c>
      <c r="P28" s="9"/>
      <c r="Q28" s="12"/>
      <c r="R28" s="9"/>
      <c r="S28" s="12"/>
      <c r="T28" s="9"/>
      <c r="U28" s="9" t="s">
        <v>244</v>
      </c>
      <c r="V28" s="13" t="s">
        <v>48</v>
      </c>
      <c r="W28" s="104" t="s">
        <v>245</v>
      </c>
    </row>
    <row r="29" spans="1:23" ht="17.149999999999999" customHeight="1" x14ac:dyDescent="0.35">
      <c r="A29" s="8" t="s">
        <v>39</v>
      </c>
      <c r="B29" s="9">
        <v>1.3020833333333334E-2</v>
      </c>
      <c r="C29" s="9">
        <v>3.8194444444444443E-3</v>
      </c>
      <c r="D29" s="9">
        <f>B29*E29</f>
        <v>7.5755208333333334E-3</v>
      </c>
      <c r="E29" s="10">
        <v>0.58179999999999998</v>
      </c>
      <c r="F29" s="9">
        <f t="shared" si="24"/>
        <v>9.5486111111111108E-4</v>
      </c>
      <c r="G29" s="9">
        <f t="shared" si="25"/>
        <v>1.0100694444444445E-3</v>
      </c>
      <c r="H29" s="9">
        <f t="shared" si="26"/>
        <v>1.0416666666666667E-3</v>
      </c>
      <c r="I29" s="9">
        <f t="shared" si="27"/>
        <v>1.0860961768219832E-3</v>
      </c>
      <c r="J29" s="9">
        <f t="shared" si="28"/>
        <v>1.0979015700483092E-3</v>
      </c>
      <c r="K29" s="9">
        <f t="shared" si="29"/>
        <v>1.1478061868686869E-3</v>
      </c>
      <c r="L29" s="9">
        <f t="shared" si="30"/>
        <v>1.2024636243386244E-3</v>
      </c>
      <c r="M29" s="11">
        <f>Table14610121424223234363840444850524811131517192123[[#This Row],[Thresh]]</f>
        <v>1.1478061868686869E-3</v>
      </c>
      <c r="N29" s="9">
        <f>Table14610121424223234363840444850524811131517192123[[#This Row],[T (400)]]*2.5</f>
        <v>2.8695154671717171E-3</v>
      </c>
      <c r="O29" s="12">
        <f>Table14610121424223234363840444850524811131517192123[[#This Row],[I]]</f>
        <v>1.0416666666666667E-3</v>
      </c>
      <c r="P29" s="9"/>
      <c r="Q29" s="12"/>
      <c r="R29" s="9"/>
      <c r="S29" s="12"/>
      <c r="T29" s="9"/>
      <c r="U29" s="9"/>
      <c r="V29" s="13" t="s">
        <v>168</v>
      </c>
      <c r="W29" s="104"/>
    </row>
    <row r="30" spans="1:23" ht="17.149999999999999" customHeight="1" x14ac:dyDescent="0.35">
      <c r="A30" s="8" t="s">
        <v>40</v>
      </c>
      <c r="B30" s="9">
        <v>1.3020833333333334E-2</v>
      </c>
      <c r="C30" s="9">
        <v>3.8194444444444443E-3</v>
      </c>
      <c r="D30" s="9">
        <f>B30*E30</f>
        <v>7.5755208333333334E-3</v>
      </c>
      <c r="E30" s="10">
        <v>0.58179999999999998</v>
      </c>
      <c r="F30" s="9">
        <f t="shared" si="24"/>
        <v>9.5486111111111108E-4</v>
      </c>
      <c r="G30" s="9">
        <f t="shared" si="25"/>
        <v>1.0100694444444445E-3</v>
      </c>
      <c r="H30" s="9">
        <f t="shared" si="26"/>
        <v>1.0416666666666667E-3</v>
      </c>
      <c r="I30" s="9">
        <f t="shared" si="27"/>
        <v>1.0860961768219832E-3</v>
      </c>
      <c r="J30" s="9">
        <f t="shared" si="28"/>
        <v>1.0979015700483092E-3</v>
      </c>
      <c r="K30" s="9">
        <f t="shared" si="29"/>
        <v>1.1478061868686869E-3</v>
      </c>
      <c r="L30" s="9">
        <f t="shared" si="30"/>
        <v>1.2024636243386244E-3</v>
      </c>
      <c r="M30" s="11">
        <f>Table14610121424223234363840444850524811131517192123[[#This Row],[Thresh]]</f>
        <v>1.1478061868686869E-3</v>
      </c>
      <c r="N30" s="9">
        <f>Table14610121424223234363840444850524811131517192123[[#This Row],[T (400)]]*2.5</f>
        <v>2.8695154671717171E-3</v>
      </c>
      <c r="O30" s="12">
        <f>Table14610121424223234363840444850524811131517192123[[#This Row],[I]]</f>
        <v>1.0416666666666667E-3</v>
      </c>
      <c r="P30" s="9"/>
      <c r="Q30" s="12"/>
      <c r="R30" s="9"/>
      <c r="S30" s="12"/>
      <c r="T30" s="9"/>
      <c r="U30" s="9"/>
      <c r="V30" s="13" t="s">
        <v>34</v>
      </c>
      <c r="W30" s="104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 t="shared" si="24"/>
        <v>9.2592592592592585E-4</v>
      </c>
      <c r="G31" s="9">
        <f t="shared" si="25"/>
        <v>9.6068827160493821E-4</v>
      </c>
      <c r="H31" s="9">
        <f t="shared" si="26"/>
        <v>9.9074074074074082E-4</v>
      </c>
      <c r="I31" s="9">
        <f t="shared" si="27"/>
        <v>1.0329981415106862E-3</v>
      </c>
      <c r="J31" s="9">
        <f t="shared" si="28"/>
        <v>1.0442263821792807E-3</v>
      </c>
      <c r="K31" s="9">
        <f t="shared" si="29"/>
        <v>1.0916912177328843E-3</v>
      </c>
      <c r="L31" s="9">
        <f t="shared" si="30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53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24"/>
        <v>0</v>
      </c>
      <c r="G32" s="9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  <c r="K32" s="9">
        <f t="shared" si="29"/>
        <v>0</v>
      </c>
      <c r="L32" s="9">
        <f t="shared" si="30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 t="shared" si="24"/>
        <v>0</v>
      </c>
      <c r="G33" s="9">
        <f t="shared" si="25"/>
        <v>0</v>
      </c>
      <c r="H33" s="9">
        <f t="shared" si="26"/>
        <v>0</v>
      </c>
      <c r="I33" s="9">
        <f t="shared" si="27"/>
        <v>0</v>
      </c>
      <c r="J33" s="9">
        <f t="shared" si="28"/>
        <v>0</v>
      </c>
      <c r="K33" s="9">
        <f t="shared" si="29"/>
        <v>0</v>
      </c>
      <c r="L33" s="9">
        <f t="shared" si="30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240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133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246</v>
      </c>
    </row>
    <row r="35" spans="1:23" ht="17.149999999999999" customHeight="1" x14ac:dyDescent="0.35">
      <c r="A35" s="8" t="s">
        <v>70</v>
      </c>
      <c r="B35" s="9">
        <v>9.780092592592592E-3</v>
      </c>
      <c r="C35" s="9">
        <v>2.8124999999999995E-3</v>
      </c>
      <c r="D35" s="9">
        <f t="shared" ref="D35:D40" si="32">B35*E35</f>
        <v>5.6900578703703696E-3</v>
      </c>
      <c r="E35" s="10">
        <v>0.58179999999999998</v>
      </c>
      <c r="F35" s="9">
        <f t="shared" ref="F35:F42" si="33">C35/4</f>
        <v>7.0312499999999987E-4</v>
      </c>
      <c r="G35" s="9">
        <f t="shared" ref="G35:G42" si="34">D35/7.5</f>
        <v>7.5867438271604926E-4</v>
      </c>
      <c r="H35" s="9">
        <f t="shared" ref="H35:H42" si="35">B35/12.5</f>
        <v>7.8240740740740734E-4</v>
      </c>
      <c r="I35" s="9">
        <f t="shared" ref="I35:I42" si="36">G35/0.93</f>
        <v>8.1577890614628948E-4</v>
      </c>
      <c r="J35" s="9">
        <f t="shared" ref="J35:J42" si="37">G35/0.92</f>
        <v>8.2464606816961877E-4</v>
      </c>
      <c r="K35" s="9">
        <f t="shared" ref="K35:K42" si="38">G35/0.88</f>
        <v>8.6212998035914683E-4</v>
      </c>
      <c r="L35" s="9">
        <f t="shared" ref="L35:L42" si="39">G35/0.84</f>
        <v>9.031837889476777E-4</v>
      </c>
      <c r="M35" s="11">
        <f>Table25711131525233335373941454951535912141618202224[[#This Row],[Thresh]]</f>
        <v>8.6212998035914683E-4</v>
      </c>
      <c r="N35" s="9">
        <f>Table25711131525233335373941454951535912141618202224[[#This Row],[T (400)]]*2.5</f>
        <v>2.1553249508978671E-3</v>
      </c>
      <c r="O35" s="24">
        <f>Table25711131525233335373941454951535912141618202224[[#This Row],[R]]/2</f>
        <v>3.5156249999999993E-4</v>
      </c>
      <c r="P35" s="9"/>
      <c r="Q35" s="24"/>
      <c r="R35" s="9"/>
      <c r="S35" s="12"/>
      <c r="T35" s="25"/>
      <c r="V35" s="23" t="s">
        <v>30</v>
      </c>
      <c r="W35" s="104"/>
    </row>
    <row r="36" spans="1:23" ht="17.149999999999999" customHeight="1" x14ac:dyDescent="0.35">
      <c r="A36" s="8" t="s">
        <v>76</v>
      </c>
      <c r="B36" s="9">
        <v>1.0011574074074074E-2</v>
      </c>
      <c r="C36" s="9">
        <v>2.9513888888888888E-3</v>
      </c>
      <c r="D36" s="9">
        <f>B36*E36</f>
        <v>5.8247337962962957E-3</v>
      </c>
      <c r="E36" s="10">
        <v>0.58179999999999998</v>
      </c>
      <c r="F36" s="9">
        <f t="shared" si="33"/>
        <v>7.378472222222222E-4</v>
      </c>
      <c r="G36" s="9">
        <f t="shared" si="34"/>
        <v>7.7663117283950612E-4</v>
      </c>
      <c r="H36" s="9">
        <f t="shared" si="35"/>
        <v>8.0092592592592585E-4</v>
      </c>
      <c r="I36" s="9">
        <f t="shared" si="36"/>
        <v>8.3508728262312486E-4</v>
      </c>
      <c r="J36" s="9">
        <f t="shared" si="37"/>
        <v>8.4416431830381094E-4</v>
      </c>
      <c r="K36" s="9">
        <f t="shared" si="38"/>
        <v>8.825354236812569E-4</v>
      </c>
      <c r="L36" s="9">
        <f t="shared" si="39"/>
        <v>9.2456092004703113E-4</v>
      </c>
      <c r="M36" s="11">
        <f>Table25711131525233335373941454951535912141618202224[[#This Row],[Thresh]]</f>
        <v>8.825354236812569E-4</v>
      </c>
      <c r="N36" s="9">
        <f>Table25711131525233335373941454951535912141618202224[[#This Row],[T (400)]]*2.5</f>
        <v>2.2063385592031421E-3</v>
      </c>
      <c r="O36" s="24">
        <f>Table25711131525233335373941454951535912141618202224[[#This Row],[R]]/2</f>
        <v>3.689236111111111E-4</v>
      </c>
      <c r="P36" s="24"/>
      <c r="Q36" s="24"/>
      <c r="R36" s="24"/>
      <c r="S36" s="24"/>
      <c r="T36" s="24"/>
      <c r="U36" s="24"/>
      <c r="V36" s="23" t="s">
        <v>30</v>
      </c>
      <c r="W36" s="104"/>
    </row>
    <row r="37" spans="1:23" ht="17.149999999999999" customHeight="1" x14ac:dyDescent="0.35">
      <c r="A37" s="8" t="s">
        <v>71</v>
      </c>
      <c r="B37" s="9">
        <v>1.0011574074074074E-2</v>
      </c>
      <c r="C37" s="9">
        <v>2.8935185185185188E-3</v>
      </c>
      <c r="D37" s="9">
        <f>B37*E37</f>
        <v>5.8247337962962957E-3</v>
      </c>
      <c r="E37" s="10">
        <v>0.58179999999999998</v>
      </c>
      <c r="F37" s="9">
        <f t="shared" si="33"/>
        <v>7.233796296296297E-4</v>
      </c>
      <c r="G37" s="9">
        <f t="shared" si="34"/>
        <v>7.7663117283950612E-4</v>
      </c>
      <c r="H37" s="9">
        <f t="shared" si="35"/>
        <v>8.0092592592592585E-4</v>
      </c>
      <c r="I37" s="9">
        <f t="shared" si="36"/>
        <v>8.3508728262312486E-4</v>
      </c>
      <c r="J37" s="9">
        <f t="shared" si="37"/>
        <v>8.4416431830381094E-4</v>
      </c>
      <c r="K37" s="9">
        <f t="shared" si="38"/>
        <v>8.825354236812569E-4</v>
      </c>
      <c r="L37" s="9">
        <f t="shared" si="39"/>
        <v>9.2456092004703113E-4</v>
      </c>
      <c r="M37" s="11">
        <f>Table25711131525233335373941454951535912141618202224[[#This Row],[Thresh]]</f>
        <v>8.825354236812569E-4</v>
      </c>
      <c r="N37" s="9">
        <f>Table25711131525233335373941454951535912141618202224[[#This Row],[T (400)]]*2.5</f>
        <v>2.2063385592031421E-3</v>
      </c>
      <c r="O37" s="24">
        <f>Table25711131525233335373941454951535912141618202224[[#This Row],[R]]/2</f>
        <v>3.6168981481481485E-4</v>
      </c>
      <c r="P37" s="24"/>
      <c r="Q37" s="24"/>
      <c r="R37" s="24"/>
      <c r="S37" s="24"/>
      <c r="T37" s="24"/>
      <c r="U37" s="24"/>
      <c r="V37" s="23" t="s">
        <v>30</v>
      </c>
      <c r="W37" s="104"/>
    </row>
    <row r="38" spans="1:23" ht="17.149999999999999" customHeight="1" x14ac:dyDescent="0.35">
      <c r="A38" s="8" t="s">
        <v>73</v>
      </c>
      <c r="B38" s="9">
        <v>1.0011574074074074E-2</v>
      </c>
      <c r="C38" s="9">
        <v>2.8935185185185188E-3</v>
      </c>
      <c r="D38" s="9">
        <f>B38*E38</f>
        <v>5.8247337962962957E-3</v>
      </c>
      <c r="E38" s="10">
        <v>0.58179999999999998</v>
      </c>
      <c r="F38" s="9">
        <f t="shared" si="33"/>
        <v>7.233796296296297E-4</v>
      </c>
      <c r="G38" s="9">
        <f t="shared" si="34"/>
        <v>7.7663117283950612E-4</v>
      </c>
      <c r="H38" s="9">
        <f t="shared" si="35"/>
        <v>8.0092592592592585E-4</v>
      </c>
      <c r="I38" s="9">
        <f t="shared" si="36"/>
        <v>8.3508728262312486E-4</v>
      </c>
      <c r="J38" s="9">
        <f t="shared" si="37"/>
        <v>8.4416431830381094E-4</v>
      </c>
      <c r="K38" s="9">
        <f t="shared" si="38"/>
        <v>8.825354236812569E-4</v>
      </c>
      <c r="L38" s="9">
        <f t="shared" si="39"/>
        <v>9.2456092004703113E-4</v>
      </c>
      <c r="M38" s="11">
        <f>Table25711131525233335373941454951535912141618202224[[#This Row],[Thresh]]</f>
        <v>8.825354236812569E-4</v>
      </c>
      <c r="N38" s="9">
        <f>Table25711131525233335373941454951535912141618202224[[#This Row],[T (400)]]*2.5</f>
        <v>2.2063385592031421E-3</v>
      </c>
      <c r="O38" s="24">
        <f>Table25711131525233335373941454951535912141618202224[[#This Row],[R]]/2</f>
        <v>3.6168981481481485E-4</v>
      </c>
      <c r="P38" s="24"/>
      <c r="Q38" s="24"/>
      <c r="R38" s="24"/>
      <c r="S38" s="24"/>
      <c r="T38" s="24"/>
      <c r="U38" s="24"/>
      <c r="V38" s="23" t="s">
        <v>30</v>
      </c>
      <c r="W38" s="104"/>
    </row>
    <row r="39" spans="1:23" ht="17.149999999999999" customHeight="1" x14ac:dyDescent="0.35">
      <c r="A39" s="8" t="s">
        <v>96</v>
      </c>
      <c r="B39" s="9">
        <v>1.0011574074074074E-2</v>
      </c>
      <c r="C39" s="9">
        <v>2.9513888888888888E-3</v>
      </c>
      <c r="D39" s="9">
        <f>B39*E39</f>
        <v>5.8247337962962957E-3</v>
      </c>
      <c r="E39" s="10">
        <v>0.58179999999999998</v>
      </c>
      <c r="F39" s="9">
        <f t="shared" si="33"/>
        <v>7.378472222222222E-4</v>
      </c>
      <c r="G39" s="9">
        <f t="shared" si="34"/>
        <v>7.7663117283950612E-4</v>
      </c>
      <c r="H39" s="9">
        <f t="shared" si="35"/>
        <v>8.0092592592592585E-4</v>
      </c>
      <c r="I39" s="9">
        <f t="shared" si="36"/>
        <v>8.3508728262312486E-4</v>
      </c>
      <c r="J39" s="9">
        <f t="shared" si="37"/>
        <v>8.4416431830381094E-4</v>
      </c>
      <c r="K39" s="9">
        <f t="shared" si="38"/>
        <v>8.825354236812569E-4</v>
      </c>
      <c r="L39" s="9">
        <f t="shared" si="39"/>
        <v>9.2456092004703113E-4</v>
      </c>
      <c r="M39" s="11">
        <f>Table25711131525233335373941454951535912141618202224[[#This Row],[Thresh]]</f>
        <v>8.825354236812569E-4</v>
      </c>
      <c r="N39" s="9">
        <f>Table25711131525233335373941454951535912141618202224[[#This Row],[T (400)]]*2.5</f>
        <v>2.2063385592031421E-3</v>
      </c>
      <c r="O39" s="24">
        <f>Table25711131525233335373941454951535912141618202224[[#This Row],[R]]/2</f>
        <v>3.689236111111111E-4</v>
      </c>
      <c r="P39" s="9"/>
      <c r="Q39" s="24"/>
      <c r="R39" s="9"/>
      <c r="S39" s="12"/>
      <c r="V39" s="23" t="s">
        <v>30</v>
      </c>
      <c r="W39" s="104"/>
    </row>
    <row r="40" spans="1:23" ht="17.149999999999999" customHeight="1" x14ac:dyDescent="0.35">
      <c r="A40" s="8" t="s">
        <v>72</v>
      </c>
      <c r="B40" s="9">
        <v>1.0127314814814815E-2</v>
      </c>
      <c r="C40" s="9">
        <v>2.8935185185185188E-3</v>
      </c>
      <c r="D40" s="9">
        <f t="shared" si="32"/>
        <v>5.8920717592592592E-3</v>
      </c>
      <c r="E40" s="10">
        <v>0.58179999999999998</v>
      </c>
      <c r="F40" s="9">
        <f t="shared" si="33"/>
        <v>7.233796296296297E-4</v>
      </c>
      <c r="G40" s="9">
        <f t="shared" si="34"/>
        <v>7.8560956790123455E-4</v>
      </c>
      <c r="H40" s="9">
        <f t="shared" si="35"/>
        <v>8.1018518518518516E-4</v>
      </c>
      <c r="I40" s="9">
        <f t="shared" si="36"/>
        <v>8.4474147086154245E-4</v>
      </c>
      <c r="J40" s="9">
        <f t="shared" si="37"/>
        <v>8.5392344337090708E-4</v>
      </c>
      <c r="K40" s="9">
        <f t="shared" si="38"/>
        <v>8.9273814534231199E-4</v>
      </c>
      <c r="L40" s="9">
        <f t="shared" si="39"/>
        <v>9.3524948559670779E-4</v>
      </c>
      <c r="M40" s="11">
        <f>Table25711131525233335373941454951535912141618202224[[#This Row],[Thresh]]</f>
        <v>8.9273814534231199E-4</v>
      </c>
      <c r="N40" s="9">
        <f>Table25711131525233335373941454951535912141618202224[[#This Row],[T (400)]]*2.5</f>
        <v>2.23184536335578E-3</v>
      </c>
      <c r="O40" s="24">
        <f>Table25711131525233335373941454951535912141618202224[[#This Row],[R]]/2</f>
        <v>3.6168981481481485E-4</v>
      </c>
      <c r="P40" s="9"/>
      <c r="Q40" s="24"/>
      <c r="R40" s="9"/>
      <c r="S40" s="12"/>
      <c r="T40" s="25"/>
      <c r="V40" s="23" t="s">
        <v>30</v>
      </c>
      <c r="W40" s="104"/>
    </row>
    <row r="41" spans="1:23" ht="17.149999999999999" customHeight="1" x14ac:dyDescent="0.35">
      <c r="A41" s="8" t="s">
        <v>74</v>
      </c>
      <c r="B41" s="9">
        <v>1.0243055555555556E-2</v>
      </c>
      <c r="C41" s="9">
        <v>2.9745370370370373E-3</v>
      </c>
      <c r="D41" s="9">
        <f>B41*E41</f>
        <v>5.9594097222222218E-3</v>
      </c>
      <c r="E41" s="10">
        <v>0.58179999999999998</v>
      </c>
      <c r="F41" s="9">
        <f t="shared" si="33"/>
        <v>7.4363425925925931E-4</v>
      </c>
      <c r="G41" s="9">
        <f t="shared" si="34"/>
        <v>7.9458796296296287E-4</v>
      </c>
      <c r="H41" s="9">
        <f t="shared" si="35"/>
        <v>8.1944444444444447E-4</v>
      </c>
      <c r="I41" s="9">
        <f t="shared" si="36"/>
        <v>8.5439565909996003E-4</v>
      </c>
      <c r="J41" s="9">
        <f t="shared" si="37"/>
        <v>8.636825684380031E-4</v>
      </c>
      <c r="K41" s="9">
        <f t="shared" si="38"/>
        <v>9.0294086700336686E-4</v>
      </c>
      <c r="L41" s="9">
        <f t="shared" si="39"/>
        <v>9.4593805114638445E-4</v>
      </c>
      <c r="M41" s="11">
        <f>Table25711131525233335373941454951535912141618202224[[#This Row],[Thresh]]</f>
        <v>9.0294086700336686E-4</v>
      </c>
      <c r="N41" s="9">
        <f>Table25711131525233335373941454951535912141618202224[[#This Row],[T (400)]]*2.5</f>
        <v>2.2573521675084171E-3</v>
      </c>
      <c r="O41" s="24">
        <f>Table25711131525233335373941454951535912141618202224[[#This Row],[R]]/2</f>
        <v>3.7181712962962966E-4</v>
      </c>
      <c r="P41" s="9"/>
      <c r="Q41" s="24"/>
      <c r="R41" s="9"/>
      <c r="S41" s="12"/>
      <c r="T41" s="25"/>
      <c r="V41" s="23" t="s">
        <v>30</v>
      </c>
      <c r="W41" s="104"/>
    </row>
    <row r="42" spans="1:23" ht="17.149999999999999" customHeight="1" x14ac:dyDescent="0.35">
      <c r="A42" s="8" t="s">
        <v>61</v>
      </c>
      <c r="B42" s="9">
        <v>1.0416666666666666E-2</v>
      </c>
      <c r="C42" s="9">
        <v>2.8935185185185188E-3</v>
      </c>
      <c r="D42" s="9">
        <f>B42*E42</f>
        <v>6.0604166666666662E-3</v>
      </c>
      <c r="E42" s="10">
        <v>0.58179999999999998</v>
      </c>
      <c r="F42" s="9">
        <f t="shared" si="33"/>
        <v>7.233796296296297E-4</v>
      </c>
      <c r="G42" s="9">
        <f t="shared" si="34"/>
        <v>8.0805555555555546E-4</v>
      </c>
      <c r="H42" s="9">
        <f t="shared" si="35"/>
        <v>8.3333333333333328E-4</v>
      </c>
      <c r="I42" s="9">
        <f t="shared" si="36"/>
        <v>8.6887694145758646E-4</v>
      </c>
      <c r="J42" s="9">
        <f t="shared" si="37"/>
        <v>8.7832125603864715E-4</v>
      </c>
      <c r="K42" s="9">
        <f t="shared" si="38"/>
        <v>9.1824494949494938E-4</v>
      </c>
      <c r="L42" s="9">
        <f t="shared" si="39"/>
        <v>9.6197089947089938E-4</v>
      </c>
      <c r="M42" s="11">
        <f>Table25711131525233335373941454951535912141618202224[[#This Row],[Thresh]]</f>
        <v>9.1824494949494938E-4</v>
      </c>
      <c r="N42" s="9">
        <f>Table25711131525233335373941454951535912141618202224[[#This Row],[T (400)]]*2.5</f>
        <v>2.2956123737373733E-3</v>
      </c>
      <c r="O42" s="24">
        <f>Table25711131525233335373941454951535912141618202224[[#This Row],[R]]/2</f>
        <v>3.6168981481481485E-4</v>
      </c>
      <c r="P42" s="9"/>
      <c r="Q42" s="24"/>
      <c r="R42" s="9"/>
      <c r="S42" s="12"/>
      <c r="T42" s="9"/>
      <c r="U42" s="9"/>
      <c r="V42" s="23" t="s">
        <v>24</v>
      </c>
      <c r="W42" s="104"/>
    </row>
    <row r="43" spans="1:23" ht="17.149999999999999" customHeight="1" x14ac:dyDescent="0.35">
      <c r="A43" s="8" t="s">
        <v>64</v>
      </c>
      <c r="B43" s="9">
        <v>1.0416666666666666E-2</v>
      </c>
      <c r="C43" s="9">
        <v>2.9513888888888888E-3</v>
      </c>
      <c r="D43" s="9">
        <f t="shared" ref="D43:D57" si="40">B43*E43</f>
        <v>6.0604166666666662E-3</v>
      </c>
      <c r="E43" s="10">
        <v>0.58179999999999998</v>
      </c>
      <c r="F43" s="9">
        <f t="shared" ref="F43:F91" si="41">C43/4</f>
        <v>7.378472222222222E-4</v>
      </c>
      <c r="G43" s="9">
        <f t="shared" ref="G43:G91" si="42">D43/7.5</f>
        <v>8.0805555555555546E-4</v>
      </c>
      <c r="H43" s="9">
        <f t="shared" ref="H43:H91" si="43">B43/12.5</f>
        <v>8.3333333333333328E-4</v>
      </c>
      <c r="I43" s="9">
        <f t="shared" ref="I43:I91" si="44">G43/0.93</f>
        <v>8.6887694145758646E-4</v>
      </c>
      <c r="J43" s="9">
        <f t="shared" ref="J43:J91" si="45">G43/0.92</f>
        <v>8.7832125603864715E-4</v>
      </c>
      <c r="K43" s="9">
        <f t="shared" ref="K43:K91" si="46">G43/0.88</f>
        <v>9.1824494949494938E-4</v>
      </c>
      <c r="L43" s="9">
        <f t="shared" ref="L43:L91" si="47">G43/0.84</f>
        <v>9.6197089947089938E-4</v>
      </c>
      <c r="M43" s="11">
        <f>Table25711131525233335373941454951535912141618202224[[#This Row],[Thresh]]</f>
        <v>9.1824494949494938E-4</v>
      </c>
      <c r="N43" s="9">
        <f>Table25711131525233335373941454951535912141618202224[[#This Row],[T (400)]]*2.5</f>
        <v>2.2956123737373733E-3</v>
      </c>
      <c r="O43" s="24">
        <f>Table25711131525233335373941454951535912141618202224[[#This Row],[R]]/2</f>
        <v>3.689236111111111E-4</v>
      </c>
      <c r="P43" s="9"/>
      <c r="Q43" s="24"/>
      <c r="R43" s="9"/>
      <c r="S43" s="12"/>
      <c r="T43" s="96"/>
      <c r="U43" s="9"/>
      <c r="V43" s="23" t="s">
        <v>24</v>
      </c>
      <c r="W43" s="104" t="s">
        <v>247</v>
      </c>
    </row>
    <row r="44" spans="1:23" ht="17.149999999999999" customHeight="1" x14ac:dyDescent="0.35">
      <c r="A44" s="8" t="s">
        <v>65</v>
      </c>
      <c r="B44" s="9">
        <v>1.0416666666666666E-2</v>
      </c>
      <c r="C44" s="9">
        <v>2.9745370370370373E-3</v>
      </c>
      <c r="D44" s="9">
        <f t="shared" ref="D44:D50" si="48">B44*E44</f>
        <v>6.0604166666666662E-3</v>
      </c>
      <c r="E44" s="10">
        <v>0.58179999999999998</v>
      </c>
      <c r="F44" s="9">
        <f t="shared" ref="F44:F50" si="49">C44/4</f>
        <v>7.4363425925925931E-4</v>
      </c>
      <c r="G44" s="9">
        <f t="shared" ref="G44:G50" si="50">D44/7.5</f>
        <v>8.0805555555555546E-4</v>
      </c>
      <c r="H44" s="9">
        <f t="shared" ref="H44:H50" si="51">B44/12.5</f>
        <v>8.3333333333333328E-4</v>
      </c>
      <c r="I44" s="9">
        <f t="shared" ref="I44:I50" si="52">G44/0.93</f>
        <v>8.6887694145758646E-4</v>
      </c>
      <c r="J44" s="9">
        <f t="shared" ref="J44:J50" si="53">G44/0.92</f>
        <v>8.7832125603864715E-4</v>
      </c>
      <c r="K44" s="9">
        <f t="shared" ref="K44:K50" si="54">G44/0.88</f>
        <v>9.1824494949494938E-4</v>
      </c>
      <c r="L44" s="9">
        <f t="shared" ref="L44:L50" si="55">G44/0.84</f>
        <v>9.6197089947089938E-4</v>
      </c>
      <c r="M44" s="11">
        <f>Table25711131525233335373941454951535912141618202224[[#This Row],[Thresh]]</f>
        <v>9.1824494949494938E-4</v>
      </c>
      <c r="N44" s="9">
        <f>Table25711131525233335373941454951535912141618202224[[#This Row],[T (400)]]*2.5</f>
        <v>2.2956123737373733E-3</v>
      </c>
      <c r="O44" s="24">
        <f>Table25711131525233335373941454951535912141618202224[[#This Row],[R]]/2</f>
        <v>3.7181712962962966E-4</v>
      </c>
      <c r="P44" s="9"/>
      <c r="Q44" s="24"/>
      <c r="R44" s="9"/>
      <c r="S44" s="12"/>
      <c r="T44" s="25"/>
      <c r="U44" s="9"/>
      <c r="V44" s="23" t="s">
        <v>24</v>
      </c>
      <c r="W44" s="104"/>
    </row>
    <row r="45" spans="1:23" ht="17.149999999999999" customHeight="1" x14ac:dyDescent="0.35">
      <c r="A45" s="8" t="s">
        <v>84</v>
      </c>
      <c r="B45" s="9">
        <v>1.064814814814815E-2</v>
      </c>
      <c r="C45" s="9">
        <v>3.0671296296296297E-3</v>
      </c>
      <c r="D45" s="9">
        <f t="shared" si="48"/>
        <v>6.1950925925925932E-3</v>
      </c>
      <c r="E45" s="10">
        <v>0.58179999999999998</v>
      </c>
      <c r="F45" s="9">
        <f t="shared" si="49"/>
        <v>7.6678240740740743E-4</v>
      </c>
      <c r="G45" s="9">
        <f t="shared" si="50"/>
        <v>8.2601234567901242E-4</v>
      </c>
      <c r="H45" s="9">
        <f t="shared" si="51"/>
        <v>8.5185185185185201E-4</v>
      </c>
      <c r="I45" s="9">
        <f t="shared" si="52"/>
        <v>8.8818531793442195E-4</v>
      </c>
      <c r="J45" s="9">
        <f t="shared" si="53"/>
        <v>8.9783950617283953E-4</v>
      </c>
      <c r="K45" s="9">
        <f t="shared" si="54"/>
        <v>9.3865039281705955E-4</v>
      </c>
      <c r="L45" s="9">
        <f t="shared" si="55"/>
        <v>9.8334803057025292E-4</v>
      </c>
      <c r="M45" s="11">
        <f>Table25711131525233335373941454951535912141618202224[[#This Row],[Thresh]]</f>
        <v>9.3865039281705955E-4</v>
      </c>
      <c r="N45" s="9">
        <f>Table25711131525233335373941454951535912141618202224[[#This Row],[T (400)]]*2.5</f>
        <v>2.3466259820426488E-3</v>
      </c>
      <c r="O45" s="24">
        <f>Table25711131525233335373941454951535912141618202224[[#This Row],[R]]/2</f>
        <v>3.8339120370370371E-4</v>
      </c>
      <c r="P45" s="9"/>
      <c r="Q45" s="24"/>
      <c r="R45" s="9"/>
      <c r="S45" s="12"/>
      <c r="T45" s="25"/>
      <c r="V45" s="23" t="s">
        <v>30</v>
      </c>
      <c r="W45" s="104"/>
    </row>
    <row r="46" spans="1:23" ht="17.149999999999999" customHeight="1" x14ac:dyDescent="0.35">
      <c r="A46" s="8" t="s">
        <v>81</v>
      </c>
      <c r="B46" s="9">
        <v>1.0763888888888891E-2</v>
      </c>
      <c r="C46" s="9">
        <v>3.0671296296296297E-3</v>
      </c>
      <c r="D46" s="9">
        <f t="shared" si="48"/>
        <v>6.2624305555555567E-3</v>
      </c>
      <c r="E46" s="10">
        <v>0.58179999999999998</v>
      </c>
      <c r="F46" s="9">
        <f t="shared" si="49"/>
        <v>7.6678240740740743E-4</v>
      </c>
      <c r="G46" s="9">
        <f t="shared" si="50"/>
        <v>8.3499074074074085E-4</v>
      </c>
      <c r="H46" s="9">
        <f t="shared" si="51"/>
        <v>8.6111111111111121E-4</v>
      </c>
      <c r="I46" s="9">
        <f t="shared" si="52"/>
        <v>8.9783950617283953E-4</v>
      </c>
      <c r="J46" s="9">
        <f t="shared" si="53"/>
        <v>9.0759863123993567E-4</v>
      </c>
      <c r="K46" s="9">
        <f t="shared" si="54"/>
        <v>9.4885311447811464E-4</v>
      </c>
      <c r="L46" s="9">
        <f t="shared" si="55"/>
        <v>9.9403659611992969E-4</v>
      </c>
      <c r="M46" s="11">
        <f>Table25711131525233335373941454951535912141618202224[[#This Row],[Thresh]]</f>
        <v>9.4885311447811464E-4</v>
      </c>
      <c r="N46" s="9">
        <f>Table25711131525233335373941454951535912141618202224[[#This Row],[T (400)]]*2.5</f>
        <v>2.3721327861952867E-3</v>
      </c>
      <c r="O46" s="24">
        <f>Table25711131525233335373941454951535912141618202224[[#This Row],[R]]/2</f>
        <v>3.8339120370370371E-4</v>
      </c>
      <c r="P46" s="9"/>
      <c r="Q46" s="24"/>
      <c r="R46" s="9"/>
      <c r="S46" s="12"/>
      <c r="T46" s="25"/>
      <c r="V46" s="23" t="s">
        <v>30</v>
      </c>
      <c r="W46" s="104"/>
    </row>
    <row r="47" spans="1:23" ht="17.149999999999999" customHeight="1" x14ac:dyDescent="0.35">
      <c r="A47" s="8" t="s">
        <v>85</v>
      </c>
      <c r="B47" s="9">
        <v>1.0763888888888889E-2</v>
      </c>
      <c r="C47" s="9">
        <v>3.1249999999999997E-3</v>
      </c>
      <c r="D47" s="9">
        <f t="shared" si="48"/>
        <v>6.2624305555555549E-3</v>
      </c>
      <c r="E47" s="10">
        <v>0.58179999999999998</v>
      </c>
      <c r="F47" s="9">
        <f t="shared" si="49"/>
        <v>7.8124999999999993E-4</v>
      </c>
      <c r="G47" s="9">
        <f t="shared" si="50"/>
        <v>8.3499074074074064E-4</v>
      </c>
      <c r="H47" s="9">
        <f t="shared" si="51"/>
        <v>8.611111111111111E-4</v>
      </c>
      <c r="I47" s="9">
        <f t="shared" si="52"/>
        <v>8.9783950617283931E-4</v>
      </c>
      <c r="J47" s="9">
        <f t="shared" si="53"/>
        <v>9.0759863123993545E-4</v>
      </c>
      <c r="K47" s="9">
        <f t="shared" si="54"/>
        <v>9.4885311447811432E-4</v>
      </c>
      <c r="L47" s="9">
        <f t="shared" si="55"/>
        <v>9.9403659611992947E-4</v>
      </c>
      <c r="M47" s="11">
        <f>Table25711131525233335373941454951535912141618202224[[#This Row],[Thresh]]</f>
        <v>9.4885311447811432E-4</v>
      </c>
      <c r="N47" s="9">
        <f>Table25711131525233335373941454951535912141618202224[[#This Row],[T (400)]]*2.5</f>
        <v>2.3721327861952858E-3</v>
      </c>
      <c r="O47" s="24">
        <f>Table25711131525233335373941454951535912141618202224[[#This Row],[R]]/2</f>
        <v>3.9062499999999997E-4</v>
      </c>
      <c r="P47" s="24"/>
      <c r="Q47" s="24"/>
      <c r="R47" s="24"/>
      <c r="S47" s="24"/>
      <c r="T47" s="24"/>
      <c r="U47" s="24"/>
      <c r="V47" s="23" t="s">
        <v>30</v>
      </c>
      <c r="W47" s="104"/>
    </row>
    <row r="48" spans="1:23" ht="17.149999999999999" customHeight="1" x14ac:dyDescent="0.35">
      <c r="A48" s="8" t="s">
        <v>88</v>
      </c>
      <c r="B48" s="9">
        <v>1.087962962962963E-2</v>
      </c>
      <c r="C48" s="9">
        <v>3.1828703703703702E-3</v>
      </c>
      <c r="D48" s="9">
        <f t="shared" si="48"/>
        <v>6.3297685185185184E-3</v>
      </c>
      <c r="E48" s="10">
        <v>0.58179999999999998</v>
      </c>
      <c r="F48" s="9">
        <f t="shared" si="49"/>
        <v>7.9571759259259255E-4</v>
      </c>
      <c r="G48" s="9">
        <f t="shared" si="50"/>
        <v>8.4396913580246917E-4</v>
      </c>
      <c r="H48" s="9">
        <f t="shared" si="51"/>
        <v>8.7037037037037042E-4</v>
      </c>
      <c r="I48" s="9">
        <f t="shared" si="52"/>
        <v>9.0749369441125711E-4</v>
      </c>
      <c r="J48" s="9">
        <f t="shared" si="53"/>
        <v>9.173577563070317E-4</v>
      </c>
      <c r="K48" s="9">
        <f t="shared" si="54"/>
        <v>9.5905583613916951E-4</v>
      </c>
      <c r="L48" s="9">
        <f t="shared" si="55"/>
        <v>1.0047251616696062E-3</v>
      </c>
      <c r="M48" s="11">
        <f>Table25711131525233335373941454951535912141618202224[[#This Row],[Thresh]]</f>
        <v>9.5905583613916951E-4</v>
      </c>
      <c r="N48" s="9">
        <f>Table25711131525233335373941454951535912141618202224[[#This Row],[T (400)]]*2.5</f>
        <v>2.3976395903479238E-3</v>
      </c>
      <c r="O48" s="24">
        <f>Table25711131525233335373941454951535912141618202224[[#This Row],[R]]/2</f>
        <v>3.9785879629629627E-4</v>
      </c>
      <c r="P48" s="24"/>
      <c r="Q48" s="24"/>
      <c r="R48" s="24"/>
      <c r="S48" s="24"/>
      <c r="T48" s="24"/>
      <c r="U48" s="24"/>
      <c r="V48" s="23" t="s">
        <v>30</v>
      </c>
      <c r="W48" s="104"/>
    </row>
    <row r="49" spans="1:23" ht="17.149999999999999" customHeight="1" x14ac:dyDescent="0.35">
      <c r="A49" s="8" t="s">
        <v>86</v>
      </c>
      <c r="B49" s="9">
        <v>1.087962962962963E-2</v>
      </c>
      <c r="C49" s="9">
        <v>3.1249999999999997E-3</v>
      </c>
      <c r="D49" s="9">
        <f t="shared" si="48"/>
        <v>6.3297685185185184E-3</v>
      </c>
      <c r="E49" s="10">
        <v>0.58179999999999998</v>
      </c>
      <c r="F49" s="9">
        <f t="shared" si="49"/>
        <v>7.8124999999999993E-4</v>
      </c>
      <c r="G49" s="9">
        <f t="shared" si="50"/>
        <v>8.4396913580246917E-4</v>
      </c>
      <c r="H49" s="9">
        <f t="shared" si="51"/>
        <v>8.7037037037037042E-4</v>
      </c>
      <c r="I49" s="9">
        <f t="shared" si="52"/>
        <v>9.0749369441125711E-4</v>
      </c>
      <c r="J49" s="9">
        <f t="shared" si="53"/>
        <v>9.173577563070317E-4</v>
      </c>
      <c r="K49" s="9">
        <f t="shared" si="54"/>
        <v>9.5905583613916951E-4</v>
      </c>
      <c r="L49" s="9">
        <f t="shared" si="55"/>
        <v>1.0047251616696062E-3</v>
      </c>
      <c r="M49" s="11">
        <f>Table25711131525233335373941454951535912141618202224[[#This Row],[Thresh]]</f>
        <v>9.5905583613916951E-4</v>
      </c>
      <c r="N49" s="9">
        <f>Table25711131525233335373941454951535912141618202224[[#This Row],[T (400)]]*2.5</f>
        <v>2.3976395903479238E-3</v>
      </c>
      <c r="O49" s="24">
        <f>Table25711131525233335373941454951535912141618202224[[#This Row],[R]]/2</f>
        <v>3.9062499999999997E-4</v>
      </c>
      <c r="P49" s="24"/>
      <c r="Q49" s="24"/>
      <c r="R49" s="24"/>
      <c r="S49" s="24"/>
      <c r="T49" s="24"/>
      <c r="U49" s="24"/>
      <c r="V49" s="23" t="s">
        <v>30</v>
      </c>
      <c r="W49" s="104"/>
    </row>
    <row r="50" spans="1:23" ht="17.149999999999999" customHeight="1" x14ac:dyDescent="0.35">
      <c r="A50" s="8" t="s">
        <v>75</v>
      </c>
      <c r="B50" s="9">
        <v>1.087962962962963E-2</v>
      </c>
      <c r="C50" s="9">
        <v>2.9513888888888888E-3</v>
      </c>
      <c r="D50" s="9">
        <f t="shared" si="48"/>
        <v>6.3297685185185184E-3</v>
      </c>
      <c r="E50" s="10">
        <v>0.58179999999999998</v>
      </c>
      <c r="F50" s="9">
        <f t="shared" si="49"/>
        <v>7.378472222222222E-4</v>
      </c>
      <c r="G50" s="9">
        <f t="shared" si="50"/>
        <v>8.4396913580246917E-4</v>
      </c>
      <c r="H50" s="9">
        <f t="shared" si="51"/>
        <v>8.7037037037037042E-4</v>
      </c>
      <c r="I50" s="9">
        <f t="shared" si="52"/>
        <v>9.0749369441125711E-4</v>
      </c>
      <c r="J50" s="9">
        <f t="shared" si="53"/>
        <v>9.173577563070317E-4</v>
      </c>
      <c r="K50" s="9">
        <f t="shared" si="54"/>
        <v>9.5905583613916951E-4</v>
      </c>
      <c r="L50" s="9">
        <f t="shared" si="55"/>
        <v>1.0047251616696062E-3</v>
      </c>
      <c r="M50" s="11">
        <f>Table25711131525233335373941454951535912141618202224[[#This Row],[Thresh]]</f>
        <v>9.5905583613916951E-4</v>
      </c>
      <c r="N50" s="9">
        <f>Table25711131525233335373941454951535912141618202224[[#This Row],[T (400)]]*2.5</f>
        <v>2.3976395903479238E-3</v>
      </c>
      <c r="O50" s="24">
        <f>Table25711131525233335373941454951535912141618202224[[#This Row],[R]]/2</f>
        <v>3.689236111111111E-4</v>
      </c>
      <c r="P50" s="9"/>
      <c r="Q50" s="24"/>
      <c r="R50" s="9"/>
      <c r="S50" s="12"/>
      <c r="T50" s="25"/>
      <c r="U50" s="9"/>
      <c r="V50" s="23" t="s">
        <v>30</v>
      </c>
      <c r="W50" s="104"/>
    </row>
    <row r="51" spans="1:23" ht="17.149999999999999" customHeight="1" x14ac:dyDescent="0.35">
      <c r="A51" s="8" t="s">
        <v>62</v>
      </c>
      <c r="B51" s="9">
        <v>1.087962962962963E-2</v>
      </c>
      <c r="C51" s="9">
        <v>3.0092592592592588E-3</v>
      </c>
      <c r="D51" s="9">
        <f t="shared" si="40"/>
        <v>6.3297685185185184E-3</v>
      </c>
      <c r="E51" s="10">
        <v>0.58179999999999998</v>
      </c>
      <c r="F51" s="9">
        <f t="shared" si="41"/>
        <v>7.5231481481481471E-4</v>
      </c>
      <c r="G51" s="9">
        <f t="shared" si="42"/>
        <v>8.4396913580246917E-4</v>
      </c>
      <c r="H51" s="9">
        <f t="shared" si="43"/>
        <v>8.7037037037037042E-4</v>
      </c>
      <c r="I51" s="9">
        <f t="shared" si="44"/>
        <v>9.0749369441125711E-4</v>
      </c>
      <c r="J51" s="9">
        <f t="shared" si="45"/>
        <v>9.173577563070317E-4</v>
      </c>
      <c r="K51" s="9">
        <f t="shared" si="46"/>
        <v>9.5905583613916951E-4</v>
      </c>
      <c r="L51" s="9">
        <f t="shared" si="47"/>
        <v>1.0047251616696062E-3</v>
      </c>
      <c r="M51" s="11">
        <f>Table25711131525233335373941454951535912141618202224[[#This Row],[Thresh]]</f>
        <v>9.5905583613916951E-4</v>
      </c>
      <c r="N51" s="9">
        <f>Table25711131525233335373941454951535912141618202224[[#This Row],[T (400)]]*2.5</f>
        <v>2.3976395903479238E-3</v>
      </c>
      <c r="O51" s="24">
        <f>Table25711131525233335373941454951535912141618202224[[#This Row],[R]]/2</f>
        <v>3.7615740740740735E-4</v>
      </c>
      <c r="P51" s="9"/>
      <c r="Q51" s="24"/>
      <c r="R51" s="9"/>
      <c r="S51" s="12"/>
      <c r="T51" s="96"/>
      <c r="U51" s="9"/>
      <c r="V51" s="23" t="s">
        <v>24</v>
      </c>
      <c r="W51" s="104"/>
    </row>
    <row r="52" spans="1:23" ht="17.149999999999999" customHeight="1" x14ac:dyDescent="0.35">
      <c r="A52" s="8" t="s">
        <v>63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Table25711131525233335373941454951535912141618202224[[#This Row],[Thresh]]</f>
        <v>9.5905583613916951E-4</v>
      </c>
      <c r="N52" s="9">
        <f>Table25711131525233335373941454951535912141618202224[[#This Row],[T (400)]]*2.5</f>
        <v>2.3976395903479238E-3</v>
      </c>
      <c r="O52" s="24">
        <f>Table25711131525233335373941454951535912141618202224[[#This Row],[R]]/2</f>
        <v>3.7615740740740735E-4</v>
      </c>
      <c r="P52" s="9"/>
      <c r="Q52" s="24"/>
      <c r="R52" s="9"/>
      <c r="S52" s="12"/>
      <c r="T52" s="96"/>
      <c r="U52" s="9"/>
      <c r="V52" s="23" t="s">
        <v>24</v>
      </c>
      <c r="W52" s="104" t="s">
        <v>248</v>
      </c>
    </row>
    <row r="53" spans="1:23" ht="17.149999999999999" customHeight="1" x14ac:dyDescent="0.35">
      <c r="A53" s="8" t="s">
        <v>83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Table25711131525233335373941454951535912141618202224[[#This Row],[Thresh]]</f>
        <v>9.6925855780022438E-4</v>
      </c>
      <c r="N53" s="9">
        <f>Table25711131525233335373941454951535912141618202224[[#This Row],[T (400)]]*2.5</f>
        <v>2.4231463945005608E-3</v>
      </c>
      <c r="O53" s="24">
        <f>Table25711131525233335373941454951535912141618202224[[#This Row],[R]]/2</f>
        <v>3.7615740740740735E-4</v>
      </c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90</v>
      </c>
      <c r="B54" s="9">
        <v>1.0995370370370371E-2</v>
      </c>
      <c r="C54" s="9">
        <v>3.1828703703703702E-3</v>
      </c>
      <c r="D54" s="9">
        <f>B54*E54</f>
        <v>6.397106481481481E-3</v>
      </c>
      <c r="E54" s="10">
        <v>0.58179999999999998</v>
      </c>
      <c r="F54" s="9">
        <f>C54/4</f>
        <v>7.9571759259259255E-4</v>
      </c>
      <c r="G54" s="9">
        <f>D54/7.5</f>
        <v>8.5294753086419749E-4</v>
      </c>
      <c r="H54" s="9">
        <f>B54/12.5</f>
        <v>8.7962962962962962E-4</v>
      </c>
      <c r="I54" s="9">
        <f>G54/0.93</f>
        <v>9.171478826496747E-4</v>
      </c>
      <c r="J54" s="9">
        <f>G54/0.92</f>
        <v>9.2711688137412762E-4</v>
      </c>
      <c r="K54" s="9">
        <f>G54/0.88</f>
        <v>9.6925855780022438E-4</v>
      </c>
      <c r="L54" s="9">
        <f>G54/0.84</f>
        <v>1.0154137272192828E-3</v>
      </c>
      <c r="M54" s="11">
        <f>Table25711131525233335373941454951535912141618202224[[#This Row],[Thresh]]</f>
        <v>9.6925855780022438E-4</v>
      </c>
      <c r="N54" s="9">
        <f>Table25711131525233335373941454951535912141618202224[[#This Row],[T (400)]]*2.5</f>
        <v>2.4231463945005608E-3</v>
      </c>
      <c r="O54" s="24">
        <f>Table25711131525233335373941454951535912141618202224[[#This Row],[R]]/2</f>
        <v>3.9785879629629627E-4</v>
      </c>
      <c r="P54" s="9"/>
      <c r="Q54" s="24"/>
      <c r="R54" s="9"/>
      <c r="S54" s="12"/>
      <c r="T54" s="25"/>
      <c r="U54" s="28"/>
      <c r="V54" s="23" t="s">
        <v>134</v>
      </c>
      <c r="W54" s="104"/>
    </row>
    <row r="55" spans="1:23" ht="17.149999999999999" customHeight="1" x14ac:dyDescent="0.35">
      <c r="A55" s="8" t="s">
        <v>68</v>
      </c>
      <c r="B55" s="9">
        <v>1.1226851851851854E-2</v>
      </c>
      <c r="C55" s="9">
        <v>3.1828703703703702E-3</v>
      </c>
      <c r="D55" s="9">
        <f>B55*E55</f>
        <v>6.5317824074074089E-3</v>
      </c>
      <c r="E55" s="10">
        <v>0.58179999999999998</v>
      </c>
      <c r="F55" s="9">
        <f>C55/4</f>
        <v>7.9571759259259255E-4</v>
      </c>
      <c r="G55" s="9">
        <f>D55/7.5</f>
        <v>8.7090432098765457E-4</v>
      </c>
      <c r="H55" s="9">
        <f>B55/12.5</f>
        <v>8.9814814814814835E-4</v>
      </c>
      <c r="I55" s="9">
        <f>G55/0.93</f>
        <v>9.3645625912651019E-4</v>
      </c>
      <c r="J55" s="9">
        <f>G55/0.92</f>
        <v>9.4663513150832011E-4</v>
      </c>
      <c r="K55" s="9">
        <f>G55/0.88</f>
        <v>9.8966400112233477E-4</v>
      </c>
      <c r="L55" s="9">
        <f>G55/0.84</f>
        <v>1.0367908583186363E-3</v>
      </c>
      <c r="M55" s="11">
        <f>Table25711131525233335373941454951535912141618202224[[#This Row],[Thresh]]</f>
        <v>9.8966400112233477E-4</v>
      </c>
      <c r="N55" s="9">
        <f>Table25711131525233335373941454951535912141618202224[[#This Row],[T (400)]]*2.5</f>
        <v>2.4741600028058367E-3</v>
      </c>
      <c r="O55" s="24">
        <f>Table25711131525233335373941454951535912141618202224[[#This Row],[R]]/2</f>
        <v>3.9785879629629627E-4</v>
      </c>
      <c r="P55" s="9"/>
      <c r="Q55" s="24"/>
      <c r="R55" s="9"/>
      <c r="S55" s="12"/>
      <c r="T55" s="25"/>
      <c r="V55" s="23" t="s">
        <v>30</v>
      </c>
      <c r="W55" s="104"/>
    </row>
    <row r="56" spans="1:23" ht="17.149999999999999" customHeight="1" x14ac:dyDescent="0.35">
      <c r="A56" s="8" t="s">
        <v>66</v>
      </c>
      <c r="B56" s="9">
        <v>1.1226851851851854E-2</v>
      </c>
      <c r="C56" s="9">
        <v>3.1249999999999997E-3</v>
      </c>
      <c r="D56" s="9">
        <f>B56*E56</f>
        <v>6.5317824074074089E-3</v>
      </c>
      <c r="E56" s="10">
        <v>0.58179999999999998</v>
      </c>
      <c r="F56" s="9">
        <f>C56/4</f>
        <v>7.8124999999999993E-4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>
        <f>Table25711131525233335373941454951535912141618202224[[#This Row],[Thresh]]</f>
        <v>9.8966400112233477E-4</v>
      </c>
      <c r="N56" s="9">
        <f>Table25711131525233335373941454951535912141618202224[[#This Row],[T (400)]]*2.5</f>
        <v>2.4741600028058367E-3</v>
      </c>
      <c r="O56" s="24">
        <f>Table25711131525233335373941454951535912141618202224[[#This Row],[R]]/2</f>
        <v>3.9062499999999997E-4</v>
      </c>
      <c r="P56" s="9"/>
      <c r="Q56" s="24"/>
      <c r="R56" s="9"/>
      <c r="S56" s="12"/>
      <c r="T56" s="96"/>
      <c r="U56" s="9"/>
      <c r="V56" s="23" t="s">
        <v>24</v>
      </c>
      <c r="W56" s="104"/>
    </row>
    <row r="57" spans="1:23" ht="17.149999999999999" customHeight="1" x14ac:dyDescent="0.35">
      <c r="A57" s="8" t="s">
        <v>67</v>
      </c>
      <c r="B57" s="9">
        <v>1.1226851851851854E-2</v>
      </c>
      <c r="C57" s="9">
        <v>3.1249999999999997E-3</v>
      </c>
      <c r="D57" s="9">
        <f t="shared" si="40"/>
        <v>6.5317824074074089E-3</v>
      </c>
      <c r="E57" s="10">
        <v>0.58179999999999998</v>
      </c>
      <c r="F57" s="9">
        <f t="shared" si="41"/>
        <v>7.8124999999999993E-4</v>
      </c>
      <c r="G57" s="9">
        <f t="shared" si="42"/>
        <v>8.7090432098765457E-4</v>
      </c>
      <c r="H57" s="9">
        <f t="shared" si="43"/>
        <v>8.9814814814814835E-4</v>
      </c>
      <c r="I57" s="9">
        <f t="shared" si="44"/>
        <v>9.3645625912651019E-4</v>
      </c>
      <c r="J57" s="9">
        <f t="shared" si="45"/>
        <v>9.4663513150832011E-4</v>
      </c>
      <c r="K57" s="9">
        <f t="shared" si="46"/>
        <v>9.8966400112233477E-4</v>
      </c>
      <c r="L57" s="9">
        <f t="shared" si="47"/>
        <v>1.0367908583186363E-3</v>
      </c>
      <c r="M57" s="11">
        <f>Table25711131525233335373941454951535912141618202224[[#This Row],[Thresh]]</f>
        <v>9.8966400112233477E-4</v>
      </c>
      <c r="N57" s="9">
        <f>Table25711131525233335373941454951535912141618202224[[#This Row],[T (400)]]*2.5</f>
        <v>2.4741600028058367E-3</v>
      </c>
      <c r="O57" s="24">
        <f>Table25711131525233335373941454951535912141618202224[[#This Row],[R]]/2</f>
        <v>3.9062499999999997E-4</v>
      </c>
      <c r="P57" s="9"/>
      <c r="Q57" s="24"/>
      <c r="R57" s="9"/>
      <c r="S57" s="12"/>
      <c r="T57" s="96"/>
      <c r="U57" s="9"/>
      <c r="V57" s="23" t="s">
        <v>24</v>
      </c>
      <c r="W57" s="104"/>
    </row>
    <row r="58" spans="1:23" ht="17.149999999999999" customHeight="1" x14ac:dyDescent="0.35">
      <c r="A58" s="8" t="s">
        <v>112</v>
      </c>
      <c r="B58" s="9">
        <v>1.1458333333333334E-2</v>
      </c>
      <c r="C58" s="9">
        <v>3.0671296296296297E-3</v>
      </c>
      <c r="D58" s="9">
        <f t="shared" ref="D58:D63" si="56">B58*E58</f>
        <v>6.6664583333333333E-3</v>
      </c>
      <c r="E58" s="10">
        <v>0.58179999999999998</v>
      </c>
      <c r="F58" s="9">
        <f t="shared" ref="F58:F63" si="57">C58/4</f>
        <v>7.6678240740740743E-4</v>
      </c>
      <c r="G58" s="9">
        <f t="shared" ref="G58:G63" si="58">D58/7.5</f>
        <v>8.888611111111111E-4</v>
      </c>
      <c r="H58" s="9">
        <f t="shared" ref="H58:H63" si="59">B58/12.5</f>
        <v>9.1666666666666676E-4</v>
      </c>
      <c r="I58" s="9">
        <f t="shared" ref="I58:I63" si="60">G58/0.93</f>
        <v>9.5576463560334524E-4</v>
      </c>
      <c r="J58" s="9">
        <f t="shared" ref="J58:J63" si="61">G58/0.92</f>
        <v>9.6615338164251206E-4</v>
      </c>
      <c r="K58" s="9">
        <f t="shared" ref="K58:K63" si="62">G58/0.88</f>
        <v>1.0100694444444445E-3</v>
      </c>
      <c r="L58" s="9">
        <f t="shared" ref="L58:L63" si="63">G58/0.84</f>
        <v>1.0581679894179894E-3</v>
      </c>
      <c r="M58" s="11">
        <f>Table25711131525233335373941454951535912141618202224[[#This Row],[Thresh]]</f>
        <v>1.0100694444444445E-3</v>
      </c>
      <c r="N58" s="9">
        <f>Table25711131525233335373941454951535912141618202224[[#This Row],[T (400)]]*2.5</f>
        <v>2.5251736111111113E-3</v>
      </c>
      <c r="O58" s="24">
        <f>Table25711131525233335373941454951535912141618202224[[#This Row],[R]]/2</f>
        <v>3.8339120370370371E-4</v>
      </c>
      <c r="P58" s="9"/>
      <c r="Q58" s="24"/>
      <c r="R58" s="9"/>
      <c r="S58" s="12"/>
      <c r="T58" s="96"/>
      <c r="U58" s="9"/>
      <c r="V58" s="23" t="s">
        <v>24</v>
      </c>
      <c r="W58" s="104"/>
    </row>
    <row r="59" spans="1:23" ht="17.149999999999999" customHeight="1" x14ac:dyDescent="0.35">
      <c r="A59" s="8" t="s">
        <v>92</v>
      </c>
      <c r="B59" s="9">
        <v>1.1458333333333334E-2</v>
      </c>
      <c r="C59" s="9">
        <v>3.2407407407407406E-3</v>
      </c>
      <c r="D59" s="9">
        <f t="shared" si="56"/>
        <v>6.6664583333333333E-3</v>
      </c>
      <c r="E59" s="10">
        <v>0.58179999999999998</v>
      </c>
      <c r="F59" s="9">
        <f t="shared" si="57"/>
        <v>8.1018518518518516E-4</v>
      </c>
      <c r="G59" s="9">
        <f t="shared" si="58"/>
        <v>8.888611111111111E-4</v>
      </c>
      <c r="H59" s="9">
        <f t="shared" si="59"/>
        <v>9.1666666666666676E-4</v>
      </c>
      <c r="I59" s="9">
        <f t="shared" si="60"/>
        <v>9.5576463560334524E-4</v>
      </c>
      <c r="J59" s="9">
        <f t="shared" si="61"/>
        <v>9.6615338164251206E-4</v>
      </c>
      <c r="K59" s="9">
        <f t="shared" si="62"/>
        <v>1.0100694444444445E-3</v>
      </c>
      <c r="L59" s="9">
        <f t="shared" si="63"/>
        <v>1.0581679894179894E-3</v>
      </c>
      <c r="M59" s="11">
        <f>Table25711131525233335373941454951535912141618202224[[#This Row],[Thresh]]</f>
        <v>1.0100694444444445E-3</v>
      </c>
      <c r="N59" s="9">
        <f>Table25711131525233335373941454951535912141618202224[[#This Row],[T (400)]]*2.5</f>
        <v>2.5251736111111113E-3</v>
      </c>
      <c r="O59" s="24">
        <f>Table25711131525233335373941454951535912141618202224[[#This Row],[R]]/2</f>
        <v>4.0509259259259258E-4</v>
      </c>
      <c r="P59" s="9"/>
      <c r="Q59" s="24"/>
      <c r="R59" s="9"/>
      <c r="S59" s="12"/>
      <c r="T59" s="25"/>
      <c r="V59" s="23" t="s">
        <v>30</v>
      </c>
      <c r="W59" s="104"/>
    </row>
    <row r="60" spans="1:23" ht="17.149999999999999" customHeight="1" x14ac:dyDescent="0.35">
      <c r="A60" s="8" t="s">
        <v>91</v>
      </c>
      <c r="B60" s="9">
        <v>1.1458333333333334E-2</v>
      </c>
      <c r="C60" s="9">
        <v>3.2986111111111111E-3</v>
      </c>
      <c r="D60" s="9">
        <f t="shared" si="56"/>
        <v>6.6664583333333333E-3</v>
      </c>
      <c r="E60" s="10">
        <v>0.58179999999999998</v>
      </c>
      <c r="F60" s="9">
        <f t="shared" si="57"/>
        <v>8.2465277777777778E-4</v>
      </c>
      <c r="G60" s="9">
        <f t="shared" si="58"/>
        <v>8.888611111111111E-4</v>
      </c>
      <c r="H60" s="9">
        <f t="shared" si="59"/>
        <v>9.1666666666666676E-4</v>
      </c>
      <c r="I60" s="9">
        <f t="shared" si="60"/>
        <v>9.5576463560334524E-4</v>
      </c>
      <c r="J60" s="9">
        <f t="shared" si="61"/>
        <v>9.6615338164251206E-4</v>
      </c>
      <c r="K60" s="9">
        <f t="shared" si="62"/>
        <v>1.0100694444444445E-3</v>
      </c>
      <c r="L60" s="9">
        <f t="shared" si="63"/>
        <v>1.0581679894179894E-3</v>
      </c>
      <c r="M60" s="11">
        <f>Table25711131525233335373941454951535912141618202224[[#This Row],[Thresh]]</f>
        <v>1.0100694444444445E-3</v>
      </c>
      <c r="N60" s="9">
        <f>Table25711131525233335373941454951535912141618202224[[#This Row],[T (400)]]*2.5</f>
        <v>2.5251736111111113E-3</v>
      </c>
      <c r="O60" s="24">
        <f>Table25711131525233335373941454951535912141618202224[[#This Row],[R]]/2</f>
        <v>4.1232638888888889E-4</v>
      </c>
      <c r="P60" s="9"/>
      <c r="Q60" s="24"/>
      <c r="R60" s="9"/>
      <c r="S60" s="12"/>
      <c r="V60" s="23" t="s">
        <v>30</v>
      </c>
      <c r="W60" s="104"/>
    </row>
    <row r="61" spans="1:23" ht="17.149999999999999" customHeight="1" x14ac:dyDescent="0.35">
      <c r="A61" s="8" t="s">
        <v>113</v>
      </c>
      <c r="B61" s="9">
        <v>1.1805555555555555E-2</v>
      </c>
      <c r="C61" s="9">
        <v>3.414351851851852E-3</v>
      </c>
      <c r="D61" s="9">
        <f t="shared" si="56"/>
        <v>6.868472222222222E-3</v>
      </c>
      <c r="E61" s="10">
        <v>0.58179999999999998</v>
      </c>
      <c r="F61" s="9">
        <f t="shared" si="57"/>
        <v>8.53587962962963E-4</v>
      </c>
      <c r="G61" s="9">
        <f t="shared" si="58"/>
        <v>9.1579629629629628E-4</v>
      </c>
      <c r="H61" s="9">
        <f t="shared" si="59"/>
        <v>9.4444444444444437E-4</v>
      </c>
      <c r="I61" s="9">
        <f t="shared" si="60"/>
        <v>9.8472720031859799E-4</v>
      </c>
      <c r="J61" s="9">
        <f t="shared" si="61"/>
        <v>9.9543075684380036E-4</v>
      </c>
      <c r="K61" s="9">
        <f t="shared" si="62"/>
        <v>1.0406776094276093E-3</v>
      </c>
      <c r="L61" s="9">
        <f t="shared" si="63"/>
        <v>1.0902336860670195E-3</v>
      </c>
      <c r="M61" s="11">
        <f>Table25711131525233335373941454951535912141618202224[[#This Row],[Thresh]]</f>
        <v>1.0406776094276093E-3</v>
      </c>
      <c r="N61" s="9">
        <f>Table25711131525233335373941454951535912141618202224[[#This Row],[T (400)]]*2.5</f>
        <v>2.6016940235690234E-3</v>
      </c>
      <c r="O61" s="24">
        <f>Table25711131525233335373941454951535912141618202224[[#This Row],[R]]/2</f>
        <v>4.267939814814815E-4</v>
      </c>
      <c r="P61" s="9"/>
      <c r="Q61" s="24"/>
      <c r="R61" s="9"/>
      <c r="S61" s="12"/>
      <c r="T61" s="25"/>
      <c r="V61" s="23" t="s">
        <v>134</v>
      </c>
      <c r="W61" s="104" t="s">
        <v>249</v>
      </c>
    </row>
    <row r="62" spans="1:23" ht="17.149999999999999" customHeight="1" x14ac:dyDescent="0.35">
      <c r="A62" s="8" t="s">
        <v>93</v>
      </c>
      <c r="B62" s="9">
        <v>1.1921296296296298E-2</v>
      </c>
      <c r="C62" s="9">
        <v>3.472222222222222E-3</v>
      </c>
      <c r="D62" s="9">
        <f t="shared" si="56"/>
        <v>6.9358101851851863E-3</v>
      </c>
      <c r="E62" s="10">
        <v>0.58179999999999998</v>
      </c>
      <c r="F62" s="9">
        <f t="shared" si="57"/>
        <v>8.6805555555555551E-4</v>
      </c>
      <c r="G62" s="9">
        <f t="shared" si="58"/>
        <v>9.2477469135802482E-4</v>
      </c>
      <c r="H62" s="9">
        <f t="shared" si="59"/>
        <v>9.5370370370370379E-4</v>
      </c>
      <c r="I62" s="9">
        <f t="shared" si="60"/>
        <v>9.943813885570159E-4</v>
      </c>
      <c r="J62" s="9">
        <f t="shared" si="61"/>
        <v>1.0051898819108964E-3</v>
      </c>
      <c r="K62" s="9">
        <f t="shared" si="62"/>
        <v>1.0508803310886646E-3</v>
      </c>
      <c r="L62" s="9">
        <f t="shared" si="63"/>
        <v>1.1009222516166963E-3</v>
      </c>
      <c r="M62" s="11">
        <f>Table25711131525233335373941454951535912141618202224[[#This Row],[Thresh]]</f>
        <v>1.0508803310886646E-3</v>
      </c>
      <c r="N62" s="9">
        <f>Table25711131525233335373941454951535912141618202224[[#This Row],[T (400)]]*2.5</f>
        <v>2.6272008277216617E-3</v>
      </c>
      <c r="O62" s="24">
        <f>Table25711131525233335373941454951535912141618202224[[#This Row],[R]]/2</f>
        <v>4.3402777777777775E-4</v>
      </c>
      <c r="P62" s="9"/>
      <c r="Q62" s="24"/>
      <c r="R62" s="9"/>
      <c r="S62" s="12"/>
      <c r="T62" s="25"/>
      <c r="V62" s="23" t="s">
        <v>134</v>
      </c>
      <c r="W62" s="104"/>
    </row>
    <row r="63" spans="1:23" ht="17.149999999999999" customHeight="1" x14ac:dyDescent="0.35">
      <c r="A63" s="8" t="s">
        <v>115</v>
      </c>
      <c r="B63" s="9">
        <v>1.1111111111111112E-2</v>
      </c>
      <c r="C63" s="9">
        <v>3.1249999999999997E-3</v>
      </c>
      <c r="D63" s="9">
        <f t="shared" si="56"/>
        <v>6.4644444444444445E-3</v>
      </c>
      <c r="E63" s="10">
        <v>0.58179999999999998</v>
      </c>
      <c r="F63" s="9">
        <f t="shared" si="57"/>
        <v>7.8124999999999993E-4</v>
      </c>
      <c r="G63" s="9">
        <f t="shared" si="58"/>
        <v>8.6192592592592592E-4</v>
      </c>
      <c r="H63" s="9">
        <f t="shared" si="59"/>
        <v>8.8888888888888893E-4</v>
      </c>
      <c r="I63" s="9">
        <f t="shared" si="60"/>
        <v>9.2680207088809239E-4</v>
      </c>
      <c r="J63" s="9">
        <f t="shared" si="61"/>
        <v>9.3687600644122375E-4</v>
      </c>
      <c r="K63" s="9">
        <f t="shared" si="62"/>
        <v>9.7946127946127947E-4</v>
      </c>
      <c r="L63" s="9">
        <f t="shared" si="63"/>
        <v>1.0261022927689596E-3</v>
      </c>
      <c r="M63" s="11"/>
      <c r="N63" s="9"/>
      <c r="O63" s="24"/>
      <c r="P63" s="9"/>
      <c r="Q63" s="24"/>
      <c r="R63" s="9"/>
      <c r="S63" s="12"/>
      <c r="T63" s="96"/>
      <c r="U63" s="9"/>
      <c r="V63" s="23" t="s">
        <v>53</v>
      </c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41"/>
        <v>0</v>
      </c>
      <c r="G64" s="9">
        <f t="shared" si="42"/>
        <v>0</v>
      </c>
      <c r="H64" s="9">
        <f t="shared" si="43"/>
        <v>0</v>
      </c>
      <c r="I64" s="9">
        <f t="shared" si="44"/>
        <v>0</v>
      </c>
      <c r="J64" s="9">
        <f t="shared" si="45"/>
        <v>0</v>
      </c>
      <c r="K64" s="9">
        <f t="shared" si="46"/>
        <v>0</v>
      </c>
      <c r="L64" s="9">
        <f t="shared" si="47"/>
        <v>0</v>
      </c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240</v>
      </c>
      <c r="B67" s="15"/>
      <c r="C67" s="15"/>
      <c r="D67" s="15"/>
      <c r="E67" s="16"/>
      <c r="F67" s="15">
        <f t="shared" si="41"/>
        <v>0</v>
      </c>
      <c r="G67" s="15">
        <f t="shared" si="42"/>
        <v>0</v>
      </c>
      <c r="H67" s="15">
        <f t="shared" si="43"/>
        <v>0</v>
      </c>
      <c r="I67" s="15">
        <f t="shared" si="44"/>
        <v>0</v>
      </c>
      <c r="J67" s="15">
        <f t="shared" si="45"/>
        <v>0</v>
      </c>
      <c r="K67" s="15">
        <f t="shared" si="46"/>
        <v>0</v>
      </c>
      <c r="L67" s="15">
        <f t="shared" si="47"/>
        <v>0</v>
      </c>
      <c r="M67" s="30" t="s">
        <v>12</v>
      </c>
      <c r="N67" s="15" t="s">
        <v>58</v>
      </c>
      <c r="O67" s="15" t="s">
        <v>46</v>
      </c>
      <c r="P67" s="15"/>
      <c r="Q67" s="15"/>
      <c r="R67" s="15"/>
      <c r="S67" s="15"/>
      <c r="T67" s="15"/>
      <c r="U67" s="15"/>
      <c r="V67" s="17"/>
      <c r="W67" s="104"/>
    </row>
    <row r="68" spans="1:23" ht="17.149999999999999" customHeight="1" x14ac:dyDescent="0.35">
      <c r="A68" s="8" t="s">
        <v>97</v>
      </c>
      <c r="B68" s="9">
        <v>1.0011574074074074E-2</v>
      </c>
      <c r="C68" s="9">
        <v>3.0092592592592588E-3</v>
      </c>
      <c r="D68" s="9">
        <f t="shared" ref="D68:D86" si="64">B68*E68</f>
        <v>5.8247337962962957E-3</v>
      </c>
      <c r="E68" s="10">
        <v>0.58179999999999998</v>
      </c>
      <c r="F68" s="9">
        <f t="shared" ref="F68:F86" si="65">C68/4</f>
        <v>7.5231481481481471E-4</v>
      </c>
      <c r="G68" s="9">
        <f t="shared" ref="G68:G86" si="66">D68/7.5</f>
        <v>7.7663117283950612E-4</v>
      </c>
      <c r="H68" s="9">
        <f t="shared" ref="H68:H86" si="67">B68/12.5</f>
        <v>8.0092592592592585E-4</v>
      </c>
      <c r="I68" s="9">
        <f t="shared" ref="I68:I86" si="68">G68/0.93</f>
        <v>8.3508728262312486E-4</v>
      </c>
      <c r="J68" s="9">
        <f t="shared" ref="J68:J86" si="69">G68/0.92</f>
        <v>8.4416431830381094E-4</v>
      </c>
      <c r="K68" s="9">
        <f t="shared" ref="K68:K86" si="70">G68/0.88</f>
        <v>8.825354236812569E-4</v>
      </c>
      <c r="L68" s="9">
        <f t="shared" ref="L68:L86" si="71">G68/0.84</f>
        <v>9.2456092004703113E-4</v>
      </c>
      <c r="M68" s="11">
        <f>Table25711131525233335373941454951535912141618202224[[#This Row],[Thresh]]</f>
        <v>8.825354236812569E-4</v>
      </c>
      <c r="N68" s="9">
        <f>Table25711131525233335373941454951535912141618202224[[#This Row],[T (400)]]*2</f>
        <v>1.7650708473625138E-3</v>
      </c>
      <c r="O68" s="9">
        <f>Table25711131525233335373941454951535912141618202224[[#This Row],[I]]</f>
        <v>8.0092592592592585E-4</v>
      </c>
      <c r="P68" s="24"/>
      <c r="Q68" s="24"/>
      <c r="R68" s="24"/>
      <c r="S68" s="24"/>
      <c r="T68" s="24"/>
      <c r="U68" s="24"/>
      <c r="V68" s="23" t="s">
        <v>34</v>
      </c>
      <c r="W68" s="104"/>
    </row>
    <row r="69" spans="1:23" ht="17.149999999999999" customHeight="1" x14ac:dyDescent="0.35">
      <c r="A69" s="8" t="s">
        <v>78</v>
      </c>
      <c r="B69" s="9">
        <v>1.0243055555555556E-2</v>
      </c>
      <c r="C69" s="9">
        <v>2.9745370370370373E-3</v>
      </c>
      <c r="D69" s="9">
        <f t="shared" si="64"/>
        <v>5.9594097222222218E-3</v>
      </c>
      <c r="E69" s="10">
        <v>0.58179999999999998</v>
      </c>
      <c r="F69" s="9">
        <f t="shared" si="65"/>
        <v>7.4363425925925931E-4</v>
      </c>
      <c r="G69" s="9">
        <f t="shared" si="66"/>
        <v>7.9458796296296287E-4</v>
      </c>
      <c r="H69" s="9">
        <f t="shared" si="67"/>
        <v>8.1944444444444447E-4</v>
      </c>
      <c r="I69" s="9">
        <f t="shared" si="68"/>
        <v>8.5439565909996003E-4</v>
      </c>
      <c r="J69" s="9">
        <f t="shared" si="69"/>
        <v>8.636825684380031E-4</v>
      </c>
      <c r="K69" s="9">
        <f t="shared" si="70"/>
        <v>9.0294086700336686E-4</v>
      </c>
      <c r="L69" s="9">
        <f t="shared" si="71"/>
        <v>9.4593805114638445E-4</v>
      </c>
      <c r="M69" s="11">
        <f>Table25711131525233335373941454951535912141618202224[[#This Row],[Thresh]]</f>
        <v>9.0294086700336686E-4</v>
      </c>
      <c r="N69" s="9">
        <f>Table25711131525233335373941454951535912141618202224[[#This Row],[T (400)]]*2</f>
        <v>1.8058817340067337E-3</v>
      </c>
      <c r="O69" s="9">
        <f>Table25711131525233335373941454951535912141618202224[[#This Row],[I]]</f>
        <v>8.1944444444444447E-4</v>
      </c>
      <c r="P69" s="24"/>
      <c r="Q69" s="24"/>
      <c r="R69" s="24"/>
      <c r="S69" s="24"/>
      <c r="T69" s="24"/>
      <c r="U69" s="24"/>
      <c r="V69" s="23" t="s">
        <v>34</v>
      </c>
      <c r="W69" s="104"/>
    </row>
    <row r="70" spans="1:23" ht="17.149999999999999" customHeight="1" x14ac:dyDescent="0.35">
      <c r="A70" s="8" t="s">
        <v>99</v>
      </c>
      <c r="B70" s="9">
        <v>1.0243055555555556E-2</v>
      </c>
      <c r="C70" s="9">
        <v>3.0092592592592588E-3</v>
      </c>
      <c r="D70" s="9">
        <f>B70*E70</f>
        <v>5.9594097222222218E-3</v>
      </c>
      <c r="E70" s="10">
        <v>0.58179999999999998</v>
      </c>
      <c r="F70" s="9">
        <f>C70/4</f>
        <v>7.5231481481481471E-4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Table25711131525233335373941454951535912141618202224[[#This Row],[Thresh]]</f>
        <v>9.0294086700336686E-4</v>
      </c>
      <c r="N70" s="9">
        <f>Table25711131525233335373941454951535912141618202224[[#This Row],[T (400)]]*2</f>
        <v>1.8058817340067337E-3</v>
      </c>
      <c r="O70" s="9">
        <f>Table25711131525233335373941454951535912141618202224[[#This Row],[I]]</f>
        <v>8.1944444444444447E-4</v>
      </c>
      <c r="P70" s="9"/>
      <c r="Q70" s="24"/>
      <c r="R70" s="9"/>
      <c r="S70" s="12"/>
      <c r="V70" s="23" t="s">
        <v>48</v>
      </c>
      <c r="W70" s="104"/>
    </row>
    <row r="71" spans="1:23" ht="17.149999999999999" customHeight="1" x14ac:dyDescent="0.35">
      <c r="A71" s="8" t="s">
        <v>98</v>
      </c>
      <c r="B71" s="9">
        <v>1.0243055555555556E-2</v>
      </c>
      <c r="C71" s="9">
        <v>3.0092592592592588E-3</v>
      </c>
      <c r="D71" s="9">
        <f>B71*E71</f>
        <v>5.9594097222222218E-3</v>
      </c>
      <c r="E71" s="10">
        <v>0.58179999999999998</v>
      </c>
      <c r="F71" s="9">
        <f>C71/4</f>
        <v>7.5231481481481471E-4</v>
      </c>
      <c r="G71" s="9">
        <f>D71/7.5</f>
        <v>7.9458796296296287E-4</v>
      </c>
      <c r="H71" s="9">
        <f>B71/12.5</f>
        <v>8.1944444444444447E-4</v>
      </c>
      <c r="I71" s="9">
        <f>G71/0.93</f>
        <v>8.5439565909996003E-4</v>
      </c>
      <c r="J71" s="9">
        <f>G71/0.92</f>
        <v>8.636825684380031E-4</v>
      </c>
      <c r="K71" s="9">
        <f>G71/0.88</f>
        <v>9.0294086700336686E-4</v>
      </c>
      <c r="L71" s="9">
        <f>G71/0.84</f>
        <v>9.4593805114638445E-4</v>
      </c>
      <c r="M71" s="11">
        <f>Table25711131525233335373941454951535912141618202224[[#This Row],[Thresh]]</f>
        <v>9.0294086700336686E-4</v>
      </c>
      <c r="N71" s="9">
        <f>Table25711131525233335373941454951535912141618202224[[#This Row],[T (400)]]*2</f>
        <v>1.8058817340067337E-3</v>
      </c>
      <c r="O71" s="9">
        <f>Table25711131525233335373941454951535912141618202224[[#This Row],[I]]</f>
        <v>8.1944444444444447E-4</v>
      </c>
      <c r="P71" s="9"/>
      <c r="Q71" s="24"/>
      <c r="R71" s="9"/>
      <c r="S71" s="12"/>
      <c r="V71" s="23" t="s">
        <v>48</v>
      </c>
      <c r="W71" s="104"/>
    </row>
    <row r="72" spans="1:23" ht="17.149999999999999" customHeight="1" x14ac:dyDescent="0.35">
      <c r="A72" s="8" t="s">
        <v>100</v>
      </c>
      <c r="B72" s="9">
        <v>1.0243055555555556E-2</v>
      </c>
      <c r="C72" s="9">
        <v>2.9745370370370373E-3</v>
      </c>
      <c r="D72" s="9">
        <f>B72*E72</f>
        <v>5.9594097222222218E-3</v>
      </c>
      <c r="E72" s="10">
        <v>0.58179999999999998</v>
      </c>
      <c r="F72" s="9">
        <f>C72/4</f>
        <v>7.4363425925925931E-4</v>
      </c>
      <c r="G72" s="9">
        <f>D72/7.5</f>
        <v>7.9458796296296287E-4</v>
      </c>
      <c r="H72" s="9">
        <f>B72/12.5</f>
        <v>8.1944444444444447E-4</v>
      </c>
      <c r="I72" s="9">
        <f>G72/0.93</f>
        <v>8.5439565909996003E-4</v>
      </c>
      <c r="J72" s="9">
        <f>G72/0.92</f>
        <v>8.636825684380031E-4</v>
      </c>
      <c r="K72" s="9">
        <f>G72/0.88</f>
        <v>9.0294086700336686E-4</v>
      </c>
      <c r="L72" s="9">
        <f>G72/0.84</f>
        <v>9.4593805114638445E-4</v>
      </c>
      <c r="M72" s="11">
        <f>Table25711131525233335373941454951535912141618202224[[#This Row],[Thresh]]</f>
        <v>9.0294086700336686E-4</v>
      </c>
      <c r="N72" s="9">
        <f>Table25711131525233335373941454951535912141618202224[[#This Row],[T (400)]]*2</f>
        <v>1.8058817340067337E-3</v>
      </c>
      <c r="O72" s="9">
        <f>Table25711131525233335373941454951535912141618202224[[#This Row],[I]]</f>
        <v>8.1944444444444447E-4</v>
      </c>
      <c r="P72" s="9"/>
      <c r="Q72" s="24"/>
      <c r="R72" s="9"/>
      <c r="S72" s="12"/>
      <c r="V72" s="23" t="s">
        <v>48</v>
      </c>
      <c r="W72" s="104"/>
    </row>
    <row r="73" spans="1:23" ht="17.149999999999999" customHeight="1" x14ac:dyDescent="0.35">
      <c r="A73" s="8" t="s">
        <v>80</v>
      </c>
      <c r="B73" s="9">
        <v>1.0416666666666666E-2</v>
      </c>
      <c r="C73" s="9">
        <v>3.0092592592592588E-3</v>
      </c>
      <c r="D73" s="9">
        <f t="shared" si="64"/>
        <v>6.0604166666666662E-3</v>
      </c>
      <c r="E73" s="10">
        <v>0.58179999999999998</v>
      </c>
      <c r="F73" s="9">
        <f t="shared" si="65"/>
        <v>7.5231481481481471E-4</v>
      </c>
      <c r="G73" s="9">
        <f t="shared" si="66"/>
        <v>8.0805555555555546E-4</v>
      </c>
      <c r="H73" s="9">
        <f t="shared" si="67"/>
        <v>8.3333333333333328E-4</v>
      </c>
      <c r="I73" s="9">
        <f t="shared" si="68"/>
        <v>8.6887694145758646E-4</v>
      </c>
      <c r="J73" s="9">
        <f t="shared" si="69"/>
        <v>8.7832125603864715E-4</v>
      </c>
      <c r="K73" s="9">
        <f t="shared" si="70"/>
        <v>9.1824494949494938E-4</v>
      </c>
      <c r="L73" s="9">
        <f t="shared" si="71"/>
        <v>9.6197089947089938E-4</v>
      </c>
      <c r="M73" s="11">
        <f>Table25711131525233335373941454951535912141618202224[[#This Row],[Thresh]]</f>
        <v>9.1824494949494938E-4</v>
      </c>
      <c r="N73" s="9">
        <f>Table25711131525233335373941454951535912141618202224[[#This Row],[T (400)]]*2</f>
        <v>1.8364898989898988E-3</v>
      </c>
      <c r="O73" s="9">
        <f>Table25711131525233335373941454951535912141618202224[[#This Row],[I]]</f>
        <v>8.3333333333333328E-4</v>
      </c>
      <c r="P73" s="24"/>
      <c r="Q73" s="24"/>
      <c r="R73" s="24"/>
      <c r="S73" s="24"/>
      <c r="T73" s="24"/>
      <c r="U73" s="24"/>
      <c r="V73" s="23" t="s">
        <v>34</v>
      </c>
      <c r="W73" s="104"/>
    </row>
    <row r="74" spans="1:23" ht="17.149999999999999" customHeight="1" x14ac:dyDescent="0.35">
      <c r="A74" s="8" t="s">
        <v>77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Table25711131525233335373941454951535912141618202224[[#This Row],[Thresh]]</f>
        <v>9.1824494949494938E-4</v>
      </c>
      <c r="N74" s="9">
        <f>Table25711131525233335373941454951535912141618202224[[#This Row],[T (400)]]*2</f>
        <v>1.8364898989898988E-3</v>
      </c>
      <c r="O74" s="9">
        <f>Table25711131525233335373941454951535912141618202224[[#This Row],[I]]</f>
        <v>8.3333333333333328E-4</v>
      </c>
      <c r="P74" s="24"/>
      <c r="Q74" s="24"/>
      <c r="R74" s="24"/>
      <c r="S74" s="24"/>
      <c r="T74" s="24"/>
      <c r="U74" s="24"/>
      <c r="V74" s="23" t="s">
        <v>34</v>
      </c>
      <c r="W74" s="104"/>
    </row>
    <row r="75" spans="1:23" ht="17.149999999999999" customHeight="1" x14ac:dyDescent="0.35">
      <c r="A75" s="8" t="s">
        <v>82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Table25711131525233335373941454951535912141618202224[[#This Row],[Thresh]]</f>
        <v>9.1824494949494938E-4</v>
      </c>
      <c r="N75" s="9">
        <f>Table25711131525233335373941454951535912141618202224[[#This Row],[T (400)]]*2</f>
        <v>1.8364898989898988E-3</v>
      </c>
      <c r="O75" s="9">
        <f>Table25711131525233335373941454951535912141618202224[[#This Row],[I]]</f>
        <v>8.3333333333333328E-4</v>
      </c>
      <c r="P75" s="24"/>
      <c r="Q75" s="24"/>
      <c r="R75" s="24"/>
      <c r="S75" s="24"/>
      <c r="T75" s="24"/>
      <c r="U75" s="24"/>
      <c r="V75" s="23" t="s">
        <v>168</v>
      </c>
      <c r="W75" s="104"/>
    </row>
    <row r="76" spans="1:23" ht="17.149999999999999" customHeight="1" x14ac:dyDescent="0.35">
      <c r="A76" s="8" t="s">
        <v>101</v>
      </c>
      <c r="B76" s="9">
        <v>1.0474537037037037E-2</v>
      </c>
      <c r="C76" s="9">
        <v>3.0671296296296297E-3</v>
      </c>
      <c r="D76" s="9">
        <f>B76*E76</f>
        <v>6.094085648148148E-3</v>
      </c>
      <c r="E76" s="10">
        <v>0.58179999999999998</v>
      </c>
      <c r="F76" s="9">
        <f>C76/4</f>
        <v>7.6678240740740743E-4</v>
      </c>
      <c r="G76" s="9">
        <f>D76/7.5</f>
        <v>8.1254475308641973E-4</v>
      </c>
      <c r="H76" s="9">
        <f>B76/12.5</f>
        <v>8.3796296296296299E-4</v>
      </c>
      <c r="I76" s="9">
        <f>G76/0.93</f>
        <v>8.7370403557679541E-4</v>
      </c>
      <c r="J76" s="9">
        <f>G76/0.92</f>
        <v>8.8320081857219527E-4</v>
      </c>
      <c r="K76" s="9">
        <f>G76/0.88</f>
        <v>9.2334631032547692E-4</v>
      </c>
      <c r="L76" s="9">
        <f>G76/0.84</f>
        <v>9.6731518224573777E-4</v>
      </c>
      <c r="M76" s="11">
        <f>Table25711131525233335373941454951535912141618202224[[#This Row],[Thresh]]</f>
        <v>9.2334631032547692E-4</v>
      </c>
      <c r="N76" s="9">
        <f>Table25711131525233335373941454951535912141618202224[[#This Row],[T (400)]]*2</f>
        <v>1.8466926206509538E-3</v>
      </c>
      <c r="O76" s="9">
        <f>Table25711131525233335373941454951535912141618202224[[#This Row],[I]]</f>
        <v>8.3796296296296299E-4</v>
      </c>
      <c r="P76" s="9"/>
      <c r="Q76" s="24"/>
      <c r="R76" s="9"/>
      <c r="S76" s="12"/>
      <c r="V76" s="23" t="s">
        <v>48</v>
      </c>
      <c r="W76" s="108"/>
    </row>
    <row r="77" spans="1:23" ht="17.149999999999999" customHeight="1" x14ac:dyDescent="0.35">
      <c r="A77" s="8" t="s">
        <v>102</v>
      </c>
      <c r="B77" s="9">
        <v>1.0474537037037037E-2</v>
      </c>
      <c r="C77" s="9">
        <v>3.0671296296296297E-3</v>
      </c>
      <c r="D77" s="9">
        <f>B77*E77</f>
        <v>6.094085648148148E-3</v>
      </c>
      <c r="E77" s="10">
        <v>0.58179999999999998</v>
      </c>
      <c r="F77" s="9">
        <f>C77/4</f>
        <v>7.6678240740740743E-4</v>
      </c>
      <c r="G77" s="9">
        <f>D77/7.5</f>
        <v>8.1254475308641973E-4</v>
      </c>
      <c r="H77" s="9">
        <f>B77/12.5</f>
        <v>8.3796296296296299E-4</v>
      </c>
      <c r="I77" s="9">
        <f>G77/0.93</f>
        <v>8.7370403557679541E-4</v>
      </c>
      <c r="J77" s="9">
        <f>G77/0.92</f>
        <v>8.8320081857219527E-4</v>
      </c>
      <c r="K77" s="9">
        <f>G77/0.88</f>
        <v>9.2334631032547692E-4</v>
      </c>
      <c r="L77" s="9">
        <f>G77/0.84</f>
        <v>9.6731518224573777E-4</v>
      </c>
      <c r="M77" s="11">
        <f>Table25711131525233335373941454951535912141618202224[[#This Row],[Thresh]]</f>
        <v>9.2334631032547692E-4</v>
      </c>
      <c r="N77" s="9">
        <f>Table25711131525233335373941454951535912141618202224[[#This Row],[T (400)]]*2</f>
        <v>1.8466926206509538E-3</v>
      </c>
      <c r="O77" s="9">
        <f>Table25711131525233335373941454951535912141618202224[[#This Row],[I]]</f>
        <v>8.3796296296296299E-4</v>
      </c>
      <c r="P77" s="9"/>
      <c r="Q77" s="24"/>
      <c r="R77" s="9"/>
      <c r="S77" s="12"/>
      <c r="V77" s="23" t="s">
        <v>145</v>
      </c>
      <c r="W77" s="108"/>
    </row>
    <row r="78" spans="1:23" ht="17.149999999999999" customHeight="1" x14ac:dyDescent="0.35">
      <c r="A78" s="8" t="s">
        <v>104</v>
      </c>
      <c r="B78" s="9">
        <v>1.064814814814815E-2</v>
      </c>
      <c r="C78" s="9">
        <v>3.1249999999999997E-3</v>
      </c>
      <c r="D78" s="9">
        <f>B78*E78</f>
        <v>6.1950925925925932E-3</v>
      </c>
      <c r="E78" s="10">
        <v>0.58179999999999998</v>
      </c>
      <c r="F78" s="9">
        <f>C78/4</f>
        <v>7.8124999999999993E-4</v>
      </c>
      <c r="G78" s="9">
        <f>D78/7.5</f>
        <v>8.2601234567901242E-4</v>
      </c>
      <c r="H78" s="9">
        <f>B78/12.5</f>
        <v>8.5185185185185201E-4</v>
      </c>
      <c r="I78" s="9">
        <f>G78/0.93</f>
        <v>8.8818531793442195E-4</v>
      </c>
      <c r="J78" s="9">
        <f>G78/0.92</f>
        <v>8.9783950617283953E-4</v>
      </c>
      <c r="K78" s="9">
        <f>G78/0.88</f>
        <v>9.3865039281705955E-4</v>
      </c>
      <c r="L78" s="9">
        <f>G78/0.84</f>
        <v>9.8334803057025292E-4</v>
      </c>
      <c r="M78" s="11">
        <f>Table25711131525233335373941454951535912141618202224[[#This Row],[Thresh]]</f>
        <v>9.3865039281705955E-4</v>
      </c>
      <c r="N78" s="9">
        <f>Table25711131525233335373941454951535912141618202224[[#This Row],[T (400)]]*2</f>
        <v>1.8773007856341191E-3</v>
      </c>
      <c r="O78" s="9">
        <f>Table25711131525233335373941454951535912141618202224[[#This Row],[I]]</f>
        <v>8.5185185185185201E-4</v>
      </c>
      <c r="P78" s="24"/>
      <c r="Q78" s="24"/>
      <c r="R78" s="24"/>
      <c r="S78" s="24"/>
      <c r="T78" s="24"/>
      <c r="U78" s="24"/>
      <c r="V78" s="23" t="s">
        <v>168</v>
      </c>
      <c r="W78" s="108"/>
    </row>
    <row r="79" spans="1:23" ht="17.149999999999999" customHeight="1" x14ac:dyDescent="0.35">
      <c r="A79" s="8" t="s">
        <v>106</v>
      </c>
      <c r="B79" s="9">
        <v>1.064814814814815E-2</v>
      </c>
      <c r="C79" s="9">
        <v>3.1249999999999997E-3</v>
      </c>
      <c r="D79" s="9">
        <f t="shared" ref="D79:D82" si="72">B79*E79</f>
        <v>6.1950925925925932E-3</v>
      </c>
      <c r="E79" s="10">
        <v>0.58179999999999998</v>
      </c>
      <c r="F79" s="9">
        <f t="shared" ref="F79:F82" si="73">C79/4</f>
        <v>7.8124999999999993E-4</v>
      </c>
      <c r="G79" s="9">
        <f t="shared" ref="G79:G82" si="74">D79/7.5</f>
        <v>8.2601234567901242E-4</v>
      </c>
      <c r="H79" s="9">
        <f t="shared" ref="H79:H82" si="75">B79/12.5</f>
        <v>8.5185185185185201E-4</v>
      </c>
      <c r="I79" s="9">
        <f t="shared" ref="I79:I82" si="76">G79/0.93</f>
        <v>8.8818531793442195E-4</v>
      </c>
      <c r="J79" s="9">
        <f t="shared" ref="J79:J82" si="77">G79/0.92</f>
        <v>8.9783950617283953E-4</v>
      </c>
      <c r="K79" s="9">
        <f t="shared" ref="K79:K82" si="78">G79/0.88</f>
        <v>9.3865039281705955E-4</v>
      </c>
      <c r="L79" s="9">
        <f t="shared" ref="L79:L82" si="79">G79/0.84</f>
        <v>9.8334803057025292E-4</v>
      </c>
      <c r="M79" s="11">
        <f>Table25711131525233335373941454951535912141618202224[[#This Row],[Thresh]]</f>
        <v>9.3865039281705955E-4</v>
      </c>
      <c r="N79" s="9">
        <f>Table25711131525233335373941454951535912141618202224[[#This Row],[T (400)]]*2</f>
        <v>1.8773007856341191E-3</v>
      </c>
      <c r="O79" s="9">
        <f>Table25711131525233335373941454951535912141618202224[[#This Row],[I]]</f>
        <v>8.5185185185185201E-4</v>
      </c>
      <c r="P79" s="9"/>
      <c r="Q79" s="24"/>
      <c r="R79" s="9"/>
      <c r="S79" s="12"/>
      <c r="V79" s="23" t="s">
        <v>145</v>
      </c>
      <c r="W79" s="108"/>
    </row>
    <row r="80" spans="1:23" ht="17.149999999999999" customHeight="1" x14ac:dyDescent="0.35">
      <c r="A80" s="8" t="s">
        <v>103</v>
      </c>
      <c r="B80" s="9">
        <v>1.064814814814815E-2</v>
      </c>
      <c r="C80" s="9">
        <v>3.0671296296296297E-3</v>
      </c>
      <c r="D80" s="9">
        <f t="shared" si="72"/>
        <v>6.1950925925925932E-3</v>
      </c>
      <c r="E80" s="10">
        <v>0.58179999999999998</v>
      </c>
      <c r="F80" s="9">
        <f t="shared" si="73"/>
        <v>7.6678240740740743E-4</v>
      </c>
      <c r="G80" s="9">
        <f t="shared" si="74"/>
        <v>8.2601234567901242E-4</v>
      </c>
      <c r="H80" s="9">
        <f t="shared" si="75"/>
        <v>8.5185185185185201E-4</v>
      </c>
      <c r="I80" s="9">
        <f t="shared" si="76"/>
        <v>8.8818531793442195E-4</v>
      </c>
      <c r="J80" s="9">
        <f t="shared" si="77"/>
        <v>8.9783950617283953E-4</v>
      </c>
      <c r="K80" s="9">
        <f t="shared" si="78"/>
        <v>9.3865039281705955E-4</v>
      </c>
      <c r="L80" s="9">
        <f t="shared" si="79"/>
        <v>9.8334803057025292E-4</v>
      </c>
      <c r="M80" s="11">
        <f>Table25711131525233335373941454951535912141618202224[[#This Row],[Thresh]]</f>
        <v>9.3865039281705955E-4</v>
      </c>
      <c r="N80" s="9">
        <f>Table25711131525233335373941454951535912141618202224[[#This Row],[T (400)]]*2</f>
        <v>1.8773007856341191E-3</v>
      </c>
      <c r="O80" s="9">
        <f>Table25711131525233335373941454951535912141618202224[[#This Row],[I]]</f>
        <v>8.5185185185185201E-4</v>
      </c>
      <c r="P80" s="9"/>
      <c r="Q80" s="24"/>
      <c r="R80" s="9"/>
      <c r="S80" s="12"/>
      <c r="U80" s="26"/>
      <c r="V80" s="23" t="s">
        <v>145</v>
      </c>
      <c r="W80" s="108"/>
    </row>
    <row r="81" spans="1:23" ht="17.149999999999999" customHeight="1" x14ac:dyDescent="0.35">
      <c r="A81" s="8" t="s">
        <v>105</v>
      </c>
      <c r="B81" s="9">
        <v>1.064814814814815E-2</v>
      </c>
      <c r="C81" s="9">
        <v>3.1249999999999997E-3</v>
      </c>
      <c r="D81" s="9">
        <f t="shared" si="72"/>
        <v>6.1950925925925932E-3</v>
      </c>
      <c r="E81" s="10">
        <v>0.58179999999999998</v>
      </c>
      <c r="F81" s="9">
        <f t="shared" si="73"/>
        <v>7.8124999999999993E-4</v>
      </c>
      <c r="G81" s="9">
        <f t="shared" si="74"/>
        <v>8.2601234567901242E-4</v>
      </c>
      <c r="H81" s="9">
        <f t="shared" si="75"/>
        <v>8.5185185185185201E-4</v>
      </c>
      <c r="I81" s="9">
        <f t="shared" si="76"/>
        <v>8.8818531793442195E-4</v>
      </c>
      <c r="J81" s="9">
        <f t="shared" si="77"/>
        <v>8.9783950617283953E-4</v>
      </c>
      <c r="K81" s="9">
        <f t="shared" si="78"/>
        <v>9.3865039281705955E-4</v>
      </c>
      <c r="L81" s="9">
        <f t="shared" si="79"/>
        <v>9.8334803057025292E-4</v>
      </c>
      <c r="M81" s="11">
        <f>Table25711131525233335373941454951535912141618202224[[#This Row],[Thresh]]</f>
        <v>9.3865039281705955E-4</v>
      </c>
      <c r="N81" s="9">
        <f>Table25711131525233335373941454951535912141618202224[[#This Row],[T (400)]]*2</f>
        <v>1.8773007856341191E-3</v>
      </c>
      <c r="O81" s="9">
        <f>Table25711131525233335373941454951535912141618202224[[#This Row],[I]]</f>
        <v>8.5185185185185201E-4</v>
      </c>
      <c r="P81" s="9"/>
      <c r="Q81" s="24"/>
      <c r="R81" s="9"/>
      <c r="S81" s="12"/>
      <c r="V81" s="23" t="s">
        <v>145</v>
      </c>
      <c r="W81" s="108"/>
    </row>
    <row r="82" spans="1:23" ht="17.149999999999999" customHeight="1" x14ac:dyDescent="0.35">
      <c r="A82" s="8" t="s">
        <v>107</v>
      </c>
      <c r="B82" s="9">
        <v>1.0648148148148148E-2</v>
      </c>
      <c r="C82" s="9">
        <v>3.1249999999999997E-3</v>
      </c>
      <c r="D82" s="9">
        <f t="shared" si="72"/>
        <v>6.1950925925925923E-3</v>
      </c>
      <c r="E82" s="10">
        <v>0.58179999999999998</v>
      </c>
      <c r="F82" s="9">
        <f t="shared" si="73"/>
        <v>7.8124999999999993E-4</v>
      </c>
      <c r="G82" s="9">
        <f t="shared" si="74"/>
        <v>8.2601234567901232E-4</v>
      </c>
      <c r="H82" s="9">
        <f t="shared" si="75"/>
        <v>8.5185185185185179E-4</v>
      </c>
      <c r="I82" s="9">
        <f t="shared" si="76"/>
        <v>8.8818531793442184E-4</v>
      </c>
      <c r="J82" s="9">
        <f t="shared" si="77"/>
        <v>8.9783950617283942E-4</v>
      </c>
      <c r="K82" s="9">
        <f t="shared" si="78"/>
        <v>9.3865039281705945E-4</v>
      </c>
      <c r="L82" s="9">
        <f t="shared" si="79"/>
        <v>9.833480305702527E-4</v>
      </c>
      <c r="M82" s="11">
        <f>Table25711131525233335373941454951535912141618202224[[#This Row],[Thresh]]</f>
        <v>9.3865039281705945E-4</v>
      </c>
      <c r="N82" s="9">
        <f>Table25711131525233335373941454951535912141618202224[[#This Row],[T (400)]]*2</f>
        <v>1.8773007856341189E-3</v>
      </c>
      <c r="O82" s="9">
        <f>Table25711131525233335373941454951535912141618202224[[#This Row],[I]]</f>
        <v>8.5185185185185179E-4</v>
      </c>
      <c r="P82" s="9"/>
      <c r="Q82" s="24"/>
      <c r="R82" s="9"/>
      <c r="S82" s="12"/>
      <c r="V82" s="23" t="s">
        <v>145</v>
      </c>
      <c r="W82" s="108"/>
    </row>
    <row r="83" spans="1:23" ht="17.149999999999999" customHeight="1" x14ac:dyDescent="0.35">
      <c r="A83" s="8" t="s">
        <v>87</v>
      </c>
      <c r="B83" s="9">
        <v>1.0763888888888891E-2</v>
      </c>
      <c r="C83" s="9">
        <v>3.1249999999999997E-3</v>
      </c>
      <c r="D83" s="9">
        <f t="shared" si="64"/>
        <v>6.2624305555555567E-3</v>
      </c>
      <c r="E83" s="10">
        <v>0.58179999999999998</v>
      </c>
      <c r="F83" s="9">
        <f t="shared" si="65"/>
        <v>7.8124999999999993E-4</v>
      </c>
      <c r="G83" s="9">
        <f t="shared" si="66"/>
        <v>8.3499074074074085E-4</v>
      </c>
      <c r="H83" s="9">
        <f t="shared" si="67"/>
        <v>8.6111111111111121E-4</v>
      </c>
      <c r="I83" s="9">
        <f t="shared" si="68"/>
        <v>8.9783950617283953E-4</v>
      </c>
      <c r="J83" s="9">
        <f t="shared" si="69"/>
        <v>9.0759863123993567E-4</v>
      </c>
      <c r="K83" s="9">
        <f t="shared" si="70"/>
        <v>9.4885311447811464E-4</v>
      </c>
      <c r="L83" s="9">
        <f t="shared" si="71"/>
        <v>9.9403659611992969E-4</v>
      </c>
      <c r="M83" s="11">
        <f>Table25711131525233335373941454951535912141618202224[[#This Row],[Thresh]]</f>
        <v>9.4885311447811464E-4</v>
      </c>
      <c r="N83" s="9">
        <f>Table25711131525233335373941454951535912141618202224[[#This Row],[T (400)]]*2</f>
        <v>1.8977062289562293E-3</v>
      </c>
      <c r="O83" s="9">
        <f>Table25711131525233335373941454951535912141618202224[[#This Row],[I]]</f>
        <v>8.6111111111111121E-4</v>
      </c>
      <c r="P83" s="24"/>
      <c r="Q83" s="24"/>
      <c r="R83" s="24"/>
      <c r="S83" s="24"/>
      <c r="T83" s="24"/>
      <c r="U83" s="24"/>
      <c r="V83" s="23" t="s">
        <v>168</v>
      </c>
      <c r="W83" s="108"/>
    </row>
    <row r="84" spans="1:23" ht="17.149999999999999" customHeight="1" x14ac:dyDescent="0.35">
      <c r="A84" s="8" t="s">
        <v>108</v>
      </c>
      <c r="B84" s="9">
        <v>1.0763888888888891E-2</v>
      </c>
      <c r="C84" s="9">
        <v>3.1828703703703702E-3</v>
      </c>
      <c r="D84" s="9">
        <f t="shared" si="64"/>
        <v>6.2624305555555567E-3</v>
      </c>
      <c r="E84" s="10">
        <v>0.58179999999999998</v>
      </c>
      <c r="F84" s="9">
        <f t="shared" si="65"/>
        <v>7.9571759259259255E-4</v>
      </c>
      <c r="G84" s="9">
        <f t="shared" si="66"/>
        <v>8.3499074074074085E-4</v>
      </c>
      <c r="H84" s="9">
        <f t="shared" si="67"/>
        <v>8.6111111111111121E-4</v>
      </c>
      <c r="I84" s="9">
        <f t="shared" si="68"/>
        <v>8.9783950617283953E-4</v>
      </c>
      <c r="J84" s="9">
        <f t="shared" si="69"/>
        <v>9.0759863123993567E-4</v>
      </c>
      <c r="K84" s="9">
        <f t="shared" si="70"/>
        <v>9.4885311447811464E-4</v>
      </c>
      <c r="L84" s="9">
        <f t="shared" si="71"/>
        <v>9.9403659611992969E-4</v>
      </c>
      <c r="M84" s="11">
        <f>Table25711131525233335373941454951535912141618202224[[#This Row],[Thresh]]</f>
        <v>9.4885311447811464E-4</v>
      </c>
      <c r="N84" s="9">
        <f>Table25711131525233335373941454951535912141618202224[[#This Row],[T (400)]]*2</f>
        <v>1.8977062289562293E-3</v>
      </c>
      <c r="O84" s="9">
        <f>Table25711131525233335373941454951535912141618202224[[#This Row],[I]]</f>
        <v>8.6111111111111121E-4</v>
      </c>
      <c r="P84" s="24"/>
      <c r="Q84" s="24"/>
      <c r="R84" s="24"/>
      <c r="S84" s="24"/>
      <c r="T84" s="24"/>
      <c r="U84" s="24"/>
      <c r="V84" s="23" t="s">
        <v>168</v>
      </c>
      <c r="W84" s="108"/>
    </row>
    <row r="85" spans="1:23" ht="17.149999999999999" customHeight="1" x14ac:dyDescent="0.35">
      <c r="A85" s="8" t="s">
        <v>109</v>
      </c>
      <c r="B85" s="9">
        <v>1.0763888888888889E-2</v>
      </c>
      <c r="C85" s="9">
        <v>3.1249999999999997E-3</v>
      </c>
      <c r="D85" s="9">
        <f>B85*E85</f>
        <v>6.2624305555555549E-3</v>
      </c>
      <c r="E85" s="10">
        <v>0.58179999999999998</v>
      </c>
      <c r="F85" s="9">
        <f>C85/4</f>
        <v>7.8124999999999993E-4</v>
      </c>
      <c r="G85" s="9">
        <f>D85/7.5</f>
        <v>8.3499074074074064E-4</v>
      </c>
      <c r="H85" s="9">
        <f>B85/12.5</f>
        <v>8.611111111111111E-4</v>
      </c>
      <c r="I85" s="9">
        <f>G85/0.93</f>
        <v>8.9783950617283931E-4</v>
      </c>
      <c r="J85" s="9">
        <f>G85/0.92</f>
        <v>9.0759863123993545E-4</v>
      </c>
      <c r="K85" s="9">
        <f>G85/0.88</f>
        <v>9.4885311447811432E-4</v>
      </c>
      <c r="L85" s="9">
        <f>G85/0.84</f>
        <v>9.9403659611992947E-4</v>
      </c>
      <c r="M85" s="11">
        <f>Table25711131525233335373941454951535912141618202224[[#This Row],[Thresh]]</f>
        <v>9.4885311447811432E-4</v>
      </c>
      <c r="N85" s="9">
        <f>Table25711131525233335373941454951535912141618202224[[#This Row],[T (400)]]*2</f>
        <v>1.8977062289562286E-3</v>
      </c>
      <c r="O85" s="9">
        <f>Table25711131525233335373941454951535912141618202224[[#This Row],[I]]</f>
        <v>8.611111111111111E-4</v>
      </c>
      <c r="P85" s="24"/>
      <c r="Q85" s="24"/>
      <c r="R85" s="24"/>
      <c r="S85" s="24"/>
      <c r="T85" s="24"/>
      <c r="U85" s="24"/>
      <c r="V85" s="23" t="s">
        <v>168</v>
      </c>
      <c r="W85" s="104" t="s">
        <v>250</v>
      </c>
    </row>
    <row r="86" spans="1:23" ht="17.149999999999999" customHeight="1" x14ac:dyDescent="0.35">
      <c r="A86" s="8" t="s">
        <v>111</v>
      </c>
      <c r="B86" s="9">
        <v>1.087962962962963E-2</v>
      </c>
      <c r="C86" s="9">
        <v>3.1828703703703702E-3</v>
      </c>
      <c r="D86" s="9">
        <f t="shared" si="64"/>
        <v>6.3297685185185184E-3</v>
      </c>
      <c r="E86" s="10">
        <v>0.58179999999999998</v>
      </c>
      <c r="F86" s="9">
        <f t="shared" si="65"/>
        <v>7.9571759259259255E-4</v>
      </c>
      <c r="G86" s="9">
        <f t="shared" si="66"/>
        <v>8.4396913580246917E-4</v>
      </c>
      <c r="H86" s="9">
        <f t="shared" si="67"/>
        <v>8.7037037037037042E-4</v>
      </c>
      <c r="I86" s="9">
        <f t="shared" si="68"/>
        <v>9.0749369441125711E-4</v>
      </c>
      <c r="J86" s="9">
        <f t="shared" si="69"/>
        <v>9.173577563070317E-4</v>
      </c>
      <c r="K86" s="9">
        <f t="shared" si="70"/>
        <v>9.5905583613916951E-4</v>
      </c>
      <c r="L86" s="9">
        <f t="shared" si="71"/>
        <v>1.0047251616696062E-3</v>
      </c>
      <c r="M86" s="11">
        <f>Table25711131525233335373941454951535912141618202224[[#This Row],[Thresh]]</f>
        <v>9.5905583613916951E-4</v>
      </c>
      <c r="N86" s="9">
        <f>Table25711131525233335373941454951535912141618202224[[#This Row],[T (400)]]*2</f>
        <v>1.918111672278339E-3</v>
      </c>
      <c r="O86" s="9">
        <f>Table25711131525233335373941454951535912141618202224[[#This Row],[I]]</f>
        <v>8.7037037037037042E-4</v>
      </c>
      <c r="P86" s="24"/>
      <c r="Q86" s="24"/>
      <c r="R86" s="24"/>
      <c r="S86" s="24"/>
      <c r="T86" s="24"/>
      <c r="U86" s="24"/>
      <c r="V86" s="23" t="s">
        <v>168</v>
      </c>
      <c r="W86" s="104"/>
    </row>
    <row r="87" spans="1:23" ht="17.149999999999999" customHeight="1" x14ac:dyDescent="0.35">
      <c r="A87" s="8" t="s">
        <v>110</v>
      </c>
      <c r="B87" s="9">
        <v>1.087962962962963E-2</v>
      </c>
      <c r="C87" s="9">
        <v>3.1828703703703702E-3</v>
      </c>
      <c r="D87" s="9">
        <f>B87*E87</f>
        <v>6.3297685185185184E-3</v>
      </c>
      <c r="E87" s="10">
        <v>0.58179999999999998</v>
      </c>
      <c r="F87" s="9">
        <f>C87/4</f>
        <v>7.9571759259259255E-4</v>
      </c>
      <c r="G87" s="9">
        <f>D87/7.5</f>
        <v>8.4396913580246917E-4</v>
      </c>
      <c r="H87" s="9">
        <f>B87/12.5</f>
        <v>8.7037037037037042E-4</v>
      </c>
      <c r="I87" s="9">
        <f>G87/0.93</f>
        <v>9.0749369441125711E-4</v>
      </c>
      <c r="J87" s="9">
        <f>G87/0.92</f>
        <v>9.173577563070317E-4</v>
      </c>
      <c r="K87" s="9">
        <f>G87/0.88</f>
        <v>9.5905583613916951E-4</v>
      </c>
      <c r="L87" s="9">
        <f>G87/0.84</f>
        <v>1.0047251616696062E-3</v>
      </c>
      <c r="M87" s="11">
        <f>Table25711131525233335373941454951535912141618202224[[#This Row],[Thresh]]</f>
        <v>9.5905583613916951E-4</v>
      </c>
      <c r="N87" s="9">
        <f>Table25711131525233335373941454951535912141618202224[[#This Row],[T (400)]]*2</f>
        <v>1.918111672278339E-3</v>
      </c>
      <c r="O87" s="9">
        <f>Table25711131525233335373941454951535912141618202224[[#This Row],[I]]</f>
        <v>8.7037037037037042E-4</v>
      </c>
      <c r="P87" s="24"/>
      <c r="Q87" s="24"/>
      <c r="R87" s="24"/>
      <c r="S87" s="24"/>
      <c r="T87" s="24"/>
      <c r="U87" s="24"/>
      <c r="V87" s="23" t="s">
        <v>168</v>
      </c>
      <c r="W87" s="104"/>
    </row>
    <row r="88" spans="1:23" ht="17.149999999999999" customHeight="1" x14ac:dyDescent="0.35">
      <c r="A88" s="8" t="s">
        <v>94</v>
      </c>
      <c r="B88" s="9">
        <v>1.1689814814814814E-2</v>
      </c>
      <c r="C88" s="9">
        <v>3.472222222222222E-3</v>
      </c>
      <c r="D88" s="9">
        <f>B88*E88</f>
        <v>6.8011342592592585E-3</v>
      </c>
      <c r="E88" s="10">
        <v>0.58179999999999998</v>
      </c>
      <c r="F88" s="9">
        <f>C88/4</f>
        <v>8.6805555555555551E-4</v>
      </c>
      <c r="G88" s="9">
        <f>D88/7.5</f>
        <v>9.0681790123456785E-4</v>
      </c>
      <c r="H88" s="9">
        <f>B88/12.5</f>
        <v>9.3518518518518516E-4</v>
      </c>
      <c r="I88" s="9">
        <f>G88/0.93</f>
        <v>9.7507301208018041E-4</v>
      </c>
      <c r="J88" s="9">
        <f>G88/0.92</f>
        <v>9.8567163177670412E-4</v>
      </c>
      <c r="K88" s="9">
        <f>G88/0.88</f>
        <v>1.0304748877665545E-3</v>
      </c>
      <c r="L88" s="9">
        <f>G88/0.84</f>
        <v>1.0795451205173427E-3</v>
      </c>
      <c r="M88" s="11">
        <f>Table25711131525233335373941454951535912141618202224[[#This Row],[Thresh]]</f>
        <v>1.0304748877665545E-3</v>
      </c>
      <c r="N88" s="9">
        <f>Table25711131525233335373941454951535912141618202224[[#This Row],[T (400)]]*2</f>
        <v>2.0609497755331089E-3</v>
      </c>
      <c r="O88" s="9">
        <f>Table25711131525233335373941454951535912141618202224[[#This Row],[I]]</f>
        <v>9.3518518518518516E-4</v>
      </c>
      <c r="P88" s="9"/>
      <c r="Q88" s="24"/>
      <c r="R88" s="9"/>
      <c r="S88" s="12"/>
      <c r="V88" s="23" t="s">
        <v>251</v>
      </c>
      <c r="W88" s="104"/>
    </row>
    <row r="89" spans="1:23" ht="17.149999999999999" customHeight="1" x14ac:dyDescent="0.35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N89" s="9"/>
      <c r="O89" s="24"/>
      <c r="P89" s="9"/>
      <c r="Q89" s="24"/>
      <c r="R89" s="9"/>
      <c r="S89" s="12"/>
      <c r="V89" s="23"/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N90" s="9"/>
      <c r="O90" s="24"/>
      <c r="P90" s="9"/>
      <c r="Q90" s="24"/>
      <c r="R90" s="9"/>
      <c r="S90" s="12"/>
      <c r="V90" s="23"/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8F0-729D-4EB6-A479-0908B550097A}">
  <sheetPr>
    <pageSetUpPr fitToPage="1"/>
  </sheetPr>
  <dimension ref="A1:W99"/>
  <sheetViews>
    <sheetView topLeftCell="A24" workbookViewId="0">
      <selection activeCell="S4" sqref="S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252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117</v>
      </c>
      <c r="P1" s="6" t="s">
        <v>118</v>
      </c>
      <c r="Q1" s="6" t="s">
        <v>130</v>
      </c>
      <c r="R1" s="6" t="s">
        <v>120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253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Table146101214242232343638404448505248111315171921[[#This Row],[Thresh]]</f>
        <v>1.0712857744107744E-3</v>
      </c>
      <c r="N2" s="9">
        <f>Table146101214242232343638404448505248111315171921[[#This Row],[T (400)]]*2.5</f>
        <v>2.6782144360269359E-3</v>
      </c>
      <c r="O2" s="12">
        <f>Table146101214242232343638404448505248111315171921[[#This Row],[R]]/2</f>
        <v>4.3402777777777775E-4</v>
      </c>
      <c r="P2" s="9">
        <f>Table146101214242232343638404448505248111315171921[[#This Row],[R (200)]]*1.5</f>
        <v>6.5104166666666663E-4</v>
      </c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30" si="0">C3/4</f>
        <v>9.2592592592592585E-4</v>
      </c>
      <c r="G3" s="9">
        <f t="shared" ref="G3:G30" si="1">D3/7.5</f>
        <v>1.0100694444444445E-3</v>
      </c>
      <c r="H3" s="9">
        <f t="shared" ref="H3:H30" si="2">B3/12.5</f>
        <v>1.0416666666666667E-3</v>
      </c>
      <c r="I3" s="9">
        <f t="shared" ref="I3:I30" si="3">G3/0.93</f>
        <v>1.0860961768219832E-3</v>
      </c>
      <c r="J3" s="9">
        <f t="shared" ref="J3:J30" si="4">G3/0.92</f>
        <v>1.0979015700483092E-3</v>
      </c>
      <c r="K3" s="9">
        <f t="shared" ref="K3:K30" si="5">G3/0.88</f>
        <v>1.1478061868686869E-3</v>
      </c>
      <c r="L3" s="9">
        <f t="shared" ref="L3:L30" si="6">G3/0.84</f>
        <v>1.2024636243386244E-3</v>
      </c>
      <c r="M3" s="11">
        <f>Table146101214242232343638404448505248111315171921[[#This Row],[Thresh]]</f>
        <v>1.1478061868686869E-3</v>
      </c>
      <c r="N3" s="9">
        <f>Table146101214242232343638404448505248111315171921[[#This Row],[T (400)]]*2.5</f>
        <v>2.8695154671717171E-3</v>
      </c>
      <c r="O3" s="12">
        <f>Table146101214242232343638404448505248111315171921[[#This Row],[R]]/2</f>
        <v>4.6296296296296293E-4</v>
      </c>
      <c r="P3" s="9">
        <f>Table146101214242232343638404448505248111315171921[[#This Row],[R (200)]]*1.5</f>
        <v>6.9444444444444436E-4</v>
      </c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3.7615740740740739E-3</v>
      </c>
      <c r="D4" s="9">
        <f>B4*E4</f>
        <v>7.8785416666666674E-3</v>
      </c>
      <c r="E4" s="10">
        <v>0.58179999999999998</v>
      </c>
      <c r="F4" s="9">
        <f t="shared" si="0"/>
        <v>9.4039351851851847E-4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Table146101214242232343638404448505248111315171921[[#This Row],[Thresh]]</f>
        <v>1.1937184343434346E-3</v>
      </c>
      <c r="N4" s="9">
        <f>Table146101214242232343638404448505248111315171921[[#This Row],[T (400)]]*2.5</f>
        <v>2.9842960858585863E-3</v>
      </c>
      <c r="O4" s="12">
        <f>Table146101214242232343638404448505248111315171921[[#This Row],[R]]/2</f>
        <v>4.7019675925925923E-4</v>
      </c>
      <c r="P4" s="9">
        <f>Table146101214242232343638404448505248111315171921[[#This Row],[R (200)]]*1.5</f>
        <v>7.0529513888888888E-4</v>
      </c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56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57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58</v>
      </c>
      <c r="O7" s="15" t="s">
        <v>195</v>
      </c>
      <c r="P7" s="15" t="s">
        <v>196</v>
      </c>
      <c r="Q7" s="15" t="s">
        <v>117</v>
      </c>
      <c r="R7" s="15" t="s">
        <v>118</v>
      </c>
      <c r="S7" s="15"/>
      <c r="T7" s="15"/>
      <c r="U7" s="15"/>
      <c r="V7" s="17"/>
      <c r="W7" s="104"/>
    </row>
    <row r="8" spans="1:23" ht="17.149999999999999" customHeight="1" x14ac:dyDescent="0.35">
      <c r="A8" s="8" t="s">
        <v>28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Table146101214242232343638404448505248111315171921[[#This Row],[Thresh]]</f>
        <v>1.0304748877665545E-3</v>
      </c>
      <c r="N8" s="9">
        <f>Table146101214242232343638404448505248111315171921[[#This Row],[T (400)]]*2.5</f>
        <v>2.5761872194163863E-3</v>
      </c>
      <c r="O8" s="12">
        <f>Table146101214242232343638404448505248111315171921[[#This Row],[VO2]]</f>
        <v>9.0681790123456785E-4</v>
      </c>
      <c r="P8" s="9">
        <f>Table146101214242232343638404448505248111315171921[[#This Row],[R (200)]]*1.5</f>
        <v>1.3602268518518518E-3</v>
      </c>
      <c r="Q8" s="12">
        <f>Table146101214242232343638404448505248111315171921[[#This Row],[R]]/2</f>
        <v>4.1956018518518514E-4</v>
      </c>
      <c r="R8" s="9">
        <f>Table146101214242232343638404448505248111315171921[[#This Row],[.....]]*1.5</f>
        <v>6.2934027777777771E-4</v>
      </c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31</v>
      </c>
      <c r="B9" s="9">
        <v>1.1689814814814814E-2</v>
      </c>
      <c r="C9" s="9">
        <v>3.3564814814814811E-3</v>
      </c>
      <c r="D9" s="9">
        <f t="shared" ref="D9:D17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Table146101214242232343638404448505248111315171921[[#This Row],[Thresh]]</f>
        <v>1.0304748877665545E-3</v>
      </c>
      <c r="N9" s="9">
        <f>Table146101214242232343638404448505248111315171921[[#This Row],[T (400)]]*2.5</f>
        <v>2.5761872194163863E-3</v>
      </c>
      <c r="O9" s="12">
        <f>Table146101214242232343638404448505248111315171921[[#This Row],[VO2]]</f>
        <v>9.0681790123456785E-4</v>
      </c>
      <c r="P9" s="9">
        <f>Table146101214242232343638404448505248111315171921[[#This Row],[R (200)]]*1.5</f>
        <v>1.3602268518518518E-3</v>
      </c>
      <c r="Q9" s="12">
        <f>Table146101214242232343638404448505248111315171921[[#This Row],[R]]/2</f>
        <v>4.1956018518518514E-4</v>
      </c>
      <c r="R9" s="9">
        <f>Table146101214242232343638404448505248111315171921[[#This Row],[.....]]*1.5</f>
        <v>6.2934027777777771E-4</v>
      </c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52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Table146101214242232343638404448505248111315171921[[#This Row],[Thresh]]</f>
        <v>1.0406776094276093E-3</v>
      </c>
      <c r="N10" s="9">
        <f>Table146101214242232343638404448505248111315171921[[#This Row],[T (400)]]*2.5</f>
        <v>2.6016940235690234E-3</v>
      </c>
      <c r="O10" s="12">
        <f>Table146101214242232343638404448505248111315171921[[#This Row],[VO2]]</f>
        <v>9.1579629629629628E-4</v>
      </c>
      <c r="P10" s="9">
        <f>Table146101214242232343638404448505248111315171921[[#This Row],[R (200)]]*1.5</f>
        <v>1.3736944444444443E-3</v>
      </c>
      <c r="Q10" s="12">
        <f>Table146101214242232343638404448505248111315171921[[#This Row],[R]]/2</f>
        <v>4.3402777777777775E-4</v>
      </c>
      <c r="R10" s="9">
        <f>Table146101214242232343638404448505248111315171921[[#This Row],[.....]]*1.5</f>
        <v>6.5104166666666663E-4</v>
      </c>
      <c r="S10" s="12"/>
      <c r="T10" s="9"/>
      <c r="U10" s="9"/>
      <c r="V10" s="13" t="s">
        <v>30</v>
      </c>
      <c r="W10" s="104" t="s">
        <v>254</v>
      </c>
    </row>
    <row r="11" spans="1:23" ht="17.149999999999999" customHeight="1" x14ac:dyDescent="0.35">
      <c r="A11" s="8" t="s">
        <v>36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Table146101214242232343638404448505248111315171921[[#This Row],[Thresh]]</f>
        <v>1.1478061868686869E-3</v>
      </c>
      <c r="N11" s="9">
        <f>Table146101214242232343638404448505248111315171921[[#This Row],[T (400)]]*2.5</f>
        <v>2.8695154671717171E-3</v>
      </c>
      <c r="O11" s="12">
        <f>Table146101214242232343638404448505248111315171921[[#This Row],[VO2]]</f>
        <v>1.0100694444444445E-3</v>
      </c>
      <c r="P11" s="9">
        <f>Table146101214242232343638404448505248111315171921[[#This Row],[R (200)]]*1.5</f>
        <v>1.5151041666666668E-3</v>
      </c>
      <c r="Q11" s="12">
        <f>Table146101214242232343638404448505248111315171921[[#This Row],[R]]/2</f>
        <v>4.7019675925925923E-4</v>
      </c>
      <c r="R11" s="9">
        <f>Table146101214242232343638404448505248111315171921[[#This Row],[.....]]*1.5</f>
        <v>7.0529513888888888E-4</v>
      </c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Table146101214242232343638404448505248111315171921[[#This Row],[Thresh]]</f>
        <v>1.1478061868686869E-3</v>
      </c>
      <c r="N12" s="9">
        <f>Table146101214242232343638404448505248111315171921[[#This Row],[T (400)]]*2.5</f>
        <v>2.8695154671717171E-3</v>
      </c>
      <c r="O12" s="12">
        <f>Table146101214242232343638404448505248111315171921[[#This Row],[VO2]]</f>
        <v>1.0100694444444445E-3</v>
      </c>
      <c r="P12" s="9">
        <f>Table146101214242232343638404448505248111315171921[[#This Row],[R (200)]]*1.5</f>
        <v>1.5151041666666668E-3</v>
      </c>
      <c r="Q12" s="12">
        <f>Table146101214242232343638404448505248111315171921[[#This Row],[R]]/2</f>
        <v>4.7743055555555554E-4</v>
      </c>
      <c r="R12" s="9">
        <f>Table146101214242232343638404448505248111315171921[[#This Row],[.....]]*1.5</f>
        <v>7.1614583333333328E-4</v>
      </c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40</v>
      </c>
      <c r="B13" s="9">
        <v>1.3020833333333334E-2</v>
      </c>
      <c r="C13" s="9">
        <v>3.8194444444444443E-3</v>
      </c>
      <c r="D13" s="9">
        <f>B13*E13</f>
        <v>7.5755208333333334E-3</v>
      </c>
      <c r="E13" s="10">
        <v>0.58179999999999998</v>
      </c>
      <c r="F13" s="9">
        <f>C13/4</f>
        <v>9.5486111111111108E-4</v>
      </c>
      <c r="G13" s="9">
        <f>D13/7.5</f>
        <v>1.0100694444444445E-3</v>
      </c>
      <c r="H13" s="9">
        <f>B13/12.5</f>
        <v>1.0416666666666667E-3</v>
      </c>
      <c r="I13" s="9">
        <f>G13/0.93</f>
        <v>1.0860961768219832E-3</v>
      </c>
      <c r="J13" s="9">
        <f>G13/0.92</f>
        <v>1.0979015700483092E-3</v>
      </c>
      <c r="K13" s="9">
        <f>G13/0.88</f>
        <v>1.1478061868686869E-3</v>
      </c>
      <c r="L13" s="9">
        <f>G13/0.84</f>
        <v>1.2024636243386244E-3</v>
      </c>
      <c r="M13" s="11">
        <f>Table146101214242232343638404448505248111315171921[[#This Row],[Thresh]]</f>
        <v>1.1478061868686869E-3</v>
      </c>
      <c r="N13" s="9">
        <f>Table146101214242232343638404448505248111315171921[[#This Row],[T (400)]]*2.5</f>
        <v>2.8695154671717171E-3</v>
      </c>
      <c r="O13" s="12">
        <f>Table146101214242232343638404448505248111315171921[[#This Row],[VO2]]</f>
        <v>1.0100694444444445E-3</v>
      </c>
      <c r="P13" s="9">
        <f>Table146101214242232343638404448505248111315171921[[#This Row],[R (200)]]*1.5</f>
        <v>1.5151041666666668E-3</v>
      </c>
      <c r="Q13" s="12">
        <f>Table146101214242232343638404448505248111315171921[[#This Row],[R]]/2</f>
        <v>4.7743055555555554E-4</v>
      </c>
      <c r="R13" s="9">
        <f>Table146101214242232343638404448505248111315171921[[#This Row],[.....]]*1.5</f>
        <v>7.1614583333333328E-4</v>
      </c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41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>
        <f>Table146101214242232343638404448505248111315171921[[#This Row],[Thresh]]</f>
        <v>1.1937184343434346E-3</v>
      </c>
      <c r="N14" s="9">
        <f>Table146101214242232343638404448505248111315171921[[#This Row],[T (400)]]*2.5</f>
        <v>2.9842960858585863E-3</v>
      </c>
      <c r="O14" s="12">
        <f>Table146101214242232343638404448505248111315171921[[#This Row],[VO2]]</f>
        <v>1.0504722222222224E-3</v>
      </c>
      <c r="P14" s="9">
        <f>Table146101214242232343638404448505248111315171921[[#This Row],[R (200)]]*1.5</f>
        <v>1.5757083333333335E-3</v>
      </c>
      <c r="Q14" s="12">
        <f>Table146101214242232343638404448505248111315171921[[#This Row],[R]]/2</f>
        <v>5.0636574074074071E-4</v>
      </c>
      <c r="R14" s="9">
        <f>Table146101214242232343638404448505248111315171921[[#This Row],[.....]]*1.5</f>
        <v>7.5954861111111101E-4</v>
      </c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42</v>
      </c>
      <c r="B15" s="9">
        <v>1.4236111111111111E-2</v>
      </c>
      <c r="C15" s="9">
        <v>4.1666666666666666E-3</v>
      </c>
      <c r="D15" s="9">
        <f>B15*E15</f>
        <v>8.2825694444444448E-3</v>
      </c>
      <c r="E15" s="10">
        <v>0.58179999999999998</v>
      </c>
      <c r="F15" s="9">
        <f>C15/4</f>
        <v>1.0416666666666667E-3</v>
      </c>
      <c r="G15" s="9">
        <f>D15/7.5</f>
        <v>1.1043425925925927E-3</v>
      </c>
      <c r="H15" s="9">
        <f>B15/12.5</f>
        <v>1.1388888888888889E-3</v>
      </c>
      <c r="I15" s="9">
        <f>G15/0.93</f>
        <v>1.1874651533253684E-3</v>
      </c>
      <c r="J15" s="9">
        <f>G15/0.92</f>
        <v>1.2003723832528181E-3</v>
      </c>
      <c r="K15" s="9">
        <f>G15/0.88</f>
        <v>1.2549347643097644E-3</v>
      </c>
      <c r="L15" s="9">
        <f>G15/0.84</f>
        <v>1.3146935626102295E-3</v>
      </c>
      <c r="M15" s="11">
        <f>Table146101214242232343638404448505248111315171921[[#This Row],[Thresh]]</f>
        <v>1.2549347643097644E-3</v>
      </c>
      <c r="N15" s="9">
        <f>Table146101214242232343638404448505248111315171921[[#This Row],[T (400)]]*2.5</f>
        <v>3.1373369107744109E-3</v>
      </c>
      <c r="O15" s="12">
        <f>Table146101214242232343638404448505248111315171921[[#This Row],[VO2]]</f>
        <v>1.1043425925925927E-3</v>
      </c>
      <c r="P15" s="9">
        <f>Table146101214242232343638404448505248111315171921[[#This Row],[R (200)]]*1.5</f>
        <v>1.6565138888888892E-3</v>
      </c>
      <c r="Q15" s="12">
        <f>Table146101214242232343638404448505248111315171921[[#This Row],[R]]/2</f>
        <v>5.2083333333333333E-4</v>
      </c>
      <c r="R15" s="9">
        <f>Table146101214242232343638404448505248111315171921[[#This Row],[.....]]*1.5</f>
        <v>7.8125000000000004E-4</v>
      </c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43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Table146101214242232343638404448505248111315171921[[#This Row],[Thresh]]</f>
        <v>1.2549347643097644E-3</v>
      </c>
      <c r="N16" s="9">
        <f>Table146101214242232343638404448505248111315171921[[#This Row],[T (400)]]*2.5</f>
        <v>3.1373369107744109E-3</v>
      </c>
      <c r="O16" s="12">
        <f>Table146101214242232343638404448505248111315171921[[#This Row],[VO2]]</f>
        <v>1.1043425925925927E-3</v>
      </c>
      <c r="P16" s="9">
        <f>Table146101214242232343638404448505248111315171921[[#This Row],[R (200)]]*1.5</f>
        <v>1.6565138888888892E-3</v>
      </c>
      <c r="Q16" s="12">
        <f>Table146101214242232343638404448505248111315171921[[#This Row],[R]]/2</f>
        <v>5.2083333333333333E-4</v>
      </c>
      <c r="R16" s="9">
        <f>Table146101214242232343638404448505248111315171921[[#This Row],[.....]]*1.5</f>
        <v>7.8125000000000004E-4</v>
      </c>
      <c r="S16" s="12"/>
      <c r="T16" s="9"/>
      <c r="U16" s="9"/>
      <c r="V16" s="13" t="s">
        <v>30</v>
      </c>
      <c r="W16" s="104"/>
    </row>
    <row r="17" spans="1:23" ht="17.149999999999999" customHeight="1" x14ac:dyDescent="0.35">
      <c r="A17" s="8" t="s">
        <v>44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Table146101214242232343638404448505248111315171921[[#This Row],[Thresh]]</f>
        <v>1.2549347643097644E-3</v>
      </c>
      <c r="N17" s="9">
        <f>Table146101214242232343638404448505248111315171921[[#This Row],[T (400)]]*2.5</f>
        <v>3.1373369107744109E-3</v>
      </c>
      <c r="O17" s="12">
        <f>Table146101214242232343638404448505248111315171921[[#This Row],[VO2]]</f>
        <v>1.1043425925925927E-3</v>
      </c>
      <c r="P17" s="9">
        <f>Table146101214242232343638404448505248111315171921[[#This Row],[R (200)]]*1.5</f>
        <v>1.6565138888888892E-3</v>
      </c>
      <c r="Q17" s="12">
        <f>Table146101214242232343638404448505248111315171921[[#This Row],[R]]/2</f>
        <v>5.2083333333333333E-4</v>
      </c>
      <c r="R17" s="9">
        <f>Table146101214242232343638404448505248111315171921[[#This Row],[.....]]*1.5</f>
        <v>7.8125000000000004E-4</v>
      </c>
      <c r="S17" s="12"/>
      <c r="T17" s="9"/>
      <c r="U17" s="9"/>
      <c r="V17" s="13" t="s">
        <v>30</v>
      </c>
      <c r="W17" s="104"/>
    </row>
    <row r="18" spans="1:23" ht="17.149999999999999" customHeight="1" x14ac:dyDescent="0.35">
      <c r="A18" s="8"/>
      <c r="B18" s="9"/>
      <c r="C18" s="9"/>
      <c r="D18" s="9"/>
      <c r="E18" s="10"/>
      <c r="F18" s="9">
        <f t="shared" si="0"/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11"/>
      <c r="N18" s="9"/>
      <c r="O18" s="9"/>
      <c r="P18" s="9"/>
      <c r="Q18" s="12"/>
      <c r="R18" s="9"/>
      <c r="S18" s="12"/>
      <c r="T18" s="9"/>
      <c r="U18" s="9"/>
      <c r="V18" s="13"/>
      <c r="W18" s="104"/>
    </row>
    <row r="19" spans="1:23" ht="17.149999999999999" customHeight="1" x14ac:dyDescent="0.35">
      <c r="A19" s="14"/>
      <c r="B19" s="15"/>
      <c r="C19" s="15"/>
      <c r="D19" s="15"/>
      <c r="E19" s="16"/>
      <c r="F19" s="15">
        <f t="shared" si="0"/>
        <v>0</v>
      </c>
      <c r="G19" s="15">
        <f t="shared" si="1"/>
        <v>0</v>
      </c>
      <c r="H19" s="15">
        <f t="shared" si="2"/>
        <v>0</v>
      </c>
      <c r="I19" s="15">
        <f t="shared" si="3"/>
        <v>0</v>
      </c>
      <c r="J19" s="15">
        <f t="shared" si="4"/>
        <v>0</v>
      </c>
      <c r="K19" s="15">
        <f t="shared" si="5"/>
        <v>0</v>
      </c>
      <c r="L19" s="15">
        <f t="shared" si="6"/>
        <v>0</v>
      </c>
      <c r="M19" s="30" t="s">
        <v>12</v>
      </c>
      <c r="N19" s="15" t="s">
        <v>58</v>
      </c>
      <c r="O19" s="15" t="s">
        <v>136</v>
      </c>
      <c r="P19" s="15" t="s">
        <v>137</v>
      </c>
      <c r="Q19" s="15" t="s">
        <v>139</v>
      </c>
      <c r="R19" s="15" t="s">
        <v>117</v>
      </c>
      <c r="S19" s="15" t="s">
        <v>118</v>
      </c>
      <c r="T19" s="15"/>
      <c r="U19" s="15"/>
      <c r="V19" s="17"/>
      <c r="W19" s="108" t="s">
        <v>255</v>
      </c>
    </row>
    <row r="20" spans="1:23" ht="17.149999999999999" customHeight="1" x14ac:dyDescent="0.35">
      <c r="A20" s="8" t="s">
        <v>32</v>
      </c>
      <c r="B20" s="9">
        <v>1.238425925925926E-2</v>
      </c>
      <c r="C20" s="9">
        <v>3.5879629629629629E-3</v>
      </c>
      <c r="D20" s="9">
        <f>B20*E20</f>
        <v>7.2051620370370368E-3</v>
      </c>
      <c r="E20" s="10">
        <v>0.58179999999999998</v>
      </c>
      <c r="F20" s="9">
        <f>C20/4</f>
        <v>8.9699074074074073E-4</v>
      </c>
      <c r="G20" s="9">
        <f>D20/7.5</f>
        <v>9.6068827160493821E-4</v>
      </c>
      <c r="H20" s="9">
        <f>B20/12.5</f>
        <v>9.9074074074074082E-4</v>
      </c>
      <c r="I20" s="9">
        <f>G20/0.93</f>
        <v>1.0329981415106862E-3</v>
      </c>
      <c r="J20" s="9">
        <f>G20/0.92</f>
        <v>1.0442263821792807E-3</v>
      </c>
      <c r="K20" s="9">
        <f>G20/0.88</f>
        <v>1.0916912177328843E-3</v>
      </c>
      <c r="L20" s="9">
        <f>G20/0.84</f>
        <v>1.1436765138154027E-3</v>
      </c>
      <c r="M20" s="11">
        <f>Table146101214242232343638404448505248111315171921[[#This Row],[Thresh]]</f>
        <v>1.0916912177328843E-3</v>
      </c>
      <c r="N20" s="9">
        <f>Table146101214242232343638404448505248111315171921[[#This Row],[T (400)]]*2.5</f>
        <v>2.7292280443322109E-3</v>
      </c>
      <c r="O20" s="12">
        <f>Table146101214242232343638404448505248111315171921[[#This Row],[CV]]</f>
        <v>1.0442263821792807E-3</v>
      </c>
      <c r="P20" s="9">
        <f>Table146101214242232343638404448505248111315171921[[#This Row],[CV]]*1.5</f>
        <v>1.566339573268921E-3</v>
      </c>
      <c r="Q20" s="12">
        <f>Table146101214242232343638404448505248111315171921[[#This Row],[VO2]]</f>
        <v>9.6068827160493821E-4</v>
      </c>
      <c r="R20" s="9">
        <f>Table146101214242232343638404448505248111315171921[[#This Row],[R]]/2</f>
        <v>4.4849537037037037E-4</v>
      </c>
      <c r="S20" s="12">
        <f>Table146101214242232343638404448505248111315171921[[#This Row],[......]]*1.5</f>
        <v>6.7274305555555555E-4</v>
      </c>
      <c r="T20" s="9"/>
      <c r="U20" s="9"/>
      <c r="V20" s="13" t="s">
        <v>34</v>
      </c>
      <c r="W20" s="108"/>
    </row>
    <row r="21" spans="1:23" ht="17.149999999999999" customHeight="1" x14ac:dyDescent="0.35">
      <c r="A21" s="8" t="s">
        <v>37</v>
      </c>
      <c r="B21" s="9">
        <v>1.238425925925926E-2</v>
      </c>
      <c r="C21" s="9">
        <v>3.8194444444444443E-3</v>
      </c>
      <c r="D21" s="9">
        <f>B21*E21</f>
        <v>7.2051620370370368E-3</v>
      </c>
      <c r="E21" s="10">
        <v>0.58179999999999998</v>
      </c>
      <c r="F21" s="9">
        <f>C21/4</f>
        <v>9.5486111111111108E-4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Table146101214242232343638404448505248111315171921[[#This Row],[Thresh]]</f>
        <v>1.0916912177328843E-3</v>
      </c>
      <c r="N21" s="9">
        <f>Table146101214242232343638404448505248111315171921[[#This Row],[T (400)]]*2.5</f>
        <v>2.7292280443322109E-3</v>
      </c>
      <c r="O21" s="12">
        <f>Table146101214242232343638404448505248111315171921[[#This Row],[CV]]</f>
        <v>1.0442263821792807E-3</v>
      </c>
      <c r="P21" s="9">
        <f>Table146101214242232343638404448505248111315171921[[#This Row],[CV]]*1.5</f>
        <v>1.566339573268921E-3</v>
      </c>
      <c r="Q21" s="12">
        <f>Table146101214242232343638404448505248111315171921[[#This Row],[VO2]]</f>
        <v>9.6068827160493821E-4</v>
      </c>
      <c r="R21" s="9">
        <f>Table146101214242232343638404448505248111315171921[[#This Row],[R]]/2</f>
        <v>4.7743055555555554E-4</v>
      </c>
      <c r="S21" s="12">
        <f>Table146101214242232343638404448505248111315171921[[#This Row],[......]]*1.5</f>
        <v>7.1614583333333328E-4</v>
      </c>
      <c r="T21" s="9"/>
      <c r="U21" s="9"/>
      <c r="V21" s="13" t="s">
        <v>34</v>
      </c>
      <c r="W21" s="108"/>
    </row>
    <row r="22" spans="1:23" ht="17.149999999999999" customHeight="1" x14ac:dyDescent="0.35">
      <c r="A22" s="8" t="s">
        <v>38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Table146101214242232343638404448505248111315171921[[#This Row],[Thresh]]</f>
        <v>1.0916912177328843E-3</v>
      </c>
      <c r="N22" s="9">
        <f>Table146101214242232343638404448505248111315171921[[#This Row],[T (400)]]*2.5</f>
        <v>2.7292280443322109E-3</v>
      </c>
      <c r="O22" s="12">
        <f>Table146101214242232343638404448505248111315171921[[#This Row],[CV]]</f>
        <v>1.0442263821792807E-3</v>
      </c>
      <c r="P22" s="9">
        <f>Table146101214242232343638404448505248111315171921[[#This Row],[CV]]*1.5</f>
        <v>1.566339573268921E-3</v>
      </c>
      <c r="Q22" s="12">
        <f>Table146101214242232343638404448505248111315171921[[#This Row],[VO2]]</f>
        <v>9.6068827160493821E-4</v>
      </c>
      <c r="R22" s="9">
        <f>Table146101214242232343638404448505248111315171921[[#This Row],[R]]/2</f>
        <v>4.7743055555555554E-4</v>
      </c>
      <c r="S22" s="12">
        <f>Table146101214242232343638404448505248111315171921[[#This Row],[......]]*1.5</f>
        <v>7.1614583333333328E-4</v>
      </c>
      <c r="T22" s="9"/>
      <c r="U22" s="9"/>
      <c r="V22" s="13" t="s">
        <v>34</v>
      </c>
      <c r="W22" s="108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58</v>
      </c>
      <c r="O24" s="15" t="s">
        <v>46</v>
      </c>
      <c r="P24" s="15"/>
      <c r="Q24" s="15"/>
      <c r="R24" s="15"/>
      <c r="S24" s="15"/>
      <c r="T24" s="15"/>
      <c r="U24" s="15"/>
      <c r="V24" s="17"/>
      <c r="W24" s="108"/>
    </row>
    <row r="25" spans="1:23" ht="17.149999999999999" customHeight="1" x14ac:dyDescent="0.35">
      <c r="A25" s="8" t="s">
        <v>55</v>
      </c>
      <c r="B25" s="9">
        <v>1.1689814814814814E-2</v>
      </c>
      <c r="C25" s="9">
        <v>3.472222222222222E-3</v>
      </c>
      <c r="D25" s="9">
        <f>B25*E25</f>
        <v>6.8011342592592585E-3</v>
      </c>
      <c r="E25" s="10">
        <v>0.58179999999999998</v>
      </c>
      <c r="F25" s="9">
        <f>C25/4</f>
        <v>8.6805555555555551E-4</v>
      </c>
      <c r="G25" s="9">
        <f>D25/7.5</f>
        <v>9.0681790123456785E-4</v>
      </c>
      <c r="H25" s="9">
        <f>B25/12.5</f>
        <v>9.3518518518518516E-4</v>
      </c>
      <c r="I25" s="9">
        <f>G25/0.93</f>
        <v>9.7507301208018041E-4</v>
      </c>
      <c r="J25" s="9">
        <f>G25/0.92</f>
        <v>9.8567163177670412E-4</v>
      </c>
      <c r="K25" s="9">
        <f>G25/0.88</f>
        <v>1.0304748877665545E-3</v>
      </c>
      <c r="L25" s="9">
        <f>G25/0.84</f>
        <v>1.0795451205173427E-3</v>
      </c>
      <c r="M25" s="11">
        <f>Table146101214242232343638404448505248111315171921[[#This Row],[Thresh]]</f>
        <v>1.0304748877665545E-3</v>
      </c>
      <c r="N25" s="9">
        <f>Table146101214242232343638404448505248111315171921[[#This Row],[T (400)]]*2.5</f>
        <v>2.5761872194163863E-3</v>
      </c>
      <c r="O25" s="12">
        <f>Table146101214242232343638404448505248111315171921[[#This Row],[I]]</f>
        <v>9.3518518518518516E-4</v>
      </c>
      <c r="P25" s="9"/>
      <c r="Q25" s="12"/>
      <c r="R25" s="9"/>
      <c r="S25" s="12"/>
      <c r="T25" s="9"/>
      <c r="U25" s="9"/>
      <c r="V25" s="13" t="s">
        <v>48</v>
      </c>
      <c r="W25" s="108"/>
    </row>
    <row r="26" spans="1:23" ht="17.149999999999999" customHeight="1" x14ac:dyDescent="0.35">
      <c r="A26" s="8" t="s">
        <v>33</v>
      </c>
      <c r="B26" s="9">
        <v>1.2268518518518519E-2</v>
      </c>
      <c r="C26" s="9">
        <v>3.645833333333333E-3</v>
      </c>
      <c r="D26" s="9">
        <f>B26*E26</f>
        <v>7.1378240740740742E-3</v>
      </c>
      <c r="E26" s="10">
        <v>0.58179999999999998</v>
      </c>
      <c r="F26" s="9">
        <f>C26/4</f>
        <v>9.1145833333333324E-4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Table146101214242232343638404448505248111315171921[[#This Row],[Thresh]]</f>
        <v>1.0814884960718295E-3</v>
      </c>
      <c r="N26" s="9">
        <f>Table146101214242232343638404448505248111315171921[[#This Row],[T (400)]]*2.5</f>
        <v>2.7037212401795738E-3</v>
      </c>
      <c r="O26" s="12">
        <f>Table146101214242232343638404448505248111315171921[[#This Row],[I]]</f>
        <v>9.8148148148148161E-4</v>
      </c>
      <c r="P26" s="9"/>
      <c r="Q26" s="12"/>
      <c r="R26" s="9"/>
      <c r="S26" s="12"/>
      <c r="T26" s="9"/>
      <c r="U26" s="9"/>
      <c r="V26" s="13" t="s">
        <v>48</v>
      </c>
      <c r="W26" s="108"/>
    </row>
    <row r="27" spans="1:23" ht="17.149999999999999" customHeight="1" x14ac:dyDescent="0.35">
      <c r="A27" s="8" t="s">
        <v>49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>C27/4</f>
        <v>9.2592592592592585E-4</v>
      </c>
      <c r="G27" s="9">
        <f>D27/7.5</f>
        <v>9.5170987654320989E-4</v>
      </c>
      <c r="H27" s="9">
        <f>B27/12.5</f>
        <v>9.8148148148148161E-4</v>
      </c>
      <c r="I27" s="9">
        <f>G27/0.93</f>
        <v>1.0233439532722685E-3</v>
      </c>
      <c r="J27" s="9">
        <f>G27/0.92</f>
        <v>1.0344672571121847E-3</v>
      </c>
      <c r="K27" s="9">
        <f>G27/0.88</f>
        <v>1.0814884960718295E-3</v>
      </c>
      <c r="L27" s="9">
        <f>G27/0.84</f>
        <v>1.1329879482657262E-3</v>
      </c>
      <c r="M27" s="11">
        <f>Table146101214242232343638404448505248111315171921[[#This Row],[Thresh]]</f>
        <v>1.0814884960718295E-3</v>
      </c>
      <c r="N27" s="9">
        <f>Table146101214242232343638404448505248111315171921[[#This Row],[T (400)]]*2.5</f>
        <v>2.7037212401795738E-3</v>
      </c>
      <c r="O27" s="12">
        <f>Table146101214242232343638404448505248111315171921[[#This Row],[I]]</f>
        <v>9.8148148148148161E-4</v>
      </c>
      <c r="P27" s="9"/>
      <c r="Q27" s="12"/>
      <c r="R27" s="9"/>
      <c r="S27" s="12"/>
      <c r="T27" s="9"/>
      <c r="U27" s="9"/>
      <c r="V27" s="13" t="s">
        <v>48</v>
      </c>
      <c r="W27" s="108"/>
    </row>
    <row r="28" spans="1:23" ht="17.149999999999999" customHeight="1" x14ac:dyDescent="0.35">
      <c r="A28" s="8" t="s">
        <v>47</v>
      </c>
      <c r="B28" s="9">
        <v>1.2268518518518519E-2</v>
      </c>
      <c r="C28" s="9">
        <v>3.7037037037037034E-3</v>
      </c>
      <c r="D28" s="9">
        <f>B28*E28</f>
        <v>7.1378240740740742E-3</v>
      </c>
      <c r="E28" s="10">
        <v>0.58179999999999998</v>
      </c>
      <c r="F28" s="9">
        <f>C28/4</f>
        <v>9.2592592592592585E-4</v>
      </c>
      <c r="G28" s="9">
        <f>D28/7.5</f>
        <v>9.5170987654320989E-4</v>
      </c>
      <c r="H28" s="9">
        <f>B28/12.5</f>
        <v>9.8148148148148161E-4</v>
      </c>
      <c r="I28" s="9">
        <f>G28/0.93</f>
        <v>1.0233439532722685E-3</v>
      </c>
      <c r="J28" s="9">
        <f>G28/0.92</f>
        <v>1.0344672571121847E-3</v>
      </c>
      <c r="K28" s="9">
        <f>G28/0.88</f>
        <v>1.0814884960718295E-3</v>
      </c>
      <c r="L28" s="9">
        <f>G28/0.84</f>
        <v>1.1329879482657262E-3</v>
      </c>
      <c r="M28" s="11">
        <f>Table146101214242232343638404448505248111315171921[[#This Row],[Thresh]]</f>
        <v>1.0814884960718295E-3</v>
      </c>
      <c r="N28" s="9">
        <f>Table146101214242232343638404448505248111315171921[[#This Row],[T (400)]]*2.5</f>
        <v>2.7037212401795738E-3</v>
      </c>
      <c r="O28" s="12">
        <f>Table146101214242232343638404448505248111315171921[[#This Row],[I]]</f>
        <v>9.8148148148148161E-4</v>
      </c>
      <c r="P28" s="9"/>
      <c r="Q28" s="12"/>
      <c r="R28" s="9"/>
      <c r="S28" s="12"/>
      <c r="T28" s="9"/>
      <c r="U28" s="9"/>
      <c r="V28" s="13" t="s">
        <v>48</v>
      </c>
      <c r="W28" s="113" t="s">
        <v>256</v>
      </c>
    </row>
    <row r="29" spans="1:23" ht="17.149999999999999" customHeight="1" x14ac:dyDescent="0.35">
      <c r="A29" s="8" t="s">
        <v>50</v>
      </c>
      <c r="B29" s="9">
        <v>1.2499999999999999E-2</v>
      </c>
      <c r="C29" s="9">
        <v>3.9351851851851857E-3</v>
      </c>
      <c r="D29" s="9">
        <f t="shared" ref="D29:D30" si="15">B29*E29</f>
        <v>7.2724999999999995E-3</v>
      </c>
      <c r="E29" s="10">
        <v>0.58179999999999998</v>
      </c>
      <c r="F29" s="9">
        <f t="shared" si="0"/>
        <v>9.8379629629629642E-4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Table146101214242232343638404448505248111315171921[[#This Row],[Thresh]]</f>
        <v>1.1018939393939394E-3</v>
      </c>
      <c r="N29" s="9">
        <f>Table146101214242232343638404448505248111315171921[[#This Row],[T (400)]]*2.5</f>
        <v>2.7547348484848484E-3</v>
      </c>
      <c r="O29" s="12">
        <f>Table146101214242232343638404448505248111315171921[[#This Row],[I]]</f>
        <v>1E-3</v>
      </c>
      <c r="P29" s="9"/>
      <c r="Q29" s="12"/>
      <c r="R29" s="9"/>
      <c r="S29" s="12"/>
      <c r="T29" s="9"/>
      <c r="U29" s="9"/>
      <c r="V29" s="13" t="s">
        <v>48</v>
      </c>
      <c r="W29" s="113"/>
    </row>
    <row r="30" spans="1:23" ht="17.149999999999999" customHeight="1" x14ac:dyDescent="0.35">
      <c r="A30" s="8" t="s">
        <v>51</v>
      </c>
      <c r="B30" s="9">
        <v>1.2499999999999999E-2</v>
      </c>
      <c r="C30" s="9">
        <v>3.7037037037037034E-3</v>
      </c>
      <c r="D30" s="9">
        <f t="shared" si="15"/>
        <v>7.2724999999999995E-3</v>
      </c>
      <c r="E30" s="10">
        <v>0.58179999999999998</v>
      </c>
      <c r="F30" s="9">
        <f t="shared" si="0"/>
        <v>9.2592592592592585E-4</v>
      </c>
      <c r="G30" s="9">
        <f t="shared" si="1"/>
        <v>9.6966666666666664E-4</v>
      </c>
      <c r="H30" s="9">
        <f t="shared" si="2"/>
        <v>1E-3</v>
      </c>
      <c r="I30" s="9">
        <f t="shared" si="3"/>
        <v>1.0426523297491039E-3</v>
      </c>
      <c r="J30" s="9">
        <f t="shared" si="4"/>
        <v>1.0539855072463768E-3</v>
      </c>
      <c r="K30" s="9">
        <f t="shared" si="5"/>
        <v>1.1018939393939394E-3</v>
      </c>
      <c r="L30" s="9">
        <f t="shared" si="6"/>
        <v>1.1543650793650795E-3</v>
      </c>
      <c r="M30" s="11">
        <f>Table146101214242232343638404448505248111315171921[[#This Row],[Thresh]]</f>
        <v>1.1018939393939394E-3</v>
      </c>
      <c r="N30" s="9">
        <f>Table146101214242232343638404448505248111315171921[[#This Row],[T (400)]]*2.5</f>
        <v>2.7547348484848484E-3</v>
      </c>
      <c r="O30" s="12">
        <f>Table146101214242232343638404448505248111315171921[[#This Row],[I]]</f>
        <v>1E-3</v>
      </c>
      <c r="P30" s="9"/>
      <c r="Q30" s="12"/>
      <c r="R30" s="9"/>
      <c r="S30" s="12"/>
      <c r="T30" s="9"/>
      <c r="U30" s="9"/>
      <c r="V30" s="13" t="s">
        <v>48</v>
      </c>
      <c r="W30" s="113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53</v>
      </c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252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117</v>
      </c>
      <c r="P34" s="6" t="s">
        <v>118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257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Table257111315252333353739414549515359121416182022[[#This Row],[Thresh]]</f>
        <v>9.1824494949494938E-4</v>
      </c>
      <c r="N35" s="9">
        <f>Table257111315252333353739414549515359121416182022[[#This Row],[T (400)]]*2.5</f>
        <v>2.2956123737373733E-3</v>
      </c>
      <c r="O35" s="24">
        <f>Table257111315252333353739414549515359121416182022[[#This Row],[R]]/2</f>
        <v>3.6168981481481485E-4</v>
      </c>
      <c r="P35" s="9">
        <f>Table257111315252333353739414549515359121416182022[[#This Row],[R (200)]]*1.5</f>
        <v>5.4253472222222225E-4</v>
      </c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ref="D36:D42" si="16">B36*E36</f>
        <v>6.0604166666666662E-3</v>
      </c>
      <c r="E36" s="10">
        <v>0.58179999999999998</v>
      </c>
      <c r="F36" s="9">
        <f t="shared" ref="F36:F61" si="17">C36/4</f>
        <v>7.378472222222222E-4</v>
      </c>
      <c r="G36" s="9">
        <f t="shared" ref="G36:G61" si="18">D36/7.5</f>
        <v>8.0805555555555546E-4</v>
      </c>
      <c r="H36" s="9">
        <f t="shared" ref="H36:H61" si="19">B36/12.5</f>
        <v>8.3333333333333328E-4</v>
      </c>
      <c r="I36" s="9">
        <f t="shared" ref="I36:I61" si="20">G36/0.93</f>
        <v>8.6887694145758646E-4</v>
      </c>
      <c r="J36" s="9">
        <f t="shared" ref="J36:J61" si="21">G36/0.92</f>
        <v>8.7832125603864715E-4</v>
      </c>
      <c r="K36" s="9">
        <f t="shared" ref="K36:K61" si="22">G36/0.88</f>
        <v>9.1824494949494938E-4</v>
      </c>
      <c r="L36" s="9">
        <f t="shared" ref="L36:L61" si="23">G36/0.84</f>
        <v>9.6197089947089938E-4</v>
      </c>
      <c r="M36" s="11">
        <f>Table257111315252333353739414549515359121416182022[[#This Row],[Thresh]]</f>
        <v>9.1824494949494938E-4</v>
      </c>
      <c r="N36" s="9">
        <f>Table257111315252333353739414549515359121416182022[[#This Row],[T (400)]]*2.5</f>
        <v>2.2956123737373733E-3</v>
      </c>
      <c r="O36" s="24">
        <f>Table257111315252333353739414549515359121416182022[[#This Row],[R]]/2</f>
        <v>3.689236111111111E-4</v>
      </c>
      <c r="P36" s="9">
        <f>Table257111315252333353739414549515359121416182022[[#This Row],[R (200)]]*1.5</f>
        <v>5.5338541666666665E-4</v>
      </c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Table257111315252333353739414549515359121416182022[[#This Row],[Thresh]]</f>
        <v>9.5905583613916951E-4</v>
      </c>
      <c r="N37" s="9">
        <f>Table257111315252333353739414549515359121416182022[[#This Row],[T (400)]]*2.5</f>
        <v>2.3976395903479238E-3</v>
      </c>
      <c r="O37" s="24">
        <f>Table257111315252333353739414549515359121416182022[[#This Row],[R]]/2</f>
        <v>3.7615740740740735E-4</v>
      </c>
      <c r="P37" s="9">
        <f>Table257111315252333353739414549515359121416182022[[#This Row],[R (200)]]*1.5</f>
        <v>5.6423611111111106E-4</v>
      </c>
      <c r="Q37" s="24"/>
      <c r="R37" s="9"/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Table257111315252333353739414549515359121416182022[[#This Row],[Thresh]]</f>
        <v>9.5905583613916951E-4</v>
      </c>
      <c r="N38" s="9">
        <f>Table257111315252333353739414549515359121416182022[[#This Row],[T (400)]]*2.5</f>
        <v>2.3976395903479238E-3</v>
      </c>
      <c r="O38" s="24">
        <f>Table257111315252333353739414549515359121416182022[[#This Row],[R]]/2</f>
        <v>3.7615740740740735E-4</v>
      </c>
      <c r="P38" s="9">
        <f>Table257111315252333353739414549515359121416182022[[#This Row],[R (200)]]*1.5</f>
        <v>5.6423611111111106E-4</v>
      </c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65</v>
      </c>
      <c r="B39" s="9">
        <v>1.0416666666666666E-2</v>
      </c>
      <c r="C39" s="9">
        <v>2.9513888888888888E-3</v>
      </c>
      <c r="D39" s="9">
        <f>B39*E39</f>
        <v>6.0604166666666662E-3</v>
      </c>
      <c r="E39" s="10">
        <v>0.58179999999999998</v>
      </c>
      <c r="F39" s="9">
        <f>C39/4</f>
        <v>7.378472222222222E-4</v>
      </c>
      <c r="G39" s="9">
        <f>D39/7.5</f>
        <v>8.0805555555555546E-4</v>
      </c>
      <c r="H39" s="9">
        <f>B39/12.5</f>
        <v>8.3333333333333328E-4</v>
      </c>
      <c r="I39" s="9">
        <f>G39/0.93</f>
        <v>8.6887694145758646E-4</v>
      </c>
      <c r="J39" s="9">
        <f>G39/0.92</f>
        <v>8.7832125603864715E-4</v>
      </c>
      <c r="K39" s="9">
        <f>G39/0.88</f>
        <v>9.1824494949494938E-4</v>
      </c>
      <c r="L39" s="9">
        <f>G39/0.84</f>
        <v>9.6197089947089938E-4</v>
      </c>
      <c r="M39" s="11">
        <f>Table257111315252333353739414549515359121416182022[[#This Row],[Thresh]]</f>
        <v>9.1824494949494938E-4</v>
      </c>
      <c r="N39" s="9">
        <f>Table257111315252333353739414549515359121416182022[[#This Row],[T (400)]]*2.5</f>
        <v>2.2956123737373733E-3</v>
      </c>
      <c r="O39" s="24">
        <f>Table257111315252333353739414549515359121416182022[[#This Row],[R]]/2</f>
        <v>3.689236111111111E-4</v>
      </c>
      <c r="P39" s="9">
        <f>Table257111315252333353739414549515359121416182022[[#This Row],[R (200)]]*1.5</f>
        <v>5.5338541666666665E-4</v>
      </c>
      <c r="Q39" s="24"/>
      <c r="R39" s="9"/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112</v>
      </c>
      <c r="B40" s="9">
        <v>1.1458333333333334E-2</v>
      </c>
      <c r="C40" s="9">
        <v>3.0671296296296297E-3</v>
      </c>
      <c r="D40" s="9">
        <f>B40*E40</f>
        <v>6.6664583333333333E-3</v>
      </c>
      <c r="E40" s="10">
        <v>0.58179999999999998</v>
      </c>
      <c r="F40" s="9">
        <f>C40/4</f>
        <v>7.6678240740740743E-4</v>
      </c>
      <c r="G40" s="9">
        <f>D40/7.5</f>
        <v>8.888611111111111E-4</v>
      </c>
      <c r="H40" s="9">
        <f>B40/12.5</f>
        <v>9.1666666666666676E-4</v>
      </c>
      <c r="I40" s="9">
        <f>G40/0.93</f>
        <v>9.5576463560334524E-4</v>
      </c>
      <c r="J40" s="9">
        <f>G40/0.92</f>
        <v>9.6615338164251206E-4</v>
      </c>
      <c r="K40" s="9">
        <f>G40/0.88</f>
        <v>1.0100694444444445E-3</v>
      </c>
      <c r="L40" s="9">
        <f>G40/0.84</f>
        <v>1.0581679894179894E-3</v>
      </c>
      <c r="M40" s="11">
        <f>Table257111315252333353739414549515359121416182022[[#This Row],[Thresh]]</f>
        <v>1.0100694444444445E-3</v>
      </c>
      <c r="N40" s="9">
        <f>Table257111315252333353739414549515359121416182022[[#This Row],[T (400)]]*2.5</f>
        <v>2.5251736111111113E-3</v>
      </c>
      <c r="O40" s="24">
        <f>Table257111315252333353739414549515359121416182022[[#This Row],[R]]/2</f>
        <v>3.8339120370370371E-4</v>
      </c>
      <c r="P40" s="9">
        <f>Table257111315252333353739414549515359121416182022[[#This Row],[R (200)]]*1.5</f>
        <v>5.7508680555555557E-4</v>
      </c>
      <c r="Q40" s="24"/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66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Table257111315252333353739414549515359121416182022[[#This Row],[Thresh]]</f>
        <v>9.8966400112233477E-4</v>
      </c>
      <c r="N41" s="9">
        <f>Table257111315252333353739414549515359121416182022[[#This Row],[T (400)]]*2.5</f>
        <v>2.4741600028058367E-3</v>
      </c>
      <c r="O41" s="24">
        <f>Table257111315252333353739414549515359121416182022[[#This Row],[R]]/2</f>
        <v>3.9062499999999997E-4</v>
      </c>
      <c r="P41" s="9">
        <f>Table257111315252333353739414549515359121416182022[[#This Row],[R (200)]]*1.5</f>
        <v>5.8593749999999998E-4</v>
      </c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67</v>
      </c>
      <c r="B42" s="9">
        <v>1.1226851851851854E-2</v>
      </c>
      <c r="C42" s="9">
        <v>3.1249999999999997E-3</v>
      </c>
      <c r="D42" s="9">
        <f t="shared" si="16"/>
        <v>6.5317824074074089E-3</v>
      </c>
      <c r="E42" s="10">
        <v>0.58179999999999998</v>
      </c>
      <c r="F42" s="9">
        <f t="shared" si="17"/>
        <v>7.8124999999999993E-4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>
        <f>Table257111315252333353739414549515359121416182022[[#This Row],[Thresh]]</f>
        <v>9.8966400112233477E-4</v>
      </c>
      <c r="N42" s="9">
        <f>Table257111315252333353739414549515359121416182022[[#This Row],[T (400)]]*2.5</f>
        <v>2.4741600028058367E-3</v>
      </c>
      <c r="O42" s="24">
        <f>Table257111315252333353739414549515359121416182022[[#This Row],[R]]/2</f>
        <v>3.9062499999999997E-4</v>
      </c>
      <c r="P42" s="9">
        <f>Table257111315252333353739414549515359121416182022[[#This Row],[R (200)]]*1.5</f>
        <v>5.8593749999999998E-4</v>
      </c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115</v>
      </c>
      <c r="B43" s="9">
        <v>1.1111111111111112E-2</v>
      </c>
      <c r="C43" s="9">
        <v>3.1249999999999997E-3</v>
      </c>
      <c r="D43" s="9">
        <f>B43*E43</f>
        <v>6.4644444444444445E-3</v>
      </c>
      <c r="E43" s="10">
        <v>0.58179999999999998</v>
      </c>
      <c r="F43" s="9">
        <f>C43/4</f>
        <v>7.8124999999999993E-4</v>
      </c>
      <c r="G43" s="9">
        <f>D43/7.5</f>
        <v>8.6192592592592592E-4</v>
      </c>
      <c r="H43" s="9">
        <f>B43/12.5</f>
        <v>8.8888888888888893E-4</v>
      </c>
      <c r="I43" s="9">
        <f>G43/0.93</f>
        <v>9.2680207088809239E-4</v>
      </c>
      <c r="J43" s="9">
        <f>G43/0.92</f>
        <v>9.3687600644122375E-4</v>
      </c>
      <c r="K43" s="9">
        <f>G43/0.88</f>
        <v>9.7946127946127947E-4</v>
      </c>
      <c r="L43" s="9">
        <f>G43/0.84</f>
        <v>1.0261022927689596E-3</v>
      </c>
      <c r="M43" s="11">
        <f>Table257111315252333353739414549515359121416182022[[#This Row],[Thresh]]</f>
        <v>9.7946127946127947E-4</v>
      </c>
      <c r="N43" s="9">
        <f>Table257111315252333353739414549515359121416182022[[#This Row],[T (400)]]*2.5</f>
        <v>2.4486531986531988E-3</v>
      </c>
      <c r="O43" s="24">
        <f>Table257111315252333353739414549515359121416182022[[#This Row],[R]]/2</f>
        <v>3.9062499999999997E-4</v>
      </c>
      <c r="P43" s="9">
        <f>Table257111315252333353739414549515359121416182022[[#This Row],[R (200)]]*1.5</f>
        <v>5.8593749999999998E-4</v>
      </c>
      <c r="Q43" s="24"/>
      <c r="R43" s="9"/>
      <c r="S43" s="12"/>
      <c r="T43" s="96"/>
      <c r="U43" s="9"/>
      <c r="V43" s="23" t="s">
        <v>53</v>
      </c>
      <c r="W43" s="104" t="s">
        <v>258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>
        <f t="shared" si="17"/>
        <v>0</v>
      </c>
      <c r="G45" s="15">
        <f t="shared" si="18"/>
        <v>0</v>
      </c>
      <c r="H45" s="15">
        <f t="shared" si="19"/>
        <v>0</v>
      </c>
      <c r="I45" s="15">
        <f t="shared" si="20"/>
        <v>0</v>
      </c>
      <c r="J45" s="15">
        <f t="shared" si="21"/>
        <v>0</v>
      </c>
      <c r="K45" s="15">
        <f t="shared" si="22"/>
        <v>0</v>
      </c>
      <c r="L45" s="15">
        <f t="shared" si="23"/>
        <v>0</v>
      </c>
      <c r="M45" s="30" t="s">
        <v>12</v>
      </c>
      <c r="N45" s="15" t="s">
        <v>58</v>
      </c>
      <c r="O45" s="15" t="s">
        <v>195</v>
      </c>
      <c r="P45" s="15" t="s">
        <v>196</v>
      </c>
      <c r="Q45" s="15" t="s">
        <v>117</v>
      </c>
      <c r="R45" s="15" t="s">
        <v>118</v>
      </c>
      <c r="S45" s="15"/>
      <c r="T45" s="15"/>
      <c r="U45" s="15"/>
      <c r="V45" s="17"/>
      <c r="W45" s="104"/>
    </row>
    <row r="46" spans="1:23" ht="17.149999999999999" customHeight="1" x14ac:dyDescent="0.35">
      <c r="A46" s="8" t="s">
        <v>70</v>
      </c>
      <c r="B46" s="9">
        <v>9.780092592592592E-3</v>
      </c>
      <c r="C46" s="9">
        <v>2.8124999999999995E-3</v>
      </c>
      <c r="D46" s="9">
        <f t="shared" ref="D46:D56" si="24">B46*E46</f>
        <v>5.6900578703703696E-3</v>
      </c>
      <c r="E46" s="10">
        <v>0.58179999999999998</v>
      </c>
      <c r="F46" s="9">
        <f t="shared" si="17"/>
        <v>7.0312499999999987E-4</v>
      </c>
      <c r="G46" s="9">
        <f t="shared" si="18"/>
        <v>7.5867438271604926E-4</v>
      </c>
      <c r="H46" s="9">
        <f t="shared" si="19"/>
        <v>7.8240740740740734E-4</v>
      </c>
      <c r="I46" s="9">
        <f t="shared" si="20"/>
        <v>8.1577890614628948E-4</v>
      </c>
      <c r="J46" s="9">
        <f t="shared" si="21"/>
        <v>8.2464606816961877E-4</v>
      </c>
      <c r="K46" s="9">
        <f t="shared" si="22"/>
        <v>8.6212998035914683E-4</v>
      </c>
      <c r="L46" s="9">
        <f t="shared" si="23"/>
        <v>9.031837889476777E-4</v>
      </c>
      <c r="M46" s="11">
        <f>Table257111315252333353739414549515359121416182022[[#This Row],[Thresh]]</f>
        <v>8.6212998035914683E-4</v>
      </c>
      <c r="N46" s="9">
        <f>Table257111315252333353739414549515359121416182022[[#This Row],[T (400)]]*2.5</f>
        <v>2.1553249508978671E-3</v>
      </c>
      <c r="O46" s="24">
        <f>Table257111315252333353739414549515359121416182022[[#This Row],[VO2]]</f>
        <v>7.5867438271604926E-4</v>
      </c>
      <c r="P46" s="9">
        <f>Table257111315252333353739414549515359121416182022[[#This Row],[R (200)]]*1.5</f>
        <v>1.1380115740740738E-3</v>
      </c>
      <c r="Q46" s="24">
        <f>Table257111315252333353739414549515359121416182022[[#This Row],[R]]/2</f>
        <v>3.5156249999999993E-4</v>
      </c>
      <c r="R46" s="9">
        <f>Table257111315252333353739414549515359121416182022[[#This Row],[.....]]*1.5</f>
        <v>5.2734374999999993E-4</v>
      </c>
      <c r="S46" s="12"/>
      <c r="T46" s="25"/>
      <c r="V46" s="23" t="s">
        <v>30</v>
      </c>
      <c r="W46" s="104"/>
    </row>
    <row r="47" spans="1:23" ht="17.149999999999999" customHeight="1" x14ac:dyDescent="0.35">
      <c r="A47" s="8" t="s">
        <v>72</v>
      </c>
      <c r="B47" s="9">
        <v>1.0127314814814815E-2</v>
      </c>
      <c r="C47" s="9">
        <v>2.8935185185185188E-3</v>
      </c>
      <c r="D47" s="9">
        <f t="shared" si="24"/>
        <v>5.8920717592592592E-3</v>
      </c>
      <c r="E47" s="10">
        <v>0.58179999999999998</v>
      </c>
      <c r="F47" s="9">
        <f t="shared" si="17"/>
        <v>7.233796296296297E-4</v>
      </c>
      <c r="G47" s="9">
        <f t="shared" si="18"/>
        <v>7.8560956790123455E-4</v>
      </c>
      <c r="H47" s="9">
        <f t="shared" si="19"/>
        <v>8.1018518518518516E-4</v>
      </c>
      <c r="I47" s="9">
        <f t="shared" si="20"/>
        <v>8.4474147086154245E-4</v>
      </c>
      <c r="J47" s="9">
        <f t="shared" si="21"/>
        <v>8.5392344337090708E-4</v>
      </c>
      <c r="K47" s="9">
        <f t="shared" si="22"/>
        <v>8.9273814534231199E-4</v>
      </c>
      <c r="L47" s="9">
        <f t="shared" si="23"/>
        <v>9.3524948559670779E-4</v>
      </c>
      <c r="M47" s="11">
        <f>Table257111315252333353739414549515359121416182022[[#This Row],[Thresh]]</f>
        <v>8.9273814534231199E-4</v>
      </c>
      <c r="N47" s="9">
        <f>Table257111315252333353739414549515359121416182022[[#This Row],[T (400)]]*2.5</f>
        <v>2.23184536335578E-3</v>
      </c>
      <c r="O47" s="24">
        <f>Table257111315252333353739414549515359121416182022[[#This Row],[VO2]]</f>
        <v>7.8560956790123455E-4</v>
      </c>
      <c r="P47" s="9">
        <f>Table257111315252333353739414549515359121416182022[[#This Row],[R (200)]]*1.5</f>
        <v>1.1784143518518519E-3</v>
      </c>
      <c r="Q47" s="24">
        <f>Table257111315252333353739414549515359121416182022[[#This Row],[R]]/2</f>
        <v>3.6168981481481485E-4</v>
      </c>
      <c r="R47" s="9">
        <f>Table257111315252333353739414549515359121416182022[[#This Row],[.....]]*1.5</f>
        <v>5.4253472222222225E-4</v>
      </c>
      <c r="S47" s="12"/>
      <c r="T47" s="25"/>
      <c r="V47" s="23" t="s">
        <v>30</v>
      </c>
      <c r="W47" s="104"/>
    </row>
    <row r="48" spans="1:23" ht="17.149999999999999" customHeight="1" x14ac:dyDescent="0.35">
      <c r="A48" s="8" t="s">
        <v>74</v>
      </c>
      <c r="B48" s="9">
        <v>1.0243055555555556E-2</v>
      </c>
      <c r="C48" s="9">
        <v>2.9745370370370373E-3</v>
      </c>
      <c r="D48" s="9">
        <f>B48*E48</f>
        <v>5.9594097222222218E-3</v>
      </c>
      <c r="E48" s="10">
        <v>0.58179999999999998</v>
      </c>
      <c r="F48" s="9">
        <f>C48/4</f>
        <v>7.4363425925925931E-4</v>
      </c>
      <c r="G48" s="9">
        <f>D48/7.5</f>
        <v>7.9458796296296287E-4</v>
      </c>
      <c r="H48" s="9">
        <f>B48/12.5</f>
        <v>8.1944444444444447E-4</v>
      </c>
      <c r="I48" s="9">
        <f>G48/0.93</f>
        <v>8.5439565909996003E-4</v>
      </c>
      <c r="J48" s="9">
        <f>G48/0.92</f>
        <v>8.636825684380031E-4</v>
      </c>
      <c r="K48" s="9">
        <f>G48/0.88</f>
        <v>9.0294086700336686E-4</v>
      </c>
      <c r="L48" s="9">
        <f>G48/0.84</f>
        <v>9.4593805114638445E-4</v>
      </c>
      <c r="M48" s="11">
        <f>Table257111315252333353739414549515359121416182022[[#This Row],[Thresh]]</f>
        <v>9.0294086700336686E-4</v>
      </c>
      <c r="N48" s="9">
        <f>Table257111315252333353739414549515359121416182022[[#This Row],[T (400)]]*2.5</f>
        <v>2.2573521675084171E-3</v>
      </c>
      <c r="O48" s="24">
        <f>Table257111315252333353739414549515359121416182022[[#This Row],[VO2]]</f>
        <v>7.9458796296296287E-4</v>
      </c>
      <c r="P48" s="9">
        <f>Table257111315252333353739414549515359121416182022[[#This Row],[R (200)]]*1.5</f>
        <v>1.1918819444444442E-3</v>
      </c>
      <c r="Q48" s="24">
        <f>Table257111315252333353739414549515359121416182022[[#This Row],[R]]/2</f>
        <v>3.7181712962962966E-4</v>
      </c>
      <c r="R48" s="9">
        <f>Table257111315252333353739414549515359121416182022[[#This Row],[.....]]*1.5</f>
        <v>5.5772569444444446E-4</v>
      </c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84</v>
      </c>
      <c r="B49" s="9">
        <v>1.064814814814815E-2</v>
      </c>
      <c r="C49" s="9">
        <v>3.0671296296296297E-3</v>
      </c>
      <c r="D49" s="9">
        <f>B49*E49</f>
        <v>6.1950925925925932E-3</v>
      </c>
      <c r="E49" s="10">
        <v>0.58179999999999998</v>
      </c>
      <c r="F49" s="9">
        <f>C49/4</f>
        <v>7.6678240740740743E-4</v>
      </c>
      <c r="G49" s="9">
        <f>D49/7.5</f>
        <v>8.2601234567901242E-4</v>
      </c>
      <c r="H49" s="9">
        <f>B49/12.5</f>
        <v>8.5185185185185201E-4</v>
      </c>
      <c r="I49" s="9">
        <f>G49/0.93</f>
        <v>8.8818531793442195E-4</v>
      </c>
      <c r="J49" s="9">
        <f>G49/0.92</f>
        <v>8.9783950617283953E-4</v>
      </c>
      <c r="K49" s="9">
        <f>G49/0.88</f>
        <v>9.3865039281705955E-4</v>
      </c>
      <c r="L49" s="9">
        <f>G49/0.84</f>
        <v>9.8334803057025292E-4</v>
      </c>
      <c r="M49" s="11">
        <f>Table257111315252333353739414549515359121416182022[[#This Row],[Thresh]]</f>
        <v>9.3865039281705955E-4</v>
      </c>
      <c r="N49" s="9">
        <f>Table257111315252333353739414549515359121416182022[[#This Row],[T (400)]]*2.5</f>
        <v>2.3466259820426488E-3</v>
      </c>
      <c r="O49" s="24">
        <f>Table257111315252333353739414549515359121416182022[[#This Row],[VO2]]</f>
        <v>8.2601234567901242E-4</v>
      </c>
      <c r="P49" s="9">
        <f>Table257111315252333353739414549515359121416182022[[#This Row],[R (200)]]*1.5</f>
        <v>1.2390185185185186E-3</v>
      </c>
      <c r="Q49" s="24">
        <f>Table257111315252333353739414549515359121416182022[[#This Row],[R]]/2</f>
        <v>3.8339120370370371E-4</v>
      </c>
      <c r="R49" s="9">
        <f>Table257111315252333353739414549515359121416182022[[#This Row],[.....]]*1.5</f>
        <v>5.7508680555555557E-4</v>
      </c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81</v>
      </c>
      <c r="B50" s="9">
        <v>1.0763888888888891E-2</v>
      </c>
      <c r="C50" s="9">
        <v>3.0671296296296297E-3</v>
      </c>
      <c r="D50" s="9">
        <f t="shared" si="24"/>
        <v>6.2624305555555567E-3</v>
      </c>
      <c r="E50" s="10">
        <v>0.58179999999999998</v>
      </c>
      <c r="F50" s="9">
        <f t="shared" si="17"/>
        <v>7.6678240740740743E-4</v>
      </c>
      <c r="G50" s="9">
        <f t="shared" si="18"/>
        <v>8.3499074074074085E-4</v>
      </c>
      <c r="H50" s="9">
        <f t="shared" si="19"/>
        <v>8.6111111111111121E-4</v>
      </c>
      <c r="I50" s="9">
        <f t="shared" si="20"/>
        <v>8.9783950617283953E-4</v>
      </c>
      <c r="J50" s="9">
        <f t="shared" si="21"/>
        <v>9.0759863123993567E-4</v>
      </c>
      <c r="K50" s="9">
        <f t="shared" si="22"/>
        <v>9.4885311447811464E-4</v>
      </c>
      <c r="L50" s="9">
        <f t="shared" si="23"/>
        <v>9.9403659611992969E-4</v>
      </c>
      <c r="M50" s="11">
        <f>Table257111315252333353739414549515359121416182022[[#This Row],[Thresh]]</f>
        <v>9.4885311447811464E-4</v>
      </c>
      <c r="N50" s="9">
        <f>Table257111315252333353739414549515359121416182022[[#This Row],[T (400)]]*2.5</f>
        <v>2.3721327861952867E-3</v>
      </c>
      <c r="O50" s="24">
        <f>Table257111315252333353739414549515359121416182022[[#This Row],[VO2]]</f>
        <v>8.3499074074074085E-4</v>
      </c>
      <c r="P50" s="9">
        <f>Table257111315252333353739414549515359121416182022[[#This Row],[R (200)]]*1.5</f>
        <v>1.2524861111111113E-3</v>
      </c>
      <c r="Q50" s="24">
        <f>Table257111315252333353739414549515359121416182022[[#This Row],[R]]/2</f>
        <v>3.8339120370370371E-4</v>
      </c>
      <c r="R50" s="9">
        <f>Table257111315252333353739414549515359121416182022[[#This Row],[.....]]*1.5</f>
        <v>5.7508680555555557E-4</v>
      </c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75</v>
      </c>
      <c r="B51" s="9">
        <v>1.087962962962963E-2</v>
      </c>
      <c r="C51" s="9">
        <v>2.9513888888888888E-3</v>
      </c>
      <c r="D51" s="9">
        <f>B51*E51</f>
        <v>6.3297685185185184E-3</v>
      </c>
      <c r="E51" s="10">
        <v>0.58179999999999998</v>
      </c>
      <c r="F51" s="9">
        <f>C51/4</f>
        <v>7.378472222222222E-4</v>
      </c>
      <c r="G51" s="9">
        <f>D51/7.5</f>
        <v>8.4396913580246917E-4</v>
      </c>
      <c r="H51" s="9">
        <f>B51/12.5</f>
        <v>8.7037037037037042E-4</v>
      </c>
      <c r="I51" s="9">
        <f>G51/0.93</f>
        <v>9.0749369441125711E-4</v>
      </c>
      <c r="J51" s="9">
        <f>G51/0.92</f>
        <v>9.173577563070317E-4</v>
      </c>
      <c r="K51" s="9">
        <f>G51/0.88</f>
        <v>9.5905583613916951E-4</v>
      </c>
      <c r="L51" s="9">
        <f>G51/0.84</f>
        <v>1.0047251616696062E-3</v>
      </c>
      <c r="M51" s="11">
        <f>Table257111315252333353739414549515359121416182022[[#This Row],[Thresh]]</f>
        <v>9.5905583613916951E-4</v>
      </c>
      <c r="N51" s="9">
        <f>Table257111315252333353739414549515359121416182022[[#This Row],[T (400)]]*2.5</f>
        <v>2.3976395903479238E-3</v>
      </c>
      <c r="O51" s="24">
        <f>Table257111315252333353739414549515359121416182022[[#This Row],[VO2]]</f>
        <v>8.4396913580246917E-4</v>
      </c>
      <c r="P51" s="9">
        <f>Table257111315252333353739414549515359121416182022[[#This Row],[R (200)]]*1.5</f>
        <v>1.2659537037037038E-3</v>
      </c>
      <c r="Q51" s="24">
        <f>Table257111315252333353739414549515359121416182022[[#This Row],[R]]/2</f>
        <v>3.689236111111111E-4</v>
      </c>
      <c r="R51" s="9">
        <f>Table257111315252333353739414549515359121416182022[[#This Row],[.....]]*1.5</f>
        <v>5.5338541666666665E-4</v>
      </c>
      <c r="S51" s="12"/>
      <c r="T51" s="25"/>
      <c r="U51" s="9"/>
      <c r="V51" s="23" t="s">
        <v>30</v>
      </c>
      <c r="W51" s="104"/>
    </row>
    <row r="52" spans="1:23" ht="17.149999999999999" customHeight="1" x14ac:dyDescent="0.35">
      <c r="A52" s="8" t="s">
        <v>83</v>
      </c>
      <c r="B52" s="9">
        <v>1.0995370370370371E-2</v>
      </c>
      <c r="C52" s="9">
        <v>3.0092592592592588E-3</v>
      </c>
      <c r="D52" s="9">
        <f>B52*E52</f>
        <v>6.397106481481481E-3</v>
      </c>
      <c r="E52" s="10">
        <v>0.58179999999999998</v>
      </c>
      <c r="F52" s="9">
        <f>C52/4</f>
        <v>7.5231481481481471E-4</v>
      </c>
      <c r="G52" s="9">
        <f>D52/7.5</f>
        <v>8.5294753086419749E-4</v>
      </c>
      <c r="H52" s="9">
        <f>B52/12.5</f>
        <v>8.7962962962962962E-4</v>
      </c>
      <c r="I52" s="9">
        <f>G52/0.93</f>
        <v>9.171478826496747E-4</v>
      </c>
      <c r="J52" s="9">
        <f>G52/0.92</f>
        <v>9.2711688137412762E-4</v>
      </c>
      <c r="K52" s="9">
        <f>G52/0.88</f>
        <v>9.6925855780022438E-4</v>
      </c>
      <c r="L52" s="9">
        <f>G52/0.84</f>
        <v>1.0154137272192828E-3</v>
      </c>
      <c r="M52" s="11">
        <f>Table257111315252333353739414549515359121416182022[[#This Row],[Thresh]]</f>
        <v>9.6925855780022438E-4</v>
      </c>
      <c r="N52" s="9">
        <f>Table257111315252333353739414549515359121416182022[[#This Row],[T (400)]]*2.5</f>
        <v>2.4231463945005608E-3</v>
      </c>
      <c r="O52" s="24">
        <f>Table257111315252333353739414549515359121416182022[[#This Row],[VO2]]</f>
        <v>8.5294753086419749E-4</v>
      </c>
      <c r="P52" s="9">
        <f>Table257111315252333353739414549515359121416182022[[#This Row],[R (200)]]*1.5</f>
        <v>1.2794212962962963E-3</v>
      </c>
      <c r="Q52" s="24">
        <f>Table257111315252333353739414549515359121416182022[[#This Row],[R]]/2</f>
        <v>3.7615740740740735E-4</v>
      </c>
      <c r="R52" s="9">
        <f>Table257111315252333353739414549515359121416182022[[#This Row],[.....]]*1.5</f>
        <v>5.6423611111111106E-4</v>
      </c>
      <c r="S52" s="12"/>
      <c r="T52" s="25"/>
      <c r="V52" s="23" t="s">
        <v>30</v>
      </c>
      <c r="W52" s="108" t="s">
        <v>259</v>
      </c>
    </row>
    <row r="53" spans="1:23" ht="17.149999999999999" customHeight="1" x14ac:dyDescent="0.35">
      <c r="A53" s="8" t="s">
        <v>90</v>
      </c>
      <c r="B53" s="9">
        <v>1.0995370370370371E-2</v>
      </c>
      <c r="C53" s="9">
        <v>3.1828703703703702E-3</v>
      </c>
      <c r="D53" s="9">
        <f t="shared" si="24"/>
        <v>6.397106481481481E-3</v>
      </c>
      <c r="E53" s="10">
        <v>0.58179999999999998</v>
      </c>
      <c r="F53" s="9">
        <f t="shared" si="17"/>
        <v>7.9571759259259255E-4</v>
      </c>
      <c r="G53" s="9">
        <f t="shared" si="18"/>
        <v>8.5294753086419749E-4</v>
      </c>
      <c r="H53" s="9">
        <f t="shared" si="19"/>
        <v>8.7962962962962962E-4</v>
      </c>
      <c r="I53" s="9">
        <f t="shared" si="20"/>
        <v>9.171478826496747E-4</v>
      </c>
      <c r="J53" s="9">
        <f t="shared" si="21"/>
        <v>9.2711688137412762E-4</v>
      </c>
      <c r="K53" s="9">
        <f t="shared" si="22"/>
        <v>9.6925855780022438E-4</v>
      </c>
      <c r="L53" s="9">
        <f t="shared" si="23"/>
        <v>1.0154137272192828E-3</v>
      </c>
      <c r="M53" s="11">
        <f>Table257111315252333353739414549515359121416182022[[#This Row],[Thresh]]</f>
        <v>9.6925855780022438E-4</v>
      </c>
      <c r="N53" s="9">
        <f>Table257111315252333353739414549515359121416182022[[#This Row],[T (400)]]*2.5</f>
        <v>2.4231463945005608E-3</v>
      </c>
      <c r="O53" s="24">
        <f>Table257111315252333353739414549515359121416182022[[#This Row],[VO2]]</f>
        <v>8.5294753086419749E-4</v>
      </c>
      <c r="P53" s="9">
        <f>Table257111315252333353739414549515359121416182022[[#This Row],[R (200)]]*1.5</f>
        <v>1.2794212962962963E-3</v>
      </c>
      <c r="Q53" s="24">
        <f>Table257111315252333353739414549515359121416182022[[#This Row],[R]]/2</f>
        <v>3.9785879629629627E-4</v>
      </c>
      <c r="R53" s="9">
        <f>Table257111315252333353739414549515359121416182022[[#This Row],[.....]]*1.5</f>
        <v>5.9678819444444438E-4</v>
      </c>
      <c r="S53" s="12"/>
      <c r="T53" s="25"/>
      <c r="U53" s="28"/>
      <c r="V53" s="23" t="s">
        <v>30</v>
      </c>
      <c r="W53" s="108"/>
    </row>
    <row r="54" spans="1:23" ht="17.149999999999999" customHeight="1" x14ac:dyDescent="0.35">
      <c r="A54" s="8" t="s">
        <v>68</v>
      </c>
      <c r="B54" s="9">
        <v>1.1226851851851854E-2</v>
      </c>
      <c r="C54" s="9">
        <v>3.2407407407407406E-3</v>
      </c>
      <c r="D54" s="9">
        <f t="shared" si="24"/>
        <v>6.5317824074074089E-3</v>
      </c>
      <c r="E54" s="10">
        <v>0.58179999999999998</v>
      </c>
      <c r="F54" s="9">
        <f t="shared" si="17"/>
        <v>8.1018518518518516E-4</v>
      </c>
      <c r="G54" s="9">
        <f t="shared" si="18"/>
        <v>8.7090432098765457E-4</v>
      </c>
      <c r="H54" s="9">
        <f t="shared" si="19"/>
        <v>8.9814814814814835E-4</v>
      </c>
      <c r="I54" s="9">
        <f t="shared" si="20"/>
        <v>9.3645625912651019E-4</v>
      </c>
      <c r="J54" s="9">
        <f t="shared" si="21"/>
        <v>9.4663513150832011E-4</v>
      </c>
      <c r="K54" s="9">
        <f t="shared" si="22"/>
        <v>9.8966400112233477E-4</v>
      </c>
      <c r="L54" s="9">
        <f t="shared" si="23"/>
        <v>1.0367908583186363E-3</v>
      </c>
      <c r="M54" s="11">
        <f>Table257111315252333353739414549515359121416182022[[#This Row],[Thresh]]</f>
        <v>9.8966400112233477E-4</v>
      </c>
      <c r="N54" s="9">
        <f>Table257111315252333353739414549515359121416182022[[#This Row],[T (400)]]*2.5</f>
        <v>2.4741600028058367E-3</v>
      </c>
      <c r="O54" s="24">
        <f>Table257111315252333353739414549515359121416182022[[#This Row],[VO2]]</f>
        <v>8.7090432098765457E-4</v>
      </c>
      <c r="P54" s="9">
        <f>Table257111315252333353739414549515359121416182022[[#This Row],[R (200)]]*1.5</f>
        <v>1.3063564814814819E-3</v>
      </c>
      <c r="Q54" s="24">
        <f>Table257111315252333353739414549515359121416182022[[#This Row],[R]]/2</f>
        <v>4.0509259259259258E-4</v>
      </c>
      <c r="R54" s="9">
        <f>Table257111315252333353739414549515359121416182022[[#This Row],[.....]]*1.5</f>
        <v>6.076388888888889E-4</v>
      </c>
      <c r="S54" s="12"/>
      <c r="T54" s="25"/>
      <c r="V54" s="23" t="s">
        <v>30</v>
      </c>
      <c r="W54" s="108"/>
    </row>
    <row r="55" spans="1:23" ht="17.149999999999999" customHeight="1" x14ac:dyDescent="0.35">
      <c r="A55" s="8" t="s">
        <v>92</v>
      </c>
      <c r="B55" s="9">
        <v>1.1458333333333334E-2</v>
      </c>
      <c r="C55" s="9">
        <v>3.2407407407407406E-3</v>
      </c>
      <c r="D55" s="9">
        <f t="shared" si="24"/>
        <v>6.6664583333333333E-3</v>
      </c>
      <c r="E55" s="10">
        <v>0.58179999999999998</v>
      </c>
      <c r="F55" s="9">
        <f t="shared" si="17"/>
        <v>8.1018518518518516E-4</v>
      </c>
      <c r="G55" s="9">
        <f t="shared" si="18"/>
        <v>8.888611111111111E-4</v>
      </c>
      <c r="H55" s="9">
        <f t="shared" si="19"/>
        <v>9.1666666666666676E-4</v>
      </c>
      <c r="I55" s="9">
        <f t="shared" si="20"/>
        <v>9.5576463560334524E-4</v>
      </c>
      <c r="J55" s="9">
        <f t="shared" si="21"/>
        <v>9.6615338164251206E-4</v>
      </c>
      <c r="K55" s="9">
        <f t="shared" si="22"/>
        <v>1.0100694444444445E-3</v>
      </c>
      <c r="L55" s="9">
        <f t="shared" si="23"/>
        <v>1.0581679894179894E-3</v>
      </c>
      <c r="M55" s="11">
        <f>Table257111315252333353739414549515359121416182022[[#This Row],[Thresh]]</f>
        <v>1.0100694444444445E-3</v>
      </c>
      <c r="N55" s="9">
        <f>Table257111315252333353739414549515359121416182022[[#This Row],[T (400)]]*2.5</f>
        <v>2.5251736111111113E-3</v>
      </c>
      <c r="O55" s="24">
        <f>Table257111315252333353739414549515359121416182022[[#This Row],[VO2]]</f>
        <v>8.888611111111111E-4</v>
      </c>
      <c r="P55" s="9">
        <f>Table257111315252333353739414549515359121416182022[[#This Row],[R (200)]]*1.5</f>
        <v>1.3332916666666667E-3</v>
      </c>
      <c r="Q55" s="24">
        <f>Table257111315252333353739414549515359121416182022[[#This Row],[R]]/2</f>
        <v>4.0509259259259258E-4</v>
      </c>
      <c r="R55" s="9">
        <f>Table257111315252333353739414549515359121416182022[[#This Row],[.....]]*1.5</f>
        <v>6.076388888888889E-4</v>
      </c>
      <c r="S55" s="12"/>
      <c r="T55" s="25"/>
      <c r="V55" s="23" t="s">
        <v>30</v>
      </c>
      <c r="W55" s="108"/>
    </row>
    <row r="56" spans="1:23" ht="17.149999999999999" customHeight="1" x14ac:dyDescent="0.35">
      <c r="A56" s="8" t="s">
        <v>91</v>
      </c>
      <c r="B56" s="9">
        <v>1.1458333333333334E-2</v>
      </c>
      <c r="C56" s="9">
        <v>3.2986111111111111E-3</v>
      </c>
      <c r="D56" s="9">
        <f t="shared" si="24"/>
        <v>6.6664583333333333E-3</v>
      </c>
      <c r="E56" s="10">
        <v>0.58179999999999998</v>
      </c>
      <c r="F56" s="9">
        <f t="shared" si="17"/>
        <v>8.2465277777777778E-4</v>
      </c>
      <c r="G56" s="9">
        <f t="shared" si="18"/>
        <v>8.888611111111111E-4</v>
      </c>
      <c r="H56" s="9">
        <f t="shared" si="19"/>
        <v>9.1666666666666676E-4</v>
      </c>
      <c r="I56" s="9">
        <f t="shared" si="20"/>
        <v>9.5576463560334524E-4</v>
      </c>
      <c r="J56" s="9">
        <f t="shared" si="21"/>
        <v>9.6615338164251206E-4</v>
      </c>
      <c r="K56" s="9">
        <f t="shared" si="22"/>
        <v>1.0100694444444445E-3</v>
      </c>
      <c r="L56" s="9">
        <f t="shared" si="23"/>
        <v>1.0581679894179894E-3</v>
      </c>
      <c r="M56" s="11">
        <f>Table257111315252333353739414549515359121416182022[[#This Row],[Thresh]]</f>
        <v>1.0100694444444445E-3</v>
      </c>
      <c r="N56" s="9">
        <f>Table257111315252333353739414549515359121416182022[[#This Row],[T (400)]]*2.5</f>
        <v>2.5251736111111113E-3</v>
      </c>
      <c r="O56" s="24">
        <f>Table257111315252333353739414549515359121416182022[[#This Row],[VO2]]</f>
        <v>8.888611111111111E-4</v>
      </c>
      <c r="P56" s="9">
        <f>Table257111315252333353739414549515359121416182022[[#This Row],[R (200)]]*1.5</f>
        <v>1.3332916666666667E-3</v>
      </c>
      <c r="Q56" s="24">
        <f>Table257111315252333353739414549515359121416182022[[#This Row],[R]]/2</f>
        <v>4.1232638888888889E-4</v>
      </c>
      <c r="R56" s="9">
        <f>Table257111315252333353739414549515359121416182022[[#This Row],[.....]]*1.5</f>
        <v>6.184895833333333E-4</v>
      </c>
      <c r="S56" s="12"/>
      <c r="V56" s="23" t="s">
        <v>30</v>
      </c>
      <c r="W56" s="108"/>
    </row>
    <row r="57" spans="1:23" ht="17.149999999999999" customHeight="1" x14ac:dyDescent="0.35">
      <c r="A57" s="8" t="s">
        <v>113</v>
      </c>
      <c r="B57" s="9">
        <v>1.1805555555555555E-2</v>
      </c>
      <c r="C57" s="9">
        <v>3.414351851851852E-3</v>
      </c>
      <c r="D57" s="9">
        <f>B57*E57</f>
        <v>6.868472222222222E-3</v>
      </c>
      <c r="E57" s="10">
        <v>0.58179999999999998</v>
      </c>
      <c r="F57" s="9">
        <f>C57/4</f>
        <v>8.53587962962963E-4</v>
      </c>
      <c r="G57" s="9">
        <f>D57/7.5</f>
        <v>9.1579629629629628E-4</v>
      </c>
      <c r="H57" s="9">
        <f>B57/12.5</f>
        <v>9.4444444444444437E-4</v>
      </c>
      <c r="I57" s="9">
        <f>G57/0.93</f>
        <v>9.8472720031859799E-4</v>
      </c>
      <c r="J57" s="9">
        <f>G57/0.92</f>
        <v>9.9543075684380036E-4</v>
      </c>
      <c r="K57" s="9">
        <f>G57/0.88</f>
        <v>1.0406776094276093E-3</v>
      </c>
      <c r="L57" s="9">
        <f>G57/0.84</f>
        <v>1.0902336860670195E-3</v>
      </c>
      <c r="M57" s="11">
        <f>Table257111315252333353739414549515359121416182022[[#This Row],[Thresh]]</f>
        <v>1.0406776094276093E-3</v>
      </c>
      <c r="N57" s="9">
        <f>Table257111315252333353739414549515359121416182022[[#This Row],[T (400)]]*2.5</f>
        <v>2.6016940235690234E-3</v>
      </c>
      <c r="O57" s="24">
        <f>Table257111315252333353739414549515359121416182022[[#This Row],[VO2]]</f>
        <v>9.1579629629629628E-4</v>
      </c>
      <c r="P57" s="9">
        <f>Table257111315252333353739414549515359121416182022[[#This Row],[R (200)]]*1.5</f>
        <v>1.3736944444444443E-3</v>
      </c>
      <c r="Q57" s="24">
        <f>Table257111315252333353739414549515359121416182022[[#This Row],[R]]/2</f>
        <v>4.267939814814815E-4</v>
      </c>
      <c r="R57" s="9">
        <f>Table257111315252333353739414549515359121416182022[[#This Row],[.....]]*1.5</f>
        <v>6.4019097222222222E-4</v>
      </c>
      <c r="S57" s="12"/>
      <c r="T57" s="25"/>
      <c r="V57" s="23" t="s">
        <v>30</v>
      </c>
      <c r="W57" s="108"/>
    </row>
    <row r="58" spans="1:23" ht="17.149999999999999" customHeight="1" x14ac:dyDescent="0.35">
      <c r="A58" s="8" t="s">
        <v>93</v>
      </c>
      <c r="B58" s="9">
        <v>1.1921296296296298E-2</v>
      </c>
      <c r="C58" s="9">
        <v>3.472222222222222E-3</v>
      </c>
      <c r="D58" s="9">
        <f>B58*E58</f>
        <v>6.9358101851851863E-3</v>
      </c>
      <c r="E58" s="10">
        <v>0.58179999999999998</v>
      </c>
      <c r="F58" s="9">
        <f>C58/4</f>
        <v>8.6805555555555551E-4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>
        <f>Table257111315252333353739414549515359121416182022[[#This Row],[Thresh]]</f>
        <v>1.0508803310886646E-3</v>
      </c>
      <c r="N58" s="9">
        <f>Table257111315252333353739414549515359121416182022[[#This Row],[T (400)]]*2.5</f>
        <v>2.6272008277216617E-3</v>
      </c>
      <c r="O58" s="24">
        <f>Table257111315252333353739414549515359121416182022[[#This Row],[VO2]]</f>
        <v>9.2477469135802482E-4</v>
      </c>
      <c r="P58" s="9">
        <f>Table257111315252333353739414549515359121416182022[[#This Row],[R (200)]]*1.5</f>
        <v>1.3871620370370372E-3</v>
      </c>
      <c r="Q58" s="24">
        <f>Table257111315252333353739414549515359121416182022[[#This Row],[R]]/2</f>
        <v>4.3402777777777775E-4</v>
      </c>
      <c r="R58" s="9">
        <f>Table257111315252333353739414549515359121416182022[[#This Row],[.....]]*1.5</f>
        <v>6.5104166666666663E-4</v>
      </c>
      <c r="S58" s="12"/>
      <c r="T58" s="25"/>
      <c r="V58" s="23" t="s">
        <v>30</v>
      </c>
      <c r="W58" s="108"/>
    </row>
    <row r="59" spans="1:23" ht="17.149999999999999" customHeight="1" x14ac:dyDescent="0.35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8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17"/>
        <v>0</v>
      </c>
      <c r="G60" s="9">
        <f t="shared" si="18"/>
        <v>0</v>
      </c>
      <c r="H60" s="9">
        <f t="shared" si="19"/>
        <v>0</v>
      </c>
      <c r="I60" s="9">
        <f t="shared" si="20"/>
        <v>0</v>
      </c>
      <c r="J60" s="9">
        <f t="shared" si="21"/>
        <v>0</v>
      </c>
      <c r="K60" s="9">
        <f t="shared" si="22"/>
        <v>0</v>
      </c>
      <c r="L60" s="9">
        <f t="shared" si="23"/>
        <v>0</v>
      </c>
      <c r="M60" s="11"/>
      <c r="P60" s="25"/>
      <c r="Q60" s="25"/>
      <c r="R60" s="25"/>
      <c r="S60" s="25"/>
      <c r="V60" s="23"/>
      <c r="W60" s="108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17"/>
        <v>0</v>
      </c>
      <c r="G61" s="9">
        <f t="shared" si="18"/>
        <v>0</v>
      </c>
      <c r="H61" s="9">
        <f t="shared" si="19"/>
        <v>0</v>
      </c>
      <c r="I61" s="9">
        <f t="shared" si="20"/>
        <v>0</v>
      </c>
      <c r="J61" s="9">
        <f t="shared" si="21"/>
        <v>0</v>
      </c>
      <c r="K61" s="9">
        <f t="shared" si="22"/>
        <v>0</v>
      </c>
      <c r="L61" s="9">
        <f t="shared" si="23"/>
        <v>0</v>
      </c>
      <c r="M61" s="11"/>
      <c r="P61" s="25"/>
      <c r="Q61" s="25"/>
      <c r="R61" s="25"/>
      <c r="S61" s="25"/>
      <c r="V61" s="23"/>
      <c r="W61" s="113" t="s">
        <v>256</v>
      </c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5"/>
      <c r="R62" s="25"/>
      <c r="S62" s="12"/>
      <c r="V62" s="23"/>
      <c r="W62" s="113"/>
    </row>
    <row r="63" spans="1:23" ht="17.149999999999999" customHeight="1" x14ac:dyDescent="0.35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13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13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13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14"/>
    </row>
    <row r="67" spans="1:23" ht="17.149999999999999" customHeight="1" x14ac:dyDescent="0.35">
      <c r="A67" s="14" t="s">
        <v>252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13</v>
      </c>
      <c r="O67" s="15" t="s">
        <v>260</v>
      </c>
      <c r="P67" s="15" t="s">
        <v>136</v>
      </c>
      <c r="Q67" s="15" t="s">
        <v>144</v>
      </c>
      <c r="R67" s="15" t="s">
        <v>195</v>
      </c>
      <c r="S67" s="15" t="s">
        <v>196</v>
      </c>
      <c r="T67" s="15" t="s">
        <v>117</v>
      </c>
      <c r="U67" s="15" t="s">
        <v>118</v>
      </c>
      <c r="V67" s="17" t="s">
        <v>21</v>
      </c>
      <c r="W67" s="104" t="s">
        <v>261</v>
      </c>
    </row>
    <row r="68" spans="1:23" ht="17.149999999999999" customHeight="1" x14ac:dyDescent="0.35">
      <c r="A68" s="8" t="s">
        <v>76</v>
      </c>
      <c r="B68" s="9">
        <v>1.0011574074074074E-2</v>
      </c>
      <c r="C68" s="9">
        <v>2.9513888888888888E-3</v>
      </c>
      <c r="D68" s="9">
        <f>B68*E68</f>
        <v>5.8247337962962957E-3</v>
      </c>
      <c r="E68" s="10">
        <v>0.58179999999999998</v>
      </c>
      <c r="F68" s="9">
        <f>C68/4</f>
        <v>7.378472222222222E-4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Table257111315252333353739414549515359121416182022[[#This Row],[Thresh]]</f>
        <v>8.825354236812569E-4</v>
      </c>
      <c r="N68" s="9">
        <f>Table257111315252333353739414549515359121416182022[[#This Row],[T (400)]]*2</f>
        <v>1.7650708473625138E-3</v>
      </c>
      <c r="O68" s="9">
        <f>Table257111315252333353739414549515359121416182022[[#This Row],[T (400)]]*2.5</f>
        <v>2.2063385592031421E-3</v>
      </c>
      <c r="P68" s="24">
        <f>Table257111315252333353739414549515359121416182022[[#This Row],[CV]]</f>
        <v>8.4416431830381094E-4</v>
      </c>
      <c r="Q68" s="24">
        <f>Table257111315252333353739414549515359121416182022[[#This Row],[300 R]]*2</f>
        <v>1.6883286366076219E-3</v>
      </c>
      <c r="R68" s="24">
        <f>Table257111315252333353739414549515359121416182022[[#This Row],[VO2]]</f>
        <v>7.7663117283950612E-4</v>
      </c>
      <c r="S68" s="24">
        <f>Table257111315252333353739414549515359121416182022[[#This Row],[......]]*1.5</f>
        <v>1.1649467592592592E-3</v>
      </c>
      <c r="T68" s="24">
        <f>Table257111315252333353739414549515359121416182022[[#This Row],[R]]/2</f>
        <v>3.689236111111111E-4</v>
      </c>
      <c r="U68" s="24">
        <f>Table257111315252333353739414549515359121416182022[[#This Row],[........]]*1.5</f>
        <v>5.5338541666666665E-4</v>
      </c>
      <c r="V68" s="23" t="s">
        <v>34</v>
      </c>
      <c r="W68" s="104"/>
    </row>
    <row r="69" spans="1:23" ht="17.149999999999999" customHeight="1" x14ac:dyDescent="0.35">
      <c r="A69" s="8" t="s">
        <v>71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>C69/4</f>
        <v>7.233796296296297E-4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>
        <f>Table257111315252333353739414549515359121416182022[[#This Row],[Thresh]]</f>
        <v>8.825354236812569E-4</v>
      </c>
      <c r="N69" s="9">
        <f>Table257111315252333353739414549515359121416182022[[#This Row],[T (400)]]*2</f>
        <v>1.7650708473625138E-3</v>
      </c>
      <c r="O69" s="9">
        <f>Table257111315252333353739414549515359121416182022[[#This Row],[T (400)]]*2.5</f>
        <v>2.2063385592031421E-3</v>
      </c>
      <c r="P69" s="24">
        <f>Table257111315252333353739414549515359121416182022[[#This Row],[CV]]</f>
        <v>8.4416431830381094E-4</v>
      </c>
      <c r="Q69" s="24">
        <f>Table257111315252333353739414549515359121416182022[[#This Row],[300 R]]*2</f>
        <v>1.6883286366076219E-3</v>
      </c>
      <c r="R69" s="24">
        <f>Table257111315252333353739414549515359121416182022[[#This Row],[VO2]]</f>
        <v>7.7663117283950612E-4</v>
      </c>
      <c r="S69" s="24">
        <f>Table257111315252333353739414549515359121416182022[[#This Row],[......]]*1.5</f>
        <v>1.1649467592592592E-3</v>
      </c>
      <c r="T69" s="24">
        <f>Table257111315252333353739414549515359121416182022[[#This Row],[R]]/2</f>
        <v>3.6168981481481485E-4</v>
      </c>
      <c r="U69" s="24">
        <f>Table257111315252333353739414549515359121416182022[[#This Row],[........]]*1.5</f>
        <v>5.4253472222222225E-4</v>
      </c>
      <c r="V69" s="23" t="s">
        <v>34</v>
      </c>
      <c r="W69" s="104"/>
    </row>
    <row r="70" spans="1:23" ht="17.149999999999999" customHeight="1" x14ac:dyDescent="0.35">
      <c r="A70" s="8" t="s">
        <v>97</v>
      </c>
      <c r="B70" s="9">
        <v>1.0011574074074074E-2</v>
      </c>
      <c r="C70" s="9">
        <v>3.0092592592592588E-3</v>
      </c>
      <c r="D70" s="9">
        <f t="shared" ref="D70:D82" si="25">B70*E70</f>
        <v>5.8247337962962957E-3</v>
      </c>
      <c r="E70" s="10">
        <v>0.58179999999999998</v>
      </c>
      <c r="F70" s="9">
        <f t="shared" ref="F70:F82" si="26">C70/4</f>
        <v>7.5231481481481471E-4</v>
      </c>
      <c r="G70" s="9">
        <f t="shared" ref="G70:G82" si="27">D70/7.5</f>
        <v>7.7663117283950612E-4</v>
      </c>
      <c r="H70" s="9">
        <f t="shared" ref="H70:H82" si="28">B70/12.5</f>
        <v>8.0092592592592585E-4</v>
      </c>
      <c r="I70" s="9">
        <f t="shared" ref="I70:I82" si="29">G70/0.93</f>
        <v>8.3508728262312486E-4</v>
      </c>
      <c r="J70" s="9">
        <f t="shared" ref="J70:J82" si="30">G70/0.92</f>
        <v>8.4416431830381094E-4</v>
      </c>
      <c r="K70" s="9">
        <f t="shared" ref="K70:K82" si="31">G70/0.88</f>
        <v>8.825354236812569E-4</v>
      </c>
      <c r="L70" s="9">
        <f t="shared" ref="L70:L82" si="32">G70/0.84</f>
        <v>9.2456092004703113E-4</v>
      </c>
      <c r="M70" s="11">
        <f>Table257111315252333353739414549515359121416182022[[#This Row],[Thresh]]</f>
        <v>8.825354236812569E-4</v>
      </c>
      <c r="N70" s="9">
        <f>Table257111315252333353739414549515359121416182022[[#This Row],[T (400)]]*2</f>
        <v>1.7650708473625138E-3</v>
      </c>
      <c r="O70" s="9">
        <f>Table257111315252333353739414549515359121416182022[[#This Row],[T (400)]]*2.5</f>
        <v>2.2063385592031421E-3</v>
      </c>
      <c r="P70" s="24">
        <f>Table257111315252333353739414549515359121416182022[[#This Row],[CV]]</f>
        <v>8.4416431830381094E-4</v>
      </c>
      <c r="Q70" s="24">
        <f>Table257111315252333353739414549515359121416182022[[#This Row],[300 R]]*2</f>
        <v>1.6883286366076219E-3</v>
      </c>
      <c r="R70" s="24">
        <f>Table257111315252333353739414549515359121416182022[[#This Row],[VO2]]</f>
        <v>7.7663117283950612E-4</v>
      </c>
      <c r="S70" s="24">
        <f>Table257111315252333353739414549515359121416182022[[#This Row],[......]]*1.5</f>
        <v>1.1649467592592592E-3</v>
      </c>
      <c r="T70" s="24">
        <f>Table257111315252333353739414549515359121416182022[[#This Row],[R]]/2</f>
        <v>3.7615740740740735E-4</v>
      </c>
      <c r="U70" s="24">
        <f>Table257111315252333353739414549515359121416182022[[#This Row],[........]]*1.5</f>
        <v>5.6423611111111106E-4</v>
      </c>
      <c r="V70" s="23" t="s">
        <v>34</v>
      </c>
      <c r="W70" s="104"/>
    </row>
    <row r="71" spans="1:23" ht="17.149999999999999" customHeight="1" x14ac:dyDescent="0.35">
      <c r="A71" s="8" t="s">
        <v>73</v>
      </c>
      <c r="B71" s="9">
        <v>1.0011574074074074E-2</v>
      </c>
      <c r="C71" s="9">
        <v>2.9513888888888888E-3</v>
      </c>
      <c r="D71" s="9">
        <f t="shared" si="25"/>
        <v>5.8247337962962957E-3</v>
      </c>
      <c r="E71" s="10">
        <v>0.58179999999999998</v>
      </c>
      <c r="F71" s="9">
        <f t="shared" si="26"/>
        <v>7.378472222222222E-4</v>
      </c>
      <c r="G71" s="9">
        <f t="shared" si="27"/>
        <v>7.7663117283950612E-4</v>
      </c>
      <c r="H71" s="9">
        <f t="shared" si="28"/>
        <v>8.0092592592592585E-4</v>
      </c>
      <c r="I71" s="9">
        <f t="shared" si="29"/>
        <v>8.3508728262312486E-4</v>
      </c>
      <c r="J71" s="9">
        <f t="shared" si="30"/>
        <v>8.4416431830381094E-4</v>
      </c>
      <c r="K71" s="9">
        <f t="shared" si="31"/>
        <v>8.825354236812569E-4</v>
      </c>
      <c r="L71" s="9">
        <f t="shared" si="32"/>
        <v>9.2456092004703113E-4</v>
      </c>
      <c r="M71" s="11">
        <f>Table257111315252333353739414549515359121416182022[[#This Row],[Thresh]]</f>
        <v>8.825354236812569E-4</v>
      </c>
      <c r="N71" s="9">
        <f>Table257111315252333353739414549515359121416182022[[#This Row],[T (400)]]*2</f>
        <v>1.7650708473625138E-3</v>
      </c>
      <c r="O71" s="9">
        <f>Table257111315252333353739414549515359121416182022[[#This Row],[T (400)]]*2.5</f>
        <v>2.2063385592031421E-3</v>
      </c>
      <c r="P71" s="24">
        <f>Table257111315252333353739414549515359121416182022[[#This Row],[CV]]</f>
        <v>8.4416431830381094E-4</v>
      </c>
      <c r="Q71" s="24">
        <f>Table257111315252333353739414549515359121416182022[[#This Row],[300 R]]*2</f>
        <v>1.6883286366076219E-3</v>
      </c>
      <c r="R71" s="24">
        <f>Table257111315252333353739414549515359121416182022[[#This Row],[VO2]]</f>
        <v>7.7663117283950612E-4</v>
      </c>
      <c r="S71" s="24">
        <f>Table257111315252333353739414549515359121416182022[[#This Row],[......]]*1.5</f>
        <v>1.1649467592592592E-3</v>
      </c>
      <c r="T71" s="24">
        <f>Table257111315252333353739414549515359121416182022[[#This Row],[R]]/2</f>
        <v>3.689236111111111E-4</v>
      </c>
      <c r="U71" s="24">
        <f>Table257111315252333353739414549515359121416182022[[#This Row],[........]]*1.5</f>
        <v>5.5338541666666665E-4</v>
      </c>
      <c r="V71" s="23" t="s">
        <v>34</v>
      </c>
      <c r="W71" s="104"/>
    </row>
    <row r="72" spans="1:23" ht="17.149999999999999" customHeight="1" x14ac:dyDescent="0.35">
      <c r="A72" s="8" t="s">
        <v>78</v>
      </c>
      <c r="B72" s="9">
        <v>1.0243055555555556E-2</v>
      </c>
      <c r="C72" s="9">
        <v>2.9745370370370373E-3</v>
      </c>
      <c r="D72" s="9">
        <f t="shared" si="25"/>
        <v>5.9594097222222218E-3</v>
      </c>
      <c r="E72" s="10">
        <v>0.58179999999999998</v>
      </c>
      <c r="F72" s="9">
        <f t="shared" si="26"/>
        <v>7.4363425925925931E-4</v>
      </c>
      <c r="G72" s="9">
        <f t="shared" si="27"/>
        <v>7.9458796296296287E-4</v>
      </c>
      <c r="H72" s="9">
        <f t="shared" si="28"/>
        <v>8.1944444444444447E-4</v>
      </c>
      <c r="I72" s="9">
        <f t="shared" si="29"/>
        <v>8.5439565909996003E-4</v>
      </c>
      <c r="J72" s="9">
        <f t="shared" si="30"/>
        <v>8.636825684380031E-4</v>
      </c>
      <c r="K72" s="9">
        <f t="shared" si="31"/>
        <v>9.0294086700336686E-4</v>
      </c>
      <c r="L72" s="9">
        <f t="shared" si="32"/>
        <v>9.4593805114638445E-4</v>
      </c>
      <c r="M72" s="11">
        <f>Table257111315252333353739414549515359121416182022[[#This Row],[Thresh]]</f>
        <v>9.0294086700336686E-4</v>
      </c>
      <c r="N72" s="9">
        <f>Table257111315252333353739414549515359121416182022[[#This Row],[T (400)]]*2</f>
        <v>1.8058817340067337E-3</v>
      </c>
      <c r="O72" s="9">
        <f>Table257111315252333353739414549515359121416182022[[#This Row],[T (400)]]*2.5</f>
        <v>2.2573521675084171E-3</v>
      </c>
      <c r="P72" s="24">
        <f>Table257111315252333353739414549515359121416182022[[#This Row],[CV]]</f>
        <v>8.636825684380031E-4</v>
      </c>
      <c r="Q72" s="24">
        <f>Table257111315252333353739414549515359121416182022[[#This Row],[300 R]]*2</f>
        <v>1.7273651368760062E-3</v>
      </c>
      <c r="R72" s="24">
        <f>Table257111315252333353739414549515359121416182022[[#This Row],[VO2]]</f>
        <v>7.9458796296296287E-4</v>
      </c>
      <c r="S72" s="24">
        <f>Table257111315252333353739414549515359121416182022[[#This Row],[......]]*1.5</f>
        <v>1.1918819444444442E-3</v>
      </c>
      <c r="T72" s="24">
        <f>Table257111315252333353739414549515359121416182022[[#This Row],[R]]/2</f>
        <v>3.7181712962962966E-4</v>
      </c>
      <c r="U72" s="24">
        <f>Table257111315252333353739414549515359121416182022[[#This Row],[........]]*1.5</f>
        <v>5.5772569444444446E-4</v>
      </c>
      <c r="V72" s="23" t="s">
        <v>34</v>
      </c>
      <c r="W72" s="104"/>
    </row>
    <row r="73" spans="1:23" ht="17.149999999999999" customHeight="1" x14ac:dyDescent="0.35">
      <c r="A73" s="8" t="s">
        <v>80</v>
      </c>
      <c r="B73" s="9">
        <v>1.0416666666666666E-2</v>
      </c>
      <c r="C73" s="9">
        <v>3.0092592592592588E-3</v>
      </c>
      <c r="D73" s="9">
        <f t="shared" si="25"/>
        <v>6.0604166666666662E-3</v>
      </c>
      <c r="E73" s="10">
        <v>0.58179999999999998</v>
      </c>
      <c r="F73" s="9">
        <f t="shared" si="26"/>
        <v>7.5231481481481471E-4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11">
        <f>Table257111315252333353739414549515359121416182022[[#This Row],[Thresh]]</f>
        <v>9.1824494949494938E-4</v>
      </c>
      <c r="N73" s="9">
        <f>Table257111315252333353739414549515359121416182022[[#This Row],[T (400)]]*2</f>
        <v>1.8364898989898988E-3</v>
      </c>
      <c r="O73" s="9">
        <f>Table257111315252333353739414549515359121416182022[[#This Row],[T (400)]]*2.5</f>
        <v>2.2956123737373733E-3</v>
      </c>
      <c r="P73" s="24">
        <f>Table257111315252333353739414549515359121416182022[[#This Row],[CV]]</f>
        <v>8.7832125603864715E-4</v>
      </c>
      <c r="Q73" s="24">
        <f>Table257111315252333353739414549515359121416182022[[#This Row],[300 R]]*2</f>
        <v>1.7566425120772943E-3</v>
      </c>
      <c r="R73" s="24">
        <f>Table257111315252333353739414549515359121416182022[[#This Row],[VO2]]</f>
        <v>8.0805555555555546E-4</v>
      </c>
      <c r="S73" s="24">
        <f>Table257111315252333353739414549515359121416182022[[#This Row],[......]]*1.5</f>
        <v>1.2120833333333332E-3</v>
      </c>
      <c r="T73" s="24">
        <f>Table257111315252333353739414549515359121416182022[[#This Row],[R]]/2</f>
        <v>3.7615740740740735E-4</v>
      </c>
      <c r="U73" s="24">
        <f>Table257111315252333353739414549515359121416182022[[#This Row],[........]]*1.5</f>
        <v>5.6423611111111106E-4</v>
      </c>
      <c r="V73" s="23" t="s">
        <v>34</v>
      </c>
      <c r="W73" s="104"/>
    </row>
    <row r="74" spans="1:23" ht="17.149999999999999" customHeight="1" x14ac:dyDescent="0.35">
      <c r="A74" s="8" t="s">
        <v>77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Table257111315252333353739414549515359121416182022[[#This Row],[Thresh]]</f>
        <v>9.1824494949494938E-4</v>
      </c>
      <c r="N74" s="9">
        <f>Table257111315252333353739414549515359121416182022[[#This Row],[T (400)]]*2</f>
        <v>1.8364898989898988E-3</v>
      </c>
      <c r="O74" s="9">
        <f>Table257111315252333353739414549515359121416182022[[#This Row],[T (400)]]*2.5</f>
        <v>2.2956123737373733E-3</v>
      </c>
      <c r="P74" s="24">
        <f>Table257111315252333353739414549515359121416182022[[#This Row],[CV]]</f>
        <v>8.7832125603864715E-4</v>
      </c>
      <c r="Q74" s="24">
        <f>Table257111315252333353739414549515359121416182022[[#This Row],[300 R]]*2</f>
        <v>1.7566425120772943E-3</v>
      </c>
      <c r="R74" s="24">
        <f>Table257111315252333353739414549515359121416182022[[#This Row],[VO2]]</f>
        <v>8.0805555555555546E-4</v>
      </c>
      <c r="S74" s="24">
        <f>Table257111315252333353739414549515359121416182022[[#This Row],[......]]*1.5</f>
        <v>1.2120833333333332E-3</v>
      </c>
      <c r="T74" s="24">
        <f>Table257111315252333353739414549515359121416182022[[#This Row],[R]]/2</f>
        <v>3.7181712962962966E-4</v>
      </c>
      <c r="U74" s="24">
        <f>Table257111315252333353739414549515359121416182022[[#This Row],[........]]*1.5</f>
        <v>5.5772569444444446E-4</v>
      </c>
      <c r="V74" s="23" t="s">
        <v>34</v>
      </c>
      <c r="W74" s="104"/>
    </row>
    <row r="75" spans="1:23" ht="17.149999999999999" customHeight="1" x14ac:dyDescent="0.35">
      <c r="A75" s="8" t="s">
        <v>82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Table257111315252333353739414549515359121416182022[[#This Row],[Thresh]]</f>
        <v>9.1824494949494938E-4</v>
      </c>
      <c r="N75" s="9">
        <f>Table257111315252333353739414549515359121416182022[[#This Row],[T (400)]]*2</f>
        <v>1.8364898989898988E-3</v>
      </c>
      <c r="O75" s="9">
        <f>Table257111315252333353739414549515359121416182022[[#This Row],[T (400)]]*2.5</f>
        <v>2.2956123737373733E-3</v>
      </c>
      <c r="P75" s="24">
        <f>Table257111315252333353739414549515359121416182022[[#This Row],[CV]]</f>
        <v>8.7832125603864715E-4</v>
      </c>
      <c r="Q75" s="24">
        <f>Table257111315252333353739414549515359121416182022[[#This Row],[300 R]]*2</f>
        <v>1.7566425120772943E-3</v>
      </c>
      <c r="R75" s="24">
        <f>Table257111315252333353739414549515359121416182022[[#This Row],[VO2]]</f>
        <v>8.0805555555555546E-4</v>
      </c>
      <c r="S75" s="24">
        <f>Table257111315252333353739414549515359121416182022[[#This Row],[......]]*1.5</f>
        <v>1.2120833333333332E-3</v>
      </c>
      <c r="T75" s="24">
        <f>Table257111315252333353739414549515359121416182022[[#This Row],[R]]/2</f>
        <v>3.7615740740740735E-4</v>
      </c>
      <c r="U75" s="24">
        <f>Table257111315252333353739414549515359121416182022[[#This Row],[........]]*1.5</f>
        <v>5.6423611111111106E-4</v>
      </c>
      <c r="V75" s="23" t="s">
        <v>34</v>
      </c>
      <c r="W75" s="104"/>
    </row>
    <row r="76" spans="1:23" ht="17.149999999999999" customHeight="1" x14ac:dyDescent="0.35">
      <c r="A76" s="8" t="s">
        <v>104</v>
      </c>
      <c r="B76" s="9">
        <v>1.064814814814815E-2</v>
      </c>
      <c r="C76" s="9">
        <v>3.1249999999999997E-3</v>
      </c>
      <c r="D76" s="9">
        <f>B76*E76</f>
        <v>6.1950925925925932E-3</v>
      </c>
      <c r="E76" s="10">
        <v>0.58179999999999998</v>
      </c>
      <c r="F76" s="9">
        <f>C76/4</f>
        <v>7.8124999999999993E-4</v>
      </c>
      <c r="G76" s="9">
        <f>D76/7.5</f>
        <v>8.2601234567901242E-4</v>
      </c>
      <c r="H76" s="9">
        <f>B76/12.5</f>
        <v>8.5185185185185201E-4</v>
      </c>
      <c r="I76" s="9">
        <f>G76/0.93</f>
        <v>8.8818531793442195E-4</v>
      </c>
      <c r="J76" s="9">
        <f>G76/0.92</f>
        <v>8.9783950617283953E-4</v>
      </c>
      <c r="K76" s="9">
        <f>G76/0.88</f>
        <v>9.3865039281705955E-4</v>
      </c>
      <c r="L76" s="9">
        <f>G76/0.84</f>
        <v>9.8334803057025292E-4</v>
      </c>
      <c r="M76" s="11">
        <f>Table257111315252333353739414549515359121416182022[[#This Row],[Thresh]]</f>
        <v>9.3865039281705955E-4</v>
      </c>
      <c r="N76" s="9">
        <f>Table257111315252333353739414549515359121416182022[[#This Row],[T (400)]]*2</f>
        <v>1.8773007856341191E-3</v>
      </c>
      <c r="O76" s="9">
        <f>Table257111315252333353739414549515359121416182022[[#This Row],[T (400)]]*2.5</f>
        <v>2.3466259820426488E-3</v>
      </c>
      <c r="P76" s="24">
        <f>Table257111315252333353739414549515359121416182022[[#This Row],[CV]]</f>
        <v>8.9783950617283953E-4</v>
      </c>
      <c r="Q76" s="24">
        <f>Table257111315252333353739414549515359121416182022[[#This Row],[300 R]]*2</f>
        <v>1.7956790123456791E-3</v>
      </c>
      <c r="R76" s="24">
        <f>Table257111315252333353739414549515359121416182022[[#This Row],[VO2]]</f>
        <v>8.2601234567901242E-4</v>
      </c>
      <c r="S76" s="24">
        <f>Table257111315252333353739414549515359121416182022[[#This Row],[......]]*1.5</f>
        <v>1.2390185185185186E-3</v>
      </c>
      <c r="T76" s="24">
        <f>Table257111315252333353739414549515359121416182022[[#This Row],[R]]/2</f>
        <v>3.9062499999999997E-4</v>
      </c>
      <c r="U76" s="24">
        <f>Table257111315252333353739414549515359121416182022[[#This Row],[........]]*1.5</f>
        <v>5.8593749999999998E-4</v>
      </c>
      <c r="V76" s="23" t="s">
        <v>34</v>
      </c>
      <c r="W76" s="108"/>
    </row>
    <row r="77" spans="1:23" ht="17.149999999999999" customHeight="1" x14ac:dyDescent="0.35">
      <c r="A77" s="8" t="s">
        <v>87</v>
      </c>
      <c r="B77" s="9">
        <v>1.0763888888888891E-2</v>
      </c>
      <c r="C77" s="9">
        <v>3.1249999999999997E-3</v>
      </c>
      <c r="D77" s="9">
        <f t="shared" si="25"/>
        <v>6.2624305555555567E-3</v>
      </c>
      <c r="E77" s="10">
        <v>0.58179999999999998</v>
      </c>
      <c r="F77" s="9">
        <f t="shared" si="26"/>
        <v>7.8124999999999993E-4</v>
      </c>
      <c r="G77" s="9">
        <f t="shared" si="27"/>
        <v>8.3499074074074085E-4</v>
      </c>
      <c r="H77" s="9">
        <f t="shared" si="28"/>
        <v>8.6111111111111121E-4</v>
      </c>
      <c r="I77" s="9">
        <f t="shared" si="29"/>
        <v>8.9783950617283953E-4</v>
      </c>
      <c r="J77" s="9">
        <f t="shared" si="30"/>
        <v>9.0759863123993567E-4</v>
      </c>
      <c r="K77" s="9">
        <f t="shared" si="31"/>
        <v>9.4885311447811464E-4</v>
      </c>
      <c r="L77" s="9">
        <f t="shared" si="32"/>
        <v>9.9403659611992969E-4</v>
      </c>
      <c r="M77" s="11">
        <f>Table257111315252333353739414549515359121416182022[[#This Row],[Thresh]]</f>
        <v>9.4885311447811464E-4</v>
      </c>
      <c r="N77" s="9">
        <f>Table257111315252333353739414549515359121416182022[[#This Row],[T (400)]]*2</f>
        <v>1.8977062289562293E-3</v>
      </c>
      <c r="O77" s="9">
        <f>Table257111315252333353739414549515359121416182022[[#This Row],[T (400)]]*2.5</f>
        <v>2.3721327861952867E-3</v>
      </c>
      <c r="P77" s="24">
        <f>Table257111315252333353739414549515359121416182022[[#This Row],[CV]]</f>
        <v>9.0759863123993567E-4</v>
      </c>
      <c r="Q77" s="24">
        <f>Table257111315252333353739414549515359121416182022[[#This Row],[300 R]]*2</f>
        <v>1.8151972624798713E-3</v>
      </c>
      <c r="R77" s="24">
        <f>Table257111315252333353739414549515359121416182022[[#This Row],[VO2]]</f>
        <v>8.3499074074074085E-4</v>
      </c>
      <c r="S77" s="24">
        <f>Table257111315252333353739414549515359121416182022[[#This Row],[......]]*1.5</f>
        <v>1.2524861111111113E-3</v>
      </c>
      <c r="T77" s="24">
        <f>Table257111315252333353739414549515359121416182022[[#This Row],[R]]/2</f>
        <v>3.9062499999999997E-4</v>
      </c>
      <c r="U77" s="24">
        <f>Table257111315252333353739414549515359121416182022[[#This Row],[........]]*1.5</f>
        <v>5.8593749999999998E-4</v>
      </c>
      <c r="V77" s="23" t="s">
        <v>34</v>
      </c>
      <c r="W77" s="108"/>
    </row>
    <row r="78" spans="1:23" ht="17.149999999999999" customHeight="1" x14ac:dyDescent="0.35">
      <c r="A78" s="8" t="s">
        <v>108</v>
      </c>
      <c r="B78" s="9">
        <v>1.0763888888888891E-2</v>
      </c>
      <c r="C78" s="9">
        <v>3.1828703703703702E-3</v>
      </c>
      <c r="D78" s="9">
        <f t="shared" si="25"/>
        <v>6.2624305555555567E-3</v>
      </c>
      <c r="E78" s="10">
        <v>0.58179999999999998</v>
      </c>
      <c r="F78" s="9">
        <f t="shared" si="26"/>
        <v>7.9571759259259255E-4</v>
      </c>
      <c r="G78" s="9">
        <f t="shared" si="27"/>
        <v>8.3499074074074085E-4</v>
      </c>
      <c r="H78" s="9">
        <f t="shared" si="28"/>
        <v>8.6111111111111121E-4</v>
      </c>
      <c r="I78" s="9">
        <f t="shared" si="29"/>
        <v>8.9783950617283953E-4</v>
      </c>
      <c r="J78" s="9">
        <f t="shared" si="30"/>
        <v>9.0759863123993567E-4</v>
      </c>
      <c r="K78" s="9">
        <f t="shared" si="31"/>
        <v>9.4885311447811464E-4</v>
      </c>
      <c r="L78" s="9">
        <f t="shared" si="32"/>
        <v>9.9403659611992969E-4</v>
      </c>
      <c r="M78" s="11">
        <f>Table257111315252333353739414549515359121416182022[[#This Row],[Thresh]]</f>
        <v>9.4885311447811464E-4</v>
      </c>
      <c r="N78" s="9">
        <f>Table257111315252333353739414549515359121416182022[[#This Row],[T (400)]]*2</f>
        <v>1.8977062289562293E-3</v>
      </c>
      <c r="O78" s="9">
        <f>Table257111315252333353739414549515359121416182022[[#This Row],[T (400)]]*2.5</f>
        <v>2.3721327861952867E-3</v>
      </c>
      <c r="P78" s="24">
        <f>Table257111315252333353739414549515359121416182022[[#This Row],[CV]]</f>
        <v>9.0759863123993567E-4</v>
      </c>
      <c r="Q78" s="24">
        <f>Table257111315252333353739414549515359121416182022[[#This Row],[300 R]]*2</f>
        <v>1.8151972624798713E-3</v>
      </c>
      <c r="R78" s="24">
        <f>Table257111315252333353739414549515359121416182022[[#This Row],[VO2]]</f>
        <v>8.3499074074074085E-4</v>
      </c>
      <c r="S78" s="24">
        <f>Table257111315252333353739414549515359121416182022[[#This Row],[......]]*1.5</f>
        <v>1.2524861111111113E-3</v>
      </c>
      <c r="T78" s="24">
        <f>Table257111315252333353739414549515359121416182022[[#This Row],[R]]/2</f>
        <v>3.9785879629629627E-4</v>
      </c>
      <c r="U78" s="24">
        <f>Table257111315252333353739414549515359121416182022[[#This Row],[........]]*1.5</f>
        <v>5.9678819444444438E-4</v>
      </c>
      <c r="V78" s="23" t="s">
        <v>34</v>
      </c>
      <c r="W78" s="108"/>
    </row>
    <row r="79" spans="1:23" ht="17.149999999999999" customHeight="1" x14ac:dyDescent="0.35">
      <c r="A79" s="8" t="s">
        <v>109</v>
      </c>
      <c r="B79" s="9">
        <v>1.0763888888888889E-2</v>
      </c>
      <c r="C79" s="9">
        <v>3.1249999999999997E-3</v>
      </c>
      <c r="D79" s="9">
        <f>B79*E79</f>
        <v>6.2624305555555549E-3</v>
      </c>
      <c r="E79" s="10">
        <v>0.58179999999999998</v>
      </c>
      <c r="F79" s="9">
        <f>C79/4</f>
        <v>7.8124999999999993E-4</v>
      </c>
      <c r="G79" s="9">
        <f>D79/7.5</f>
        <v>8.3499074074074064E-4</v>
      </c>
      <c r="H79" s="9">
        <f>B79/12.5</f>
        <v>8.611111111111111E-4</v>
      </c>
      <c r="I79" s="9">
        <f>G79/0.93</f>
        <v>8.9783950617283931E-4</v>
      </c>
      <c r="J79" s="9">
        <f>G79/0.92</f>
        <v>9.0759863123993545E-4</v>
      </c>
      <c r="K79" s="9">
        <f>G79/0.88</f>
        <v>9.4885311447811432E-4</v>
      </c>
      <c r="L79" s="9">
        <f>G79/0.84</f>
        <v>9.9403659611992947E-4</v>
      </c>
      <c r="M79" s="11">
        <f>Table257111315252333353739414549515359121416182022[[#This Row],[Thresh]]</f>
        <v>9.4885311447811432E-4</v>
      </c>
      <c r="N79" s="9">
        <f>Table257111315252333353739414549515359121416182022[[#This Row],[T (400)]]*2</f>
        <v>1.8977062289562286E-3</v>
      </c>
      <c r="O79" s="9">
        <f>Table257111315252333353739414549515359121416182022[[#This Row],[T (400)]]*2.5</f>
        <v>2.3721327861952858E-3</v>
      </c>
      <c r="P79" s="24">
        <f>Table257111315252333353739414549515359121416182022[[#This Row],[CV]]</f>
        <v>9.0759863123993545E-4</v>
      </c>
      <c r="Q79" s="24">
        <f>Table257111315252333353739414549515359121416182022[[#This Row],[300 R]]*2</f>
        <v>1.8151972624798709E-3</v>
      </c>
      <c r="R79" s="24">
        <f>Table257111315252333353739414549515359121416182022[[#This Row],[VO2]]</f>
        <v>8.3499074074074064E-4</v>
      </c>
      <c r="S79" s="24">
        <f>Table257111315252333353739414549515359121416182022[[#This Row],[......]]*1.5</f>
        <v>1.2524861111111109E-3</v>
      </c>
      <c r="T79" s="24">
        <f>Table257111315252333353739414549515359121416182022[[#This Row],[R]]/2</f>
        <v>3.9062499999999997E-4</v>
      </c>
      <c r="U79" s="24">
        <f>Table257111315252333353739414549515359121416182022[[#This Row],[........]]*1.5</f>
        <v>5.8593749999999998E-4</v>
      </c>
      <c r="V79" s="23" t="s">
        <v>34</v>
      </c>
      <c r="W79" s="108"/>
    </row>
    <row r="80" spans="1:23" ht="17.149999999999999" customHeight="1" x14ac:dyDescent="0.35">
      <c r="A80" s="8" t="s">
        <v>85</v>
      </c>
      <c r="B80" s="9">
        <v>1.0763888888888889E-2</v>
      </c>
      <c r="C80" s="9">
        <v>3.1249999999999997E-3</v>
      </c>
      <c r="D80" s="9">
        <f>B80*E80</f>
        <v>6.2624305555555549E-3</v>
      </c>
      <c r="E80" s="10">
        <v>0.58179999999999998</v>
      </c>
      <c r="F80" s="9">
        <f>C80/4</f>
        <v>7.8124999999999993E-4</v>
      </c>
      <c r="G80" s="9">
        <f>D80/7.5</f>
        <v>8.3499074074074064E-4</v>
      </c>
      <c r="H80" s="9">
        <f>B80/12.5</f>
        <v>8.611111111111111E-4</v>
      </c>
      <c r="I80" s="9">
        <f>G80/0.93</f>
        <v>8.9783950617283931E-4</v>
      </c>
      <c r="J80" s="9">
        <f>G80/0.92</f>
        <v>9.0759863123993545E-4</v>
      </c>
      <c r="K80" s="9">
        <f>G80/0.88</f>
        <v>9.4885311447811432E-4</v>
      </c>
      <c r="L80" s="9">
        <f>G80/0.84</f>
        <v>9.9403659611992947E-4</v>
      </c>
      <c r="M80" s="11">
        <f>Table257111315252333353739414549515359121416182022[[#This Row],[Thresh]]</f>
        <v>9.4885311447811432E-4</v>
      </c>
      <c r="N80" s="9">
        <f>Table257111315252333353739414549515359121416182022[[#This Row],[T (400)]]*2</f>
        <v>1.8977062289562286E-3</v>
      </c>
      <c r="O80" s="9">
        <f>Table257111315252333353739414549515359121416182022[[#This Row],[T (400)]]*2.5</f>
        <v>2.3721327861952858E-3</v>
      </c>
      <c r="P80" s="24">
        <f>Table257111315252333353739414549515359121416182022[[#This Row],[CV]]</f>
        <v>9.0759863123993545E-4</v>
      </c>
      <c r="Q80" s="24">
        <f>Table257111315252333353739414549515359121416182022[[#This Row],[300 R]]*2</f>
        <v>1.8151972624798709E-3</v>
      </c>
      <c r="R80" s="24">
        <f>Table257111315252333353739414549515359121416182022[[#This Row],[VO2]]</f>
        <v>8.3499074074074064E-4</v>
      </c>
      <c r="S80" s="24">
        <f>Table257111315252333353739414549515359121416182022[[#This Row],[......]]*1.5</f>
        <v>1.2524861111111109E-3</v>
      </c>
      <c r="T80" s="24">
        <f>Table257111315252333353739414549515359121416182022[[#This Row],[R]]/2</f>
        <v>3.9062499999999997E-4</v>
      </c>
      <c r="U80" s="24">
        <f>Table257111315252333353739414549515359121416182022[[#This Row],[........]]*1.5</f>
        <v>5.8593749999999998E-4</v>
      </c>
      <c r="V80" s="23" t="s">
        <v>34</v>
      </c>
      <c r="W80" s="108"/>
    </row>
    <row r="81" spans="1:23" ht="17.149999999999999" customHeight="1" x14ac:dyDescent="0.35">
      <c r="A81" s="8" t="s">
        <v>88</v>
      </c>
      <c r="B81" s="9">
        <v>1.087962962962963E-2</v>
      </c>
      <c r="C81" s="9">
        <v>3.1828703703703702E-3</v>
      </c>
      <c r="D81" s="9">
        <f>B81*E81</f>
        <v>6.3297685185185184E-3</v>
      </c>
      <c r="E81" s="10">
        <v>0.58179999999999998</v>
      </c>
      <c r="F81" s="9">
        <f>C81/4</f>
        <v>7.9571759259259255E-4</v>
      </c>
      <c r="G81" s="9">
        <f>D81/7.5</f>
        <v>8.4396913580246917E-4</v>
      </c>
      <c r="H81" s="9">
        <f>B81/12.5</f>
        <v>8.7037037037037042E-4</v>
      </c>
      <c r="I81" s="9">
        <f>G81/0.93</f>
        <v>9.0749369441125711E-4</v>
      </c>
      <c r="J81" s="9">
        <f>G81/0.92</f>
        <v>9.173577563070317E-4</v>
      </c>
      <c r="K81" s="9">
        <f>G81/0.88</f>
        <v>9.5905583613916951E-4</v>
      </c>
      <c r="L81" s="9">
        <f>G81/0.84</f>
        <v>1.0047251616696062E-3</v>
      </c>
      <c r="M81" s="11">
        <f>Table257111315252333353739414549515359121416182022[[#This Row],[Thresh]]</f>
        <v>9.5905583613916951E-4</v>
      </c>
      <c r="N81" s="9">
        <f>Table257111315252333353739414549515359121416182022[[#This Row],[T (400)]]*2</f>
        <v>1.918111672278339E-3</v>
      </c>
      <c r="O81" s="9">
        <f>Table257111315252333353739414549515359121416182022[[#This Row],[T (400)]]*2.5</f>
        <v>2.3976395903479238E-3</v>
      </c>
      <c r="P81" s="24">
        <f>Table257111315252333353739414549515359121416182022[[#This Row],[CV]]</f>
        <v>9.173577563070317E-4</v>
      </c>
      <c r="Q81" s="24">
        <f>Table257111315252333353739414549515359121416182022[[#This Row],[300 R]]*2</f>
        <v>1.8347155126140634E-3</v>
      </c>
      <c r="R81" s="24">
        <f>Table257111315252333353739414549515359121416182022[[#This Row],[VO2]]</f>
        <v>8.4396913580246917E-4</v>
      </c>
      <c r="S81" s="24">
        <f>Table257111315252333353739414549515359121416182022[[#This Row],[......]]*1.5</f>
        <v>1.2659537037037038E-3</v>
      </c>
      <c r="T81" s="24">
        <f>Table257111315252333353739414549515359121416182022[[#This Row],[R]]/2</f>
        <v>3.9785879629629627E-4</v>
      </c>
      <c r="U81" s="24">
        <f>Table257111315252333353739414549515359121416182022[[#This Row],[........]]*1.5</f>
        <v>5.9678819444444438E-4</v>
      </c>
      <c r="V81" s="23" t="s">
        <v>34</v>
      </c>
      <c r="W81" s="108"/>
    </row>
    <row r="82" spans="1:23" ht="17.149999999999999" customHeight="1" x14ac:dyDescent="0.35">
      <c r="A82" s="8" t="s">
        <v>111</v>
      </c>
      <c r="B82" s="9">
        <v>1.087962962962963E-2</v>
      </c>
      <c r="C82" s="9">
        <v>3.1828703703703702E-3</v>
      </c>
      <c r="D82" s="9">
        <f t="shared" si="25"/>
        <v>6.3297685185185184E-3</v>
      </c>
      <c r="E82" s="10">
        <v>0.58179999999999998</v>
      </c>
      <c r="F82" s="9">
        <f t="shared" si="26"/>
        <v>7.9571759259259255E-4</v>
      </c>
      <c r="G82" s="9">
        <f t="shared" si="27"/>
        <v>8.4396913580246917E-4</v>
      </c>
      <c r="H82" s="9">
        <f t="shared" si="28"/>
        <v>8.7037037037037042E-4</v>
      </c>
      <c r="I82" s="9">
        <f t="shared" si="29"/>
        <v>9.0749369441125711E-4</v>
      </c>
      <c r="J82" s="9">
        <f t="shared" si="30"/>
        <v>9.173577563070317E-4</v>
      </c>
      <c r="K82" s="9">
        <f t="shared" si="31"/>
        <v>9.5905583613916951E-4</v>
      </c>
      <c r="L82" s="9">
        <f t="shared" si="32"/>
        <v>1.0047251616696062E-3</v>
      </c>
      <c r="M82" s="11">
        <f>Table257111315252333353739414549515359121416182022[[#This Row],[Thresh]]</f>
        <v>9.5905583613916951E-4</v>
      </c>
      <c r="N82" s="9">
        <f>Table257111315252333353739414549515359121416182022[[#This Row],[T (400)]]*2</f>
        <v>1.918111672278339E-3</v>
      </c>
      <c r="O82" s="9">
        <f>Table257111315252333353739414549515359121416182022[[#This Row],[T (400)]]*2.5</f>
        <v>2.3976395903479238E-3</v>
      </c>
      <c r="P82" s="24">
        <f>Table257111315252333353739414549515359121416182022[[#This Row],[CV]]</f>
        <v>9.173577563070317E-4</v>
      </c>
      <c r="Q82" s="24">
        <f>Table257111315252333353739414549515359121416182022[[#This Row],[300 R]]*2</f>
        <v>1.8347155126140634E-3</v>
      </c>
      <c r="R82" s="24">
        <f>Table257111315252333353739414549515359121416182022[[#This Row],[VO2]]</f>
        <v>8.4396913580246917E-4</v>
      </c>
      <c r="S82" s="24">
        <f>Table257111315252333353739414549515359121416182022[[#This Row],[......]]*1.5</f>
        <v>1.2659537037037038E-3</v>
      </c>
      <c r="T82" s="24">
        <f>Table257111315252333353739414549515359121416182022[[#This Row],[R]]/2</f>
        <v>3.9785879629629627E-4</v>
      </c>
      <c r="U82" s="24">
        <f>Table257111315252333353739414549515359121416182022[[#This Row],[........]]*1.5</f>
        <v>5.9678819444444438E-4</v>
      </c>
      <c r="V82" s="23" t="s">
        <v>34</v>
      </c>
      <c r="W82" s="108"/>
    </row>
    <row r="83" spans="1:23" ht="17.149999999999999" customHeight="1" x14ac:dyDescent="0.35">
      <c r="A83" s="8" t="s">
        <v>110</v>
      </c>
      <c r="B83" s="9">
        <v>1.087962962962963E-2</v>
      </c>
      <c r="C83" s="9">
        <v>3.1828703703703702E-3</v>
      </c>
      <c r="D83" s="9">
        <f>B83*E83</f>
        <v>6.3297685185185184E-3</v>
      </c>
      <c r="E83" s="10">
        <v>0.58179999999999998</v>
      </c>
      <c r="F83" s="9">
        <f>C83/4</f>
        <v>7.9571759259259255E-4</v>
      </c>
      <c r="G83" s="9">
        <f>D83/7.5</f>
        <v>8.4396913580246917E-4</v>
      </c>
      <c r="H83" s="9">
        <f>B83/12.5</f>
        <v>8.7037037037037042E-4</v>
      </c>
      <c r="I83" s="9">
        <f>G83/0.93</f>
        <v>9.0749369441125711E-4</v>
      </c>
      <c r="J83" s="9">
        <f>G83/0.92</f>
        <v>9.173577563070317E-4</v>
      </c>
      <c r="K83" s="9">
        <f>G83/0.88</f>
        <v>9.5905583613916951E-4</v>
      </c>
      <c r="L83" s="9">
        <f>G83/0.84</f>
        <v>1.0047251616696062E-3</v>
      </c>
      <c r="M83" s="11">
        <f>Table257111315252333353739414549515359121416182022[[#This Row],[Thresh]]</f>
        <v>9.5905583613916951E-4</v>
      </c>
      <c r="N83" s="9">
        <f>Table257111315252333353739414549515359121416182022[[#This Row],[T (400)]]*2</f>
        <v>1.918111672278339E-3</v>
      </c>
      <c r="O83" s="9">
        <f>Table257111315252333353739414549515359121416182022[[#This Row],[T (400)]]*2.5</f>
        <v>2.3976395903479238E-3</v>
      </c>
      <c r="P83" s="24">
        <f>Table257111315252333353739414549515359121416182022[[#This Row],[CV]]</f>
        <v>9.173577563070317E-4</v>
      </c>
      <c r="Q83" s="24">
        <f>Table257111315252333353739414549515359121416182022[[#This Row],[300 R]]*2</f>
        <v>1.8347155126140634E-3</v>
      </c>
      <c r="R83" s="24">
        <f>Table257111315252333353739414549515359121416182022[[#This Row],[VO2]]</f>
        <v>8.4396913580246917E-4</v>
      </c>
      <c r="S83" s="24">
        <f>Table257111315252333353739414549515359121416182022[[#This Row],[......]]*1.5</f>
        <v>1.2659537037037038E-3</v>
      </c>
      <c r="T83" s="24">
        <f>Table257111315252333353739414549515359121416182022[[#This Row],[R]]/2</f>
        <v>3.9785879629629627E-4</v>
      </c>
      <c r="U83" s="24">
        <f>Table257111315252333353739414549515359121416182022[[#This Row],[........]]*1.5</f>
        <v>5.9678819444444438E-4</v>
      </c>
      <c r="V83" s="23" t="s">
        <v>34</v>
      </c>
      <c r="W83" s="108"/>
    </row>
    <row r="84" spans="1:23" ht="17.149999999999999" customHeight="1" x14ac:dyDescent="0.35">
      <c r="A84" s="8" t="s">
        <v>86</v>
      </c>
      <c r="B84" s="9">
        <v>1.087962962962963E-2</v>
      </c>
      <c r="C84" s="9">
        <v>3.1249999999999997E-3</v>
      </c>
      <c r="D84" s="9">
        <f>B84*E84</f>
        <v>6.3297685185185184E-3</v>
      </c>
      <c r="E84" s="10">
        <v>0.58179999999999998</v>
      </c>
      <c r="F84" s="9">
        <f>C84/4</f>
        <v>7.8124999999999993E-4</v>
      </c>
      <c r="G84" s="9">
        <f>D84/7.5</f>
        <v>8.4396913580246917E-4</v>
      </c>
      <c r="H84" s="9">
        <f>B84/12.5</f>
        <v>8.7037037037037042E-4</v>
      </c>
      <c r="I84" s="9">
        <f>G84/0.93</f>
        <v>9.0749369441125711E-4</v>
      </c>
      <c r="J84" s="9">
        <f>G84/0.92</f>
        <v>9.173577563070317E-4</v>
      </c>
      <c r="K84" s="9">
        <f>G84/0.88</f>
        <v>9.5905583613916951E-4</v>
      </c>
      <c r="L84" s="9">
        <f>G84/0.84</f>
        <v>1.0047251616696062E-3</v>
      </c>
      <c r="M84" s="11">
        <f>Table257111315252333353739414549515359121416182022[[#This Row],[Thresh]]</f>
        <v>9.5905583613916951E-4</v>
      </c>
      <c r="N84" s="9">
        <f>Table257111315252333353739414549515359121416182022[[#This Row],[T (400)]]*2</f>
        <v>1.918111672278339E-3</v>
      </c>
      <c r="O84" s="9">
        <f>Table257111315252333353739414549515359121416182022[[#This Row],[T (400)]]*2.5</f>
        <v>2.3976395903479238E-3</v>
      </c>
      <c r="P84" s="24">
        <f>Table257111315252333353739414549515359121416182022[[#This Row],[CV]]</f>
        <v>9.173577563070317E-4</v>
      </c>
      <c r="Q84" s="24">
        <f>Table257111315252333353739414549515359121416182022[[#This Row],[300 R]]*2</f>
        <v>1.8347155126140634E-3</v>
      </c>
      <c r="R84" s="24">
        <f>Table257111315252333353739414549515359121416182022[[#This Row],[VO2]]</f>
        <v>8.4396913580246917E-4</v>
      </c>
      <c r="S84" s="24">
        <f>Table257111315252333353739414549515359121416182022[[#This Row],[......]]*1.5</f>
        <v>1.2659537037037038E-3</v>
      </c>
      <c r="T84" s="24">
        <f>Table257111315252333353739414549515359121416182022[[#This Row],[R]]/2</f>
        <v>3.9062499999999997E-4</v>
      </c>
      <c r="U84" s="24">
        <f>Table257111315252333353739414549515359121416182022[[#This Row],[........]]*1.5</f>
        <v>5.8593749999999998E-4</v>
      </c>
      <c r="V84" s="23" t="s">
        <v>34</v>
      </c>
      <c r="W84" s="108"/>
    </row>
    <row r="85" spans="1:23" ht="17.149999999999999" customHeight="1" x14ac:dyDescent="0.35">
      <c r="A85" s="8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49999999999999" customHeight="1" x14ac:dyDescent="0.35">
      <c r="A86" s="14"/>
      <c r="B86" s="15" t="s">
        <v>1</v>
      </c>
      <c r="C86" s="15" t="s">
        <v>2</v>
      </c>
      <c r="D86" s="15" t="s">
        <v>3</v>
      </c>
      <c r="E86" s="16" t="s">
        <v>4</v>
      </c>
      <c r="F86" s="15" t="s">
        <v>5</v>
      </c>
      <c r="G86" s="15" t="s">
        <v>6</v>
      </c>
      <c r="H86" s="15" t="s">
        <v>7</v>
      </c>
      <c r="I86" s="15" t="s">
        <v>8</v>
      </c>
      <c r="J86" s="15" t="s">
        <v>9</v>
      </c>
      <c r="K86" s="15" t="s">
        <v>10</v>
      </c>
      <c r="L86" s="15" t="s">
        <v>11</v>
      </c>
      <c r="M86" s="30" t="s">
        <v>12</v>
      </c>
      <c r="N86" s="15" t="s">
        <v>58</v>
      </c>
      <c r="O86" s="15" t="s">
        <v>46</v>
      </c>
      <c r="P86" s="15"/>
      <c r="Q86" s="15"/>
      <c r="R86" s="15"/>
      <c r="S86" s="15"/>
      <c r="T86" s="15"/>
      <c r="U86" s="15"/>
      <c r="V86" s="17" t="s">
        <v>21</v>
      </c>
      <c r="W86" s="115"/>
    </row>
    <row r="87" spans="1:23" ht="17.149999999999999" customHeight="1" x14ac:dyDescent="0.35">
      <c r="A87" s="8" t="s">
        <v>96</v>
      </c>
      <c r="B87" s="9">
        <v>1.0011574074074074E-2</v>
      </c>
      <c r="C87" s="9">
        <v>2.9513888888888888E-3</v>
      </c>
      <c r="D87" s="9">
        <f t="shared" ref="D87:D96" si="33">B87*E87</f>
        <v>5.8247337962962957E-3</v>
      </c>
      <c r="E87" s="10">
        <v>0.58179999999999998</v>
      </c>
      <c r="F87" s="9">
        <f t="shared" ref="F87:F96" si="34">C87/4</f>
        <v>7.378472222222222E-4</v>
      </c>
      <c r="G87" s="9">
        <f t="shared" ref="G87:G96" si="35">D87/7.5</f>
        <v>7.7663117283950612E-4</v>
      </c>
      <c r="H87" s="9">
        <f t="shared" ref="H87:H96" si="36">B87/12.5</f>
        <v>8.0092592592592585E-4</v>
      </c>
      <c r="I87" s="9">
        <f t="shared" ref="I87:I96" si="37">G87/0.93</f>
        <v>8.3508728262312486E-4</v>
      </c>
      <c r="J87" s="9">
        <f t="shared" ref="J87:J96" si="38">G87/0.92</f>
        <v>8.4416431830381094E-4</v>
      </c>
      <c r="K87" s="9">
        <f t="shared" ref="K87:K96" si="39">G87/0.88</f>
        <v>8.825354236812569E-4</v>
      </c>
      <c r="L87" s="9">
        <f t="shared" ref="L87:L96" si="40">G87/0.84</f>
        <v>9.2456092004703113E-4</v>
      </c>
      <c r="M87" s="11">
        <f>Table257111315252333353739414549515359121416182022[[#This Row],[Thresh]]</f>
        <v>8.825354236812569E-4</v>
      </c>
      <c r="N87" s="9">
        <f>Table257111315252333353739414549515359121416182022[[#This Row],[T (400)]]*2.5</f>
        <v>2.2063385592031421E-3</v>
      </c>
      <c r="O87" s="24">
        <f>Table257111315252333353739414549515359121416182022[[#This Row],[I]]</f>
        <v>8.0092592592592585E-4</v>
      </c>
      <c r="P87" s="9"/>
      <c r="Q87" s="24"/>
      <c r="R87" s="9"/>
      <c r="S87" s="12"/>
      <c r="V87" s="23" t="s">
        <v>48</v>
      </c>
      <c r="W87" s="115"/>
    </row>
    <row r="88" spans="1:23" ht="17.149999999999999" customHeight="1" x14ac:dyDescent="0.35">
      <c r="A88" s="8" t="s">
        <v>99</v>
      </c>
      <c r="B88" s="9">
        <v>1.0243055555555556E-2</v>
      </c>
      <c r="C88" s="9">
        <v>3.0092592592592588E-3</v>
      </c>
      <c r="D88" s="9">
        <f t="shared" si="33"/>
        <v>5.9594097222222218E-3</v>
      </c>
      <c r="E88" s="10">
        <v>0.58179999999999998</v>
      </c>
      <c r="F88" s="9">
        <f t="shared" si="34"/>
        <v>7.5231481481481471E-4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>
        <f>Table257111315252333353739414549515359121416182022[[#This Row],[Thresh]]</f>
        <v>9.0294086700336686E-4</v>
      </c>
      <c r="N88" s="9">
        <f>Table257111315252333353739414549515359121416182022[[#This Row],[T (400)]]*2.5</f>
        <v>2.2573521675084171E-3</v>
      </c>
      <c r="O88" s="24">
        <f>Table257111315252333353739414549515359121416182022[[#This Row],[I]]</f>
        <v>8.1944444444444447E-4</v>
      </c>
      <c r="P88" s="9"/>
      <c r="Q88" s="24"/>
      <c r="R88" s="9"/>
      <c r="S88" s="12"/>
      <c r="V88" s="23" t="s">
        <v>48</v>
      </c>
      <c r="W88" s="115"/>
    </row>
    <row r="89" spans="1:23" ht="17.149999999999999" customHeight="1" x14ac:dyDescent="0.35">
      <c r="A89" s="8" t="s">
        <v>98</v>
      </c>
      <c r="B89" s="9">
        <v>1.0243055555555556E-2</v>
      </c>
      <c r="C89" s="9">
        <v>3.0092592592592588E-3</v>
      </c>
      <c r="D89" s="9">
        <f t="shared" si="33"/>
        <v>5.9594097222222218E-3</v>
      </c>
      <c r="E89" s="10">
        <v>0.58179999999999998</v>
      </c>
      <c r="F89" s="9">
        <f t="shared" si="34"/>
        <v>7.5231481481481471E-4</v>
      </c>
      <c r="G89" s="9">
        <f t="shared" si="35"/>
        <v>7.9458796296296287E-4</v>
      </c>
      <c r="H89" s="9">
        <f t="shared" si="36"/>
        <v>8.1944444444444447E-4</v>
      </c>
      <c r="I89" s="9">
        <f t="shared" si="37"/>
        <v>8.5439565909996003E-4</v>
      </c>
      <c r="J89" s="9">
        <f t="shared" si="38"/>
        <v>8.636825684380031E-4</v>
      </c>
      <c r="K89" s="9">
        <f t="shared" si="39"/>
        <v>9.0294086700336686E-4</v>
      </c>
      <c r="L89" s="9">
        <f t="shared" si="40"/>
        <v>9.4593805114638445E-4</v>
      </c>
      <c r="M89" s="11">
        <f>Table257111315252333353739414549515359121416182022[[#This Row],[Thresh]]</f>
        <v>9.0294086700336686E-4</v>
      </c>
      <c r="N89" s="9">
        <f>Table257111315252333353739414549515359121416182022[[#This Row],[T (400)]]*2.5</f>
        <v>2.2573521675084171E-3</v>
      </c>
      <c r="O89" s="24">
        <f>Table257111315252333353739414549515359121416182022[[#This Row],[I]]</f>
        <v>8.1944444444444447E-4</v>
      </c>
      <c r="P89" s="9"/>
      <c r="Q89" s="24"/>
      <c r="R89" s="9"/>
      <c r="S89" s="12"/>
      <c r="V89" s="23" t="s">
        <v>48</v>
      </c>
      <c r="W89" s="115"/>
    </row>
    <row r="90" spans="1:23" ht="17.149999999999999" customHeight="1" x14ac:dyDescent="0.35">
      <c r="A90" s="8" t="s">
        <v>100</v>
      </c>
      <c r="B90" s="9">
        <v>1.0243055555555556E-2</v>
      </c>
      <c r="C90" s="9">
        <v>2.9745370370370373E-3</v>
      </c>
      <c r="D90" s="9">
        <f t="shared" si="33"/>
        <v>5.9594097222222218E-3</v>
      </c>
      <c r="E90" s="10">
        <v>0.58179999999999998</v>
      </c>
      <c r="F90" s="9">
        <f t="shared" si="34"/>
        <v>7.4363425925925931E-4</v>
      </c>
      <c r="G90" s="9">
        <f t="shared" si="35"/>
        <v>7.9458796296296287E-4</v>
      </c>
      <c r="H90" s="9">
        <f t="shared" si="36"/>
        <v>8.1944444444444447E-4</v>
      </c>
      <c r="I90" s="9">
        <f t="shared" si="37"/>
        <v>8.5439565909996003E-4</v>
      </c>
      <c r="J90" s="9">
        <f t="shared" si="38"/>
        <v>8.636825684380031E-4</v>
      </c>
      <c r="K90" s="9">
        <f t="shared" si="39"/>
        <v>9.0294086700336686E-4</v>
      </c>
      <c r="L90" s="9">
        <f t="shared" si="40"/>
        <v>9.4593805114638445E-4</v>
      </c>
      <c r="M90" s="11">
        <f>Table257111315252333353739414549515359121416182022[[#This Row],[Thresh]]</f>
        <v>9.0294086700336686E-4</v>
      </c>
      <c r="N90" s="9">
        <f>Table257111315252333353739414549515359121416182022[[#This Row],[T (400)]]*2.5</f>
        <v>2.2573521675084171E-3</v>
      </c>
      <c r="O90" s="24">
        <f>Table257111315252333353739414549515359121416182022[[#This Row],[I]]</f>
        <v>8.1944444444444447E-4</v>
      </c>
      <c r="P90" s="9"/>
      <c r="Q90" s="24"/>
      <c r="R90" s="9"/>
      <c r="S90" s="12"/>
      <c r="V90" s="23" t="s">
        <v>48</v>
      </c>
      <c r="W90" s="115"/>
    </row>
    <row r="91" spans="1:23" ht="17.149999999999999" customHeight="1" x14ac:dyDescent="0.35">
      <c r="A91" s="8" t="s">
        <v>101</v>
      </c>
      <c r="B91" s="9">
        <v>1.0474537037037037E-2</v>
      </c>
      <c r="C91" s="9">
        <v>3.0671296296296297E-3</v>
      </c>
      <c r="D91" s="9">
        <f>B91*E91</f>
        <v>6.094085648148148E-3</v>
      </c>
      <c r="E91" s="10">
        <v>0.58179999999999998</v>
      </c>
      <c r="F91" s="9">
        <f>C91/4</f>
        <v>7.6678240740740743E-4</v>
      </c>
      <c r="G91" s="9">
        <f>D91/7.5</f>
        <v>8.1254475308641973E-4</v>
      </c>
      <c r="H91" s="9">
        <f>B91/12.5</f>
        <v>8.3796296296296299E-4</v>
      </c>
      <c r="I91" s="9">
        <f>G91/0.93</f>
        <v>8.7370403557679541E-4</v>
      </c>
      <c r="J91" s="9">
        <f>G91/0.92</f>
        <v>8.8320081857219527E-4</v>
      </c>
      <c r="K91" s="9">
        <f>G91/0.88</f>
        <v>9.2334631032547692E-4</v>
      </c>
      <c r="L91" s="9">
        <f>G91/0.84</f>
        <v>9.6731518224573777E-4</v>
      </c>
      <c r="M91" s="11">
        <f>Table257111315252333353739414549515359121416182022[[#This Row],[Thresh]]</f>
        <v>9.2334631032547692E-4</v>
      </c>
      <c r="N91" s="9">
        <f>Table257111315252333353739414549515359121416182022[[#This Row],[T (400)]]*2.5</f>
        <v>2.3083657758136925E-3</v>
      </c>
      <c r="O91" s="24">
        <f>Table257111315252333353739414549515359121416182022[[#This Row],[I]]</f>
        <v>8.3796296296296299E-4</v>
      </c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 t="s">
        <v>102</v>
      </c>
      <c r="B92" s="9">
        <v>1.0474537037037037E-2</v>
      </c>
      <c r="C92" s="9">
        <v>3.0671296296296297E-3</v>
      </c>
      <c r="D92" s="9">
        <f>B92*E92</f>
        <v>6.094085648148148E-3</v>
      </c>
      <c r="E92" s="10">
        <v>0.58179999999999998</v>
      </c>
      <c r="F92" s="9">
        <f>C92/4</f>
        <v>7.6678240740740743E-4</v>
      </c>
      <c r="G92" s="9">
        <f>D92/7.5</f>
        <v>8.1254475308641973E-4</v>
      </c>
      <c r="H92" s="9">
        <f>B92/12.5</f>
        <v>8.3796296296296299E-4</v>
      </c>
      <c r="I92" s="9">
        <f>G92/0.93</f>
        <v>8.7370403557679541E-4</v>
      </c>
      <c r="J92" s="9">
        <f>G92/0.92</f>
        <v>8.8320081857219527E-4</v>
      </c>
      <c r="K92" s="9">
        <f>G92/0.88</f>
        <v>9.2334631032547692E-4</v>
      </c>
      <c r="L92" s="9">
        <f>G92/0.84</f>
        <v>9.6731518224573777E-4</v>
      </c>
      <c r="M92" s="11">
        <f>Table257111315252333353739414549515359121416182022[[#This Row],[Thresh]]</f>
        <v>9.2334631032547692E-4</v>
      </c>
      <c r="N92" s="9">
        <f>Table257111315252333353739414549515359121416182022[[#This Row],[T (400)]]*2.5</f>
        <v>2.3083657758136925E-3</v>
      </c>
      <c r="O92" s="24">
        <f>Table257111315252333353739414549515359121416182022[[#This Row],[I]]</f>
        <v>8.3796296296296299E-4</v>
      </c>
      <c r="P92" s="9"/>
      <c r="Q92" s="24"/>
      <c r="R92" s="9"/>
      <c r="S92" s="12"/>
      <c r="V92" s="23" t="s">
        <v>48</v>
      </c>
      <c r="W92" s="115"/>
    </row>
    <row r="93" spans="1:23" ht="17.149999999999999" customHeight="1" x14ac:dyDescent="0.35">
      <c r="A93" s="8" t="s">
        <v>106</v>
      </c>
      <c r="B93" s="9">
        <v>1.064814814814815E-2</v>
      </c>
      <c r="C93" s="9">
        <v>3.1249999999999997E-3</v>
      </c>
      <c r="D93" s="9">
        <f t="shared" si="33"/>
        <v>6.1950925925925932E-3</v>
      </c>
      <c r="E93" s="10">
        <v>0.58179999999999998</v>
      </c>
      <c r="F93" s="9">
        <f t="shared" si="34"/>
        <v>7.8124999999999993E-4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>
        <f>Table257111315252333353739414549515359121416182022[[#This Row],[Thresh]]</f>
        <v>9.3865039281705955E-4</v>
      </c>
      <c r="N93" s="9">
        <f>Table257111315252333353739414549515359121416182022[[#This Row],[T (400)]]*2.5</f>
        <v>2.3466259820426488E-3</v>
      </c>
      <c r="O93" s="24">
        <f>Table257111315252333353739414549515359121416182022[[#This Row],[I]]</f>
        <v>8.5185185185185201E-4</v>
      </c>
      <c r="P93" s="9"/>
      <c r="Q93" s="24"/>
      <c r="R93" s="9"/>
      <c r="S93" s="12"/>
      <c r="V93" s="23" t="s">
        <v>48</v>
      </c>
      <c r="W93" s="115"/>
    </row>
    <row r="94" spans="1:23" ht="17.149999999999999" customHeight="1" x14ac:dyDescent="0.35">
      <c r="A94" s="8" t="s">
        <v>103</v>
      </c>
      <c r="B94" s="9">
        <v>1.064814814814815E-2</v>
      </c>
      <c r="C94" s="9">
        <v>3.0671296296296297E-3</v>
      </c>
      <c r="D94" s="9">
        <f t="shared" si="33"/>
        <v>6.1950925925925932E-3</v>
      </c>
      <c r="E94" s="10">
        <v>0.58179999999999998</v>
      </c>
      <c r="F94" s="9">
        <f t="shared" si="34"/>
        <v>7.6678240740740743E-4</v>
      </c>
      <c r="G94" s="9">
        <f t="shared" si="35"/>
        <v>8.2601234567901242E-4</v>
      </c>
      <c r="H94" s="9">
        <f t="shared" si="36"/>
        <v>8.5185185185185201E-4</v>
      </c>
      <c r="I94" s="9">
        <f t="shared" si="37"/>
        <v>8.8818531793442195E-4</v>
      </c>
      <c r="J94" s="9">
        <f t="shared" si="38"/>
        <v>8.9783950617283953E-4</v>
      </c>
      <c r="K94" s="9">
        <f t="shared" si="39"/>
        <v>9.3865039281705955E-4</v>
      </c>
      <c r="L94" s="9">
        <f t="shared" si="40"/>
        <v>9.8334803057025292E-4</v>
      </c>
      <c r="M94" s="11">
        <f>Table257111315252333353739414549515359121416182022[[#This Row],[Thresh]]</f>
        <v>9.3865039281705955E-4</v>
      </c>
      <c r="N94" s="9">
        <f>Table257111315252333353739414549515359121416182022[[#This Row],[T (400)]]*2.5</f>
        <v>2.3466259820426488E-3</v>
      </c>
      <c r="O94" s="24">
        <f>Table257111315252333353739414549515359121416182022[[#This Row],[I]]</f>
        <v>8.5185185185185201E-4</v>
      </c>
      <c r="P94" s="9"/>
      <c r="Q94" s="24"/>
      <c r="R94" s="9"/>
      <c r="S94" s="12"/>
      <c r="U94" s="26"/>
      <c r="V94" s="23" t="s">
        <v>48</v>
      </c>
      <c r="W94" s="111"/>
    </row>
    <row r="95" spans="1:23" ht="17.149999999999999" customHeight="1" x14ac:dyDescent="0.35">
      <c r="A95" s="8" t="s">
        <v>105</v>
      </c>
      <c r="B95" s="9">
        <v>1.064814814814815E-2</v>
      </c>
      <c r="C95" s="9">
        <v>3.1249999999999997E-3</v>
      </c>
      <c r="D95" s="9">
        <f t="shared" si="33"/>
        <v>6.1950925925925932E-3</v>
      </c>
      <c r="E95" s="10">
        <v>0.58179999999999998</v>
      </c>
      <c r="F95" s="9">
        <f t="shared" si="34"/>
        <v>7.8124999999999993E-4</v>
      </c>
      <c r="G95" s="9">
        <f t="shared" si="35"/>
        <v>8.2601234567901242E-4</v>
      </c>
      <c r="H95" s="9">
        <f t="shared" si="36"/>
        <v>8.5185185185185201E-4</v>
      </c>
      <c r="I95" s="9">
        <f t="shared" si="37"/>
        <v>8.8818531793442195E-4</v>
      </c>
      <c r="J95" s="9">
        <f t="shared" si="38"/>
        <v>8.9783950617283953E-4</v>
      </c>
      <c r="K95" s="9">
        <f t="shared" si="39"/>
        <v>9.3865039281705955E-4</v>
      </c>
      <c r="L95" s="9">
        <f t="shared" si="40"/>
        <v>9.8334803057025292E-4</v>
      </c>
      <c r="M95" s="11">
        <f>Table257111315252333353739414549515359121416182022[[#This Row],[Thresh]]</f>
        <v>9.3865039281705955E-4</v>
      </c>
      <c r="N95" s="9">
        <f>Table257111315252333353739414549515359121416182022[[#This Row],[T (400)]]*2.5</f>
        <v>2.3466259820426488E-3</v>
      </c>
      <c r="O95" s="24">
        <f>Table257111315252333353739414549515359121416182022[[#This Row],[I]]</f>
        <v>8.5185185185185201E-4</v>
      </c>
      <c r="P95" s="9"/>
      <c r="Q95" s="24"/>
      <c r="R95" s="9"/>
      <c r="S95" s="12"/>
      <c r="V95" s="23" t="s">
        <v>48</v>
      </c>
      <c r="W95" s="111"/>
    </row>
    <row r="96" spans="1:23" ht="17.149999999999999" customHeight="1" x14ac:dyDescent="0.35">
      <c r="A96" s="8" t="s">
        <v>107</v>
      </c>
      <c r="B96" s="9">
        <v>1.0648148148148148E-2</v>
      </c>
      <c r="C96" s="9">
        <v>3.1249999999999997E-3</v>
      </c>
      <c r="D96" s="9">
        <f t="shared" si="33"/>
        <v>6.1950925925925923E-3</v>
      </c>
      <c r="E96" s="10">
        <v>0.58179999999999998</v>
      </c>
      <c r="F96" s="9">
        <f t="shared" si="34"/>
        <v>7.8124999999999993E-4</v>
      </c>
      <c r="G96" s="9">
        <f t="shared" si="35"/>
        <v>8.2601234567901232E-4</v>
      </c>
      <c r="H96" s="9">
        <f t="shared" si="36"/>
        <v>8.5185185185185179E-4</v>
      </c>
      <c r="I96" s="9">
        <f t="shared" si="37"/>
        <v>8.8818531793442184E-4</v>
      </c>
      <c r="J96" s="9">
        <f t="shared" si="38"/>
        <v>8.9783950617283942E-4</v>
      </c>
      <c r="K96" s="9">
        <f t="shared" si="39"/>
        <v>9.3865039281705945E-4</v>
      </c>
      <c r="L96" s="9">
        <f t="shared" si="40"/>
        <v>9.833480305702527E-4</v>
      </c>
      <c r="M96" s="11">
        <f>Table257111315252333353739414549515359121416182022[[#This Row],[Thresh]]</f>
        <v>9.3865039281705945E-4</v>
      </c>
      <c r="N96" s="9">
        <f>Table257111315252333353739414549515359121416182022[[#This Row],[T (400)]]*2.5</f>
        <v>2.3466259820426488E-3</v>
      </c>
      <c r="O96" s="24">
        <f>Table257111315252333353739414549515359121416182022[[#This Row],[I]]</f>
        <v>8.5185185185185179E-4</v>
      </c>
      <c r="P96" s="9"/>
      <c r="Q96" s="24"/>
      <c r="R96" s="9"/>
      <c r="S96" s="12"/>
      <c r="V96" s="23" t="s">
        <v>48</v>
      </c>
      <c r="W96" s="111"/>
    </row>
    <row r="97" spans="1:23" ht="17.149999999999999" customHeight="1" x14ac:dyDescent="0.35">
      <c r="A97" s="8" t="s">
        <v>94</v>
      </c>
      <c r="B97" s="9">
        <v>1.1689814814814814E-2</v>
      </c>
      <c r="C97" s="9">
        <v>3.472222222222222E-3</v>
      </c>
      <c r="D97" s="9">
        <f>B97*E97</f>
        <v>6.8011342592592585E-3</v>
      </c>
      <c r="E97" s="10">
        <v>0.58179999999999998</v>
      </c>
      <c r="F97" s="9">
        <f>C97/4</f>
        <v>8.6805555555555551E-4</v>
      </c>
      <c r="G97" s="9">
        <f>D97/7.5</f>
        <v>9.0681790123456785E-4</v>
      </c>
      <c r="H97" s="9">
        <f>B97/12.5</f>
        <v>9.3518518518518516E-4</v>
      </c>
      <c r="I97" s="9">
        <f>G97/0.93</f>
        <v>9.7507301208018041E-4</v>
      </c>
      <c r="J97" s="9">
        <f>G97/0.92</f>
        <v>9.8567163177670412E-4</v>
      </c>
      <c r="K97" s="9">
        <f>G97/0.88</f>
        <v>1.0304748877665545E-3</v>
      </c>
      <c r="L97" s="9">
        <f>G97/0.84</f>
        <v>1.0795451205173427E-3</v>
      </c>
      <c r="M97" s="11">
        <f>Table257111315252333353739414549515359121416182022[[#This Row],[Thresh]]</f>
        <v>1.0304748877665545E-3</v>
      </c>
      <c r="N97" s="9">
        <f>Table257111315252333353739414549515359121416182022[[#This Row],[T (400)]]*2.5</f>
        <v>2.5761872194163863E-3</v>
      </c>
      <c r="O97" s="24">
        <f>Table257111315252333353739414549515359121416182022[[#This Row],[I]]</f>
        <v>9.3518518518518516E-4</v>
      </c>
      <c r="P97" s="9"/>
      <c r="Q97" s="24"/>
      <c r="R97" s="9"/>
      <c r="S97" s="12"/>
      <c r="V97" s="23" t="s">
        <v>145</v>
      </c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9C96-C48F-4A3D-971C-01F691970CFD}">
  <sheetPr>
    <pageSetUpPr fitToPage="1"/>
  </sheetPr>
  <dimension ref="A1:W99"/>
  <sheetViews>
    <sheetView topLeftCell="A76" workbookViewId="0">
      <selection activeCell="A44" sqref="A4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262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263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56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57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136</v>
      </c>
      <c r="P7" s="15" t="s">
        <v>137</v>
      </c>
      <c r="Q7" s="15" t="s">
        <v>139</v>
      </c>
      <c r="R7" s="15" t="s">
        <v>133</v>
      </c>
      <c r="S7" s="15"/>
      <c r="T7" s="15"/>
      <c r="U7" s="15"/>
      <c r="V7" s="17"/>
      <c r="W7" s="104"/>
    </row>
    <row r="8" spans="1:23" ht="17.149999999999999" customHeight="1" x14ac:dyDescent="0.35">
      <c r="A8" s="8" t="s">
        <v>42</v>
      </c>
      <c r="B8" s="9">
        <v>1.4236111111111111E-2</v>
      </c>
      <c r="C8" s="9">
        <v>4.1666666666666666E-3</v>
      </c>
      <c r="D8" s="9">
        <f>B8*E8</f>
        <v>8.2825694444444448E-3</v>
      </c>
      <c r="E8" s="10">
        <v>0.58179999999999998</v>
      </c>
      <c r="F8" s="9">
        <f>C8/4</f>
        <v>1.0416666666666667E-3</v>
      </c>
      <c r="G8" s="9">
        <f>D8/7.5</f>
        <v>1.1043425925925927E-3</v>
      </c>
      <c r="H8" s="9">
        <f>B8/12.5</f>
        <v>1.1388888888888889E-3</v>
      </c>
      <c r="I8" s="9">
        <f>G8/0.93</f>
        <v>1.1874651533253684E-3</v>
      </c>
      <c r="J8" s="9">
        <f>G8/0.92</f>
        <v>1.2003723832528181E-3</v>
      </c>
      <c r="K8" s="9">
        <f>G8/0.88</f>
        <v>1.2549347643097644E-3</v>
      </c>
      <c r="L8" s="9">
        <f>G8/0.84</f>
        <v>1.3146935626102295E-3</v>
      </c>
      <c r="M8" s="11">
        <f>Table1461012142422323436384044485052481113151719[[#This Row],[Thresh]]</f>
        <v>1.2549347643097644E-3</v>
      </c>
      <c r="N8" s="9">
        <f>Table1461012142422323436384044485052481113151719[[#This Row],[T (400)]]*2</f>
        <v>2.5098695286195289E-3</v>
      </c>
      <c r="O8" s="12">
        <f>Table1461012142422323436384044485052481113151719[[#This Row],[CV]]</f>
        <v>1.2003723832528181E-3</v>
      </c>
      <c r="P8" s="9">
        <f>Table1461012142422323436384044485052481113151719[[#This Row],[1st 200]]*1.5</f>
        <v>1.800558574879227E-3</v>
      </c>
      <c r="Q8" s="12">
        <f>Table1461012142422323436384044485052481113151719[[#This Row],[VO2]]</f>
        <v>1.1043425925925927E-3</v>
      </c>
      <c r="R8" s="9">
        <f>Table1461012142422323436384044485052481113151719[[#This Row],[R]]/2</f>
        <v>5.2083333333333333E-4</v>
      </c>
      <c r="S8" s="12"/>
      <c r="T8" s="9"/>
      <c r="U8" s="9"/>
      <c r="V8" s="13" t="s">
        <v>134</v>
      </c>
      <c r="W8" s="104"/>
    </row>
    <row r="9" spans="1:23" ht="17.149999999999999" customHeight="1" x14ac:dyDescent="0.35">
      <c r="A9" s="8" t="s">
        <v>31</v>
      </c>
      <c r="B9" s="9">
        <v>1.1689814814814814E-2</v>
      </c>
      <c r="C9" s="9">
        <v>3.3564814814814811E-3</v>
      </c>
      <c r="D9" s="9">
        <f t="shared" ref="D9:D16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52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30</v>
      </c>
      <c r="W10" s="104"/>
    </row>
    <row r="11" spans="1:23" ht="17.149999999999999" customHeight="1" x14ac:dyDescent="0.35">
      <c r="A11" s="8" t="s">
        <v>36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40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39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41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43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44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134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28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34</v>
      </c>
      <c r="W19" s="104"/>
    </row>
    <row r="20" spans="1:23" ht="17.149999999999999" customHeight="1" x14ac:dyDescent="0.35">
      <c r="A20" s="8" t="s">
        <v>33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32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34</v>
      </c>
      <c r="W21" s="104"/>
    </row>
    <row r="22" spans="1:23" ht="17.149999999999999" customHeight="1" x14ac:dyDescent="0.35">
      <c r="A22" s="8" t="s">
        <v>38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4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/>
      <c r="N24" s="15"/>
      <c r="O24" s="15"/>
      <c r="P24" s="15"/>
      <c r="Q24" s="15"/>
      <c r="R24" s="15"/>
      <c r="S24" s="15"/>
      <c r="T24" s="15"/>
      <c r="U24" s="15"/>
      <c r="V24" s="17"/>
      <c r="W24" s="104"/>
    </row>
    <row r="25" spans="1:23" ht="17.149999999999999" customHeight="1" x14ac:dyDescent="0.35">
      <c r="A25" s="8" t="s">
        <v>55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48</v>
      </c>
      <c r="W25" s="104"/>
    </row>
    <row r="26" spans="1:23" ht="17.149999999999999" customHeight="1" x14ac:dyDescent="0.35">
      <c r="A26" s="8" t="s">
        <v>49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48</v>
      </c>
      <c r="W26" s="104"/>
    </row>
    <row r="27" spans="1:23" ht="17.149999999999999" customHeight="1" x14ac:dyDescent="0.35">
      <c r="A27" s="8" t="s">
        <v>37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48</v>
      </c>
      <c r="W27" s="104"/>
    </row>
    <row r="28" spans="1:23" ht="17.149999999999999" customHeight="1" x14ac:dyDescent="0.35">
      <c r="A28" s="8" t="s">
        <v>50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48</v>
      </c>
      <c r="W28" s="113"/>
    </row>
    <row r="29" spans="1:23" ht="17.149999999999999" customHeight="1" x14ac:dyDescent="0.35">
      <c r="A29" s="8" t="s">
        <v>51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48</v>
      </c>
      <c r="W29" s="113"/>
    </row>
    <row r="30" spans="1:23" ht="17.149999999999999" customHeight="1" x14ac:dyDescent="0.35">
      <c r="A30" s="8" t="s">
        <v>124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48</v>
      </c>
      <c r="W30" s="113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264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59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3" si="17">C36/4</f>
        <v>7.378472222222222E-4</v>
      </c>
      <c r="G36" s="9">
        <f t="shared" ref="G36:G63" si="18">D36/7.5</f>
        <v>8.0805555555555546E-4</v>
      </c>
      <c r="H36" s="9">
        <f t="shared" ref="H36:H63" si="19">B36/12.5</f>
        <v>8.3333333333333328E-4</v>
      </c>
      <c r="I36" s="9">
        <f t="shared" ref="I36:I63" si="20">G36/0.93</f>
        <v>8.6887694145758646E-4</v>
      </c>
      <c r="J36" s="9">
        <f t="shared" ref="J36:J63" si="21">G36/0.92</f>
        <v>8.7832125603864715E-4</v>
      </c>
      <c r="K36" s="9">
        <f t="shared" ref="K36:K63" si="22">G36/0.88</f>
        <v>9.1824494949494938E-4</v>
      </c>
      <c r="L36" s="9">
        <f t="shared" ref="L36:L63" si="23">G36/0.84</f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75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/>
      <c r="N39" s="9"/>
      <c r="O39" s="24"/>
      <c r="P39" s="9"/>
      <c r="Q39" s="24"/>
      <c r="R39" s="9"/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65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/>
      <c r="N40" s="9"/>
      <c r="O40" s="24"/>
      <c r="P40" s="9"/>
      <c r="Q40" s="24"/>
      <c r="R40" s="9"/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112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66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/>
      <c r="N42" s="9"/>
      <c r="O42" s="24"/>
      <c r="P42" s="9"/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115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/>
    </row>
    <row r="44" spans="1:23" ht="17.149999999999999" customHeight="1" x14ac:dyDescent="0.35">
      <c r="A44" s="8" t="s">
        <v>67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/>
      <c r="N44" s="9"/>
      <c r="O44" s="24"/>
      <c r="P44" s="9"/>
      <c r="Q44" s="24"/>
      <c r="R44" s="9"/>
      <c r="S44" s="12"/>
      <c r="T44" s="96"/>
      <c r="U44" s="9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70</v>
      </c>
      <c r="B47" s="9">
        <v>9.780092592592592E-3</v>
      </c>
      <c r="C47" s="9">
        <v>2.8124999999999995E-3</v>
      </c>
      <c r="D47" s="9">
        <f t="shared" ref="D47:D59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/>
      <c r="N47" s="9"/>
      <c r="O47" s="24"/>
      <c r="P47" s="9"/>
      <c r="Q47" s="24"/>
      <c r="R47" s="9"/>
      <c r="S47" s="12"/>
      <c r="T47" s="25"/>
      <c r="V47" s="23" t="s">
        <v>30</v>
      </c>
      <c r="W47" s="104"/>
    </row>
    <row r="48" spans="1:23" ht="17.149999999999999" customHeight="1" x14ac:dyDescent="0.35">
      <c r="A48" s="8" t="s">
        <v>76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/>
      <c r="N48" s="9"/>
      <c r="O48" s="24"/>
      <c r="P48" s="9"/>
      <c r="Q48" s="24"/>
      <c r="R48" s="9"/>
      <c r="S48" s="12"/>
      <c r="V48" s="23" t="s">
        <v>30</v>
      </c>
      <c r="W48" s="104"/>
    </row>
    <row r="49" spans="1:23" ht="17.149999999999999" customHeight="1" x14ac:dyDescent="0.35">
      <c r="A49" s="8" t="s">
        <v>72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/>
      <c r="N49" s="9"/>
      <c r="O49" s="24"/>
      <c r="P49" s="9"/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74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77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/>
      <c r="N51" s="9"/>
      <c r="O51" s="24"/>
      <c r="P51" s="9"/>
      <c r="Q51" s="24"/>
      <c r="R51" s="9"/>
      <c r="S51" s="12"/>
      <c r="V51" s="23" t="s">
        <v>30</v>
      </c>
      <c r="W51" s="104"/>
    </row>
    <row r="52" spans="1:23" ht="17.149999999999999" customHeight="1" x14ac:dyDescent="0.35">
      <c r="A52" s="8" t="s">
        <v>83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/>
      <c r="N52" s="9"/>
      <c r="O52" s="24"/>
      <c r="P52" s="9"/>
      <c r="Q52" s="24"/>
      <c r="R52" s="9"/>
      <c r="S52" s="12"/>
      <c r="T52" s="25"/>
      <c r="V52" s="23" t="s">
        <v>30</v>
      </c>
      <c r="W52" s="104"/>
    </row>
    <row r="53" spans="1:23" ht="17.149999999999999" customHeight="1" x14ac:dyDescent="0.35">
      <c r="A53" s="8" t="s">
        <v>81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/>
      <c r="N53" s="9"/>
      <c r="O53" s="24"/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88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/>
      <c r="N54" s="9"/>
      <c r="O54" s="24"/>
      <c r="P54" s="9"/>
      <c r="Q54" s="24"/>
      <c r="R54" s="9"/>
      <c r="S54" s="12"/>
      <c r="V54" s="23" t="s">
        <v>30</v>
      </c>
      <c r="W54" s="104"/>
    </row>
    <row r="55" spans="1:23" ht="17.149999999999999" customHeight="1" x14ac:dyDescent="0.35">
      <c r="A55" s="8" t="s">
        <v>90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30</v>
      </c>
      <c r="W55" s="104"/>
    </row>
    <row r="56" spans="1:23" ht="17.149999999999999" customHeight="1" x14ac:dyDescent="0.35">
      <c r="A56" s="8" t="s">
        <v>86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/>
      <c r="N56" s="9"/>
      <c r="O56" s="24"/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68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/>
      <c r="N57" s="9"/>
      <c r="O57" s="24"/>
      <c r="P57" s="9"/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92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91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/>
      <c r="N59" s="9"/>
      <c r="O59" s="24"/>
      <c r="P59" s="9"/>
      <c r="Q59" s="24"/>
      <c r="R59" s="9"/>
      <c r="S59" s="12"/>
      <c r="V59" s="23" t="s">
        <v>30</v>
      </c>
      <c r="W59" s="104"/>
    </row>
    <row r="60" spans="1:23" ht="17.149999999999999" customHeight="1" x14ac:dyDescent="0.35">
      <c r="A60" s="8" t="s">
        <v>113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134</v>
      </c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N61" s="9"/>
      <c r="O61" s="24"/>
      <c r="P61" s="9"/>
      <c r="Q61" s="24"/>
      <c r="R61" s="9"/>
      <c r="S61" s="12"/>
      <c r="V61" s="23"/>
      <c r="W61" s="105"/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17"/>
        <v>0</v>
      </c>
      <c r="G62" s="9">
        <f t="shared" si="18"/>
        <v>0</v>
      </c>
      <c r="H62" s="9">
        <f t="shared" si="19"/>
        <v>0</v>
      </c>
      <c r="I62" s="9">
        <f t="shared" si="20"/>
        <v>0</v>
      </c>
      <c r="J62" s="9">
        <f t="shared" si="21"/>
        <v>0</v>
      </c>
      <c r="K62" s="9">
        <f t="shared" si="22"/>
        <v>0</v>
      </c>
      <c r="L62" s="9">
        <f t="shared" si="23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5"/>
      <c r="R64" s="25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14" t="s">
        <v>264</v>
      </c>
      <c r="B66" s="15" t="s">
        <v>1</v>
      </c>
      <c r="C66" s="15" t="s">
        <v>2</v>
      </c>
      <c r="D66" s="15" t="s">
        <v>3</v>
      </c>
      <c r="E66" s="16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30"/>
      <c r="N66" s="15"/>
      <c r="O66" s="15"/>
      <c r="P66" s="15"/>
      <c r="Q66" s="15"/>
      <c r="R66" s="15"/>
      <c r="S66" s="15"/>
      <c r="T66" s="15"/>
      <c r="U66" s="15"/>
      <c r="V66" s="17" t="s">
        <v>21</v>
      </c>
      <c r="W66" s="106"/>
    </row>
    <row r="67" spans="1:23" ht="17.149999999999999" customHeight="1" x14ac:dyDescent="0.35">
      <c r="A67" s="8" t="s">
        <v>71</v>
      </c>
      <c r="B67" s="9">
        <v>1.0011574074074074E-2</v>
      </c>
      <c r="C67" s="9">
        <v>2.8935185185185188E-3</v>
      </c>
      <c r="D67" s="9">
        <f>B67*E67</f>
        <v>5.8247337962962957E-3</v>
      </c>
      <c r="E67" s="10">
        <v>0.58179999999999998</v>
      </c>
      <c r="F67" s="9">
        <f>C67/4</f>
        <v>7.233796296296297E-4</v>
      </c>
      <c r="G67" s="9">
        <f>D67/7.5</f>
        <v>7.7663117283950612E-4</v>
      </c>
      <c r="H67" s="9">
        <f>B67/12.5</f>
        <v>8.0092592592592585E-4</v>
      </c>
      <c r="I67" s="9">
        <f>G67/0.93</f>
        <v>8.3508728262312486E-4</v>
      </c>
      <c r="J67" s="9">
        <f>G67/0.92</f>
        <v>8.4416431830381094E-4</v>
      </c>
      <c r="K67" s="9">
        <f>G67/0.88</f>
        <v>8.825354236812569E-4</v>
      </c>
      <c r="L67" s="9">
        <f>G67/0.84</f>
        <v>9.2456092004703113E-4</v>
      </c>
      <c r="M67" s="11"/>
      <c r="N67" s="9"/>
      <c r="O67" s="24"/>
      <c r="P67" s="9"/>
      <c r="Q67" s="24"/>
      <c r="R67" s="9"/>
      <c r="S67" s="12"/>
      <c r="T67" s="25"/>
      <c r="V67" s="23" t="s">
        <v>34</v>
      </c>
      <c r="W67" s="104"/>
    </row>
    <row r="68" spans="1:23" ht="17.149999999999999" customHeight="1" x14ac:dyDescent="0.35">
      <c r="A68" s="8" t="s">
        <v>97</v>
      </c>
      <c r="B68" s="9">
        <v>1.0011574074074074E-2</v>
      </c>
      <c r="C68" s="9">
        <v>3.0092592592592588E-3</v>
      </c>
      <c r="D68" s="9">
        <f t="shared" ref="D68:D80" si="25">B68*E68</f>
        <v>5.8247337962962957E-3</v>
      </c>
      <c r="E68" s="10">
        <v>0.58179999999999998</v>
      </c>
      <c r="F68" s="9">
        <f t="shared" ref="F68:F80" si="26">C68/4</f>
        <v>7.5231481481481471E-4</v>
      </c>
      <c r="G68" s="9">
        <f t="shared" ref="G68:G80" si="27">D68/7.5</f>
        <v>7.7663117283950612E-4</v>
      </c>
      <c r="H68" s="9">
        <f t="shared" ref="H68:H80" si="28">B68/12.5</f>
        <v>8.0092592592592585E-4</v>
      </c>
      <c r="I68" s="9">
        <f t="shared" ref="I68:I80" si="29">G68/0.93</f>
        <v>8.3508728262312486E-4</v>
      </c>
      <c r="J68" s="9">
        <f t="shared" ref="J68:J80" si="30">G68/0.92</f>
        <v>8.4416431830381094E-4</v>
      </c>
      <c r="K68" s="9">
        <f t="shared" ref="K68:K80" si="31">G68/0.88</f>
        <v>8.825354236812569E-4</v>
      </c>
      <c r="L68" s="9">
        <f t="shared" ref="L68:L80" si="32">G68/0.84</f>
        <v>9.2456092004703113E-4</v>
      </c>
      <c r="M68" s="11"/>
      <c r="N68" s="9"/>
      <c r="O68" s="24"/>
      <c r="P68" s="9"/>
      <c r="Q68" s="24"/>
      <c r="R68" s="9"/>
      <c r="S68" s="12"/>
      <c r="V68" s="23" t="s">
        <v>34</v>
      </c>
      <c r="W68" s="104"/>
    </row>
    <row r="69" spans="1:23" ht="17.149999999999999" customHeight="1" x14ac:dyDescent="0.35">
      <c r="A69" s="8" t="s">
        <v>73</v>
      </c>
      <c r="B69" s="9">
        <v>1.0011574074074074E-2</v>
      </c>
      <c r="C69" s="9">
        <v>2.9513888888888888E-3</v>
      </c>
      <c r="D69" s="9">
        <f t="shared" si="25"/>
        <v>5.8247337962962957E-3</v>
      </c>
      <c r="E69" s="10">
        <v>0.58179999999999998</v>
      </c>
      <c r="F69" s="9">
        <f t="shared" si="26"/>
        <v>7.378472222222222E-4</v>
      </c>
      <c r="G69" s="9">
        <f t="shared" si="27"/>
        <v>7.7663117283950612E-4</v>
      </c>
      <c r="H69" s="9">
        <f t="shared" si="28"/>
        <v>8.0092592592592585E-4</v>
      </c>
      <c r="I69" s="9">
        <f t="shared" si="29"/>
        <v>8.3508728262312486E-4</v>
      </c>
      <c r="J69" s="9">
        <f t="shared" si="30"/>
        <v>8.4416431830381094E-4</v>
      </c>
      <c r="K69" s="9">
        <f t="shared" si="31"/>
        <v>8.825354236812569E-4</v>
      </c>
      <c r="L69" s="9">
        <f t="shared" si="32"/>
        <v>9.2456092004703113E-4</v>
      </c>
      <c r="M69" s="11"/>
      <c r="N69" s="9"/>
      <c r="O69" s="24"/>
      <c r="P69" s="9"/>
      <c r="Q69" s="24"/>
      <c r="R69" s="9"/>
      <c r="S69" s="12"/>
      <c r="V69" s="23" t="s">
        <v>34</v>
      </c>
      <c r="W69" s="104"/>
    </row>
    <row r="70" spans="1:23" ht="17.149999999999999" customHeight="1" x14ac:dyDescent="0.35">
      <c r="A70" s="8" t="s">
        <v>78</v>
      </c>
      <c r="B70" s="9">
        <v>1.0416666666666666E-2</v>
      </c>
      <c r="C70" s="9">
        <v>2.9745370370370373E-3</v>
      </c>
      <c r="D70" s="9">
        <f t="shared" si="25"/>
        <v>6.0604166666666662E-3</v>
      </c>
      <c r="E70" s="10">
        <v>0.58179999999999998</v>
      </c>
      <c r="F70" s="9">
        <f t="shared" si="26"/>
        <v>7.4363425925925931E-4</v>
      </c>
      <c r="G70" s="9">
        <f t="shared" si="27"/>
        <v>8.0805555555555546E-4</v>
      </c>
      <c r="H70" s="9">
        <f t="shared" si="28"/>
        <v>8.3333333333333328E-4</v>
      </c>
      <c r="I70" s="9">
        <f t="shared" si="29"/>
        <v>8.6887694145758646E-4</v>
      </c>
      <c r="J70" s="9">
        <f t="shared" si="30"/>
        <v>8.7832125603864715E-4</v>
      </c>
      <c r="K70" s="9">
        <f t="shared" si="31"/>
        <v>9.1824494949494938E-4</v>
      </c>
      <c r="L70" s="9">
        <f t="shared" si="32"/>
        <v>9.6197089947089938E-4</v>
      </c>
      <c r="M70" s="11"/>
      <c r="N70" s="9"/>
      <c r="O70" s="24"/>
      <c r="P70" s="9"/>
      <c r="Q70" s="24"/>
      <c r="R70" s="9"/>
      <c r="S70" s="12"/>
      <c r="V70" s="23" t="s">
        <v>34</v>
      </c>
      <c r="W70" s="104"/>
    </row>
    <row r="71" spans="1:23" ht="17.149999999999999" customHeight="1" x14ac:dyDescent="0.35">
      <c r="A71" s="8" t="s">
        <v>80</v>
      </c>
      <c r="B71" s="9">
        <v>1.0416666666666666E-2</v>
      </c>
      <c r="C71" s="9">
        <v>3.0092592592592588E-3</v>
      </c>
      <c r="D71" s="9">
        <f t="shared" si="25"/>
        <v>6.0604166666666662E-3</v>
      </c>
      <c r="E71" s="10">
        <v>0.58179999999999998</v>
      </c>
      <c r="F71" s="9">
        <f t="shared" si="26"/>
        <v>7.5231481481481471E-4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 t="s">
        <v>34</v>
      </c>
      <c r="W71" s="104"/>
    </row>
    <row r="72" spans="1:23" ht="17.149999999999999" customHeight="1" x14ac:dyDescent="0.35">
      <c r="A72" s="8" t="s">
        <v>101</v>
      </c>
      <c r="B72" s="9">
        <v>1.0416666666666666E-2</v>
      </c>
      <c r="C72" s="9">
        <v>3.0671296296296297E-3</v>
      </c>
      <c r="D72" s="9">
        <f>B72*E72</f>
        <v>6.0604166666666662E-3</v>
      </c>
      <c r="E72" s="10">
        <v>0.58179999999999998</v>
      </c>
      <c r="F72" s="9">
        <f>C72/4</f>
        <v>7.6678240740740743E-4</v>
      </c>
      <c r="G72" s="9">
        <f>D72/7.5</f>
        <v>8.0805555555555546E-4</v>
      </c>
      <c r="H72" s="9">
        <f>B72/12.5</f>
        <v>8.3333333333333328E-4</v>
      </c>
      <c r="I72" s="9">
        <f>G72/0.93</f>
        <v>8.6887694145758646E-4</v>
      </c>
      <c r="J72" s="9">
        <f>G72/0.92</f>
        <v>8.7832125603864715E-4</v>
      </c>
      <c r="K72" s="9">
        <f>G72/0.88</f>
        <v>9.1824494949494938E-4</v>
      </c>
      <c r="L72" s="9">
        <f>G72/0.84</f>
        <v>9.6197089947089938E-4</v>
      </c>
      <c r="M72" s="11"/>
      <c r="N72" s="9"/>
      <c r="O72" s="24"/>
      <c r="P72" s="9"/>
      <c r="Q72" s="24"/>
      <c r="R72" s="9"/>
      <c r="S72" s="12"/>
      <c r="V72" s="23" t="s">
        <v>34</v>
      </c>
      <c r="W72" s="104"/>
    </row>
    <row r="73" spans="1:23" ht="17.149999999999999" customHeight="1" x14ac:dyDescent="0.35">
      <c r="A73" s="8" t="s">
        <v>84</v>
      </c>
      <c r="B73" s="9">
        <v>1.064814814814815E-2</v>
      </c>
      <c r="C73" s="9">
        <v>3.0671296296296297E-3</v>
      </c>
      <c r="D73" s="9">
        <f>B73*E73</f>
        <v>6.1950925925925932E-3</v>
      </c>
      <c r="E73" s="10">
        <v>0.58179999999999998</v>
      </c>
      <c r="F73" s="9">
        <f>C73/4</f>
        <v>7.6678240740740743E-4</v>
      </c>
      <c r="G73" s="9">
        <f>D73/7.5</f>
        <v>8.2601234567901242E-4</v>
      </c>
      <c r="H73" s="9">
        <f>B73/12.5</f>
        <v>8.5185185185185201E-4</v>
      </c>
      <c r="I73" s="9">
        <f>G73/0.93</f>
        <v>8.8818531793442195E-4</v>
      </c>
      <c r="J73" s="9">
        <f>G73/0.92</f>
        <v>8.9783950617283953E-4</v>
      </c>
      <c r="K73" s="9">
        <f>G73/0.88</f>
        <v>9.3865039281705955E-4</v>
      </c>
      <c r="L73" s="9">
        <f>G73/0.84</f>
        <v>9.8334803057025292E-4</v>
      </c>
      <c r="M73" s="11"/>
      <c r="N73" s="9"/>
      <c r="O73" s="24"/>
      <c r="P73" s="9"/>
      <c r="Q73" s="24"/>
      <c r="R73" s="9"/>
      <c r="S73" s="12"/>
      <c r="T73" s="25"/>
      <c r="V73" s="23" t="s">
        <v>34</v>
      </c>
      <c r="W73" s="104"/>
    </row>
    <row r="74" spans="1:23" ht="17.149999999999999" customHeight="1" x14ac:dyDescent="0.35">
      <c r="A74" s="8" t="s">
        <v>87</v>
      </c>
      <c r="B74" s="9">
        <v>1.0763888888888891E-2</v>
      </c>
      <c r="C74" s="9">
        <v>3.1249999999999997E-3</v>
      </c>
      <c r="D74" s="9">
        <f t="shared" si="25"/>
        <v>6.2624305555555567E-3</v>
      </c>
      <c r="E74" s="10">
        <v>0.58179999999999998</v>
      </c>
      <c r="F74" s="9">
        <f t="shared" si="26"/>
        <v>7.8124999999999993E-4</v>
      </c>
      <c r="G74" s="9">
        <f t="shared" si="27"/>
        <v>8.3499074074074085E-4</v>
      </c>
      <c r="H74" s="9">
        <f t="shared" si="28"/>
        <v>8.6111111111111121E-4</v>
      </c>
      <c r="I74" s="9">
        <f t="shared" si="29"/>
        <v>8.9783950617283953E-4</v>
      </c>
      <c r="J74" s="9">
        <f t="shared" si="30"/>
        <v>9.0759863123993567E-4</v>
      </c>
      <c r="K74" s="9">
        <f t="shared" si="31"/>
        <v>9.4885311447811464E-4</v>
      </c>
      <c r="L74" s="9">
        <f t="shared" si="32"/>
        <v>9.9403659611992969E-4</v>
      </c>
      <c r="M74" s="11"/>
      <c r="N74" s="9"/>
      <c r="O74" s="24"/>
      <c r="P74" s="9"/>
      <c r="Q74" s="24"/>
      <c r="R74" s="9"/>
      <c r="S74" s="12"/>
      <c r="V74" s="23" t="s">
        <v>34</v>
      </c>
      <c r="W74" s="104"/>
    </row>
    <row r="75" spans="1:23" ht="17.149999999999999" customHeight="1" x14ac:dyDescent="0.35">
      <c r="A75" s="8" t="s">
        <v>108</v>
      </c>
      <c r="B75" s="9">
        <v>1.0763888888888891E-2</v>
      </c>
      <c r="C75" s="9">
        <v>3.1828703703703702E-3</v>
      </c>
      <c r="D75" s="9">
        <f t="shared" si="25"/>
        <v>6.2624305555555567E-3</v>
      </c>
      <c r="E75" s="10">
        <v>0.58179999999999998</v>
      </c>
      <c r="F75" s="9">
        <f t="shared" si="26"/>
        <v>7.9571759259259255E-4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/>
      <c r="N75" s="9"/>
      <c r="O75" s="24"/>
      <c r="P75" s="9"/>
      <c r="Q75" s="24"/>
      <c r="R75" s="9"/>
      <c r="S75" s="12"/>
      <c r="V75" s="23" t="s">
        <v>34</v>
      </c>
      <c r="W75" s="104"/>
    </row>
    <row r="76" spans="1:23" ht="17.149999999999999" customHeight="1" x14ac:dyDescent="0.35">
      <c r="A76" s="8" t="s">
        <v>82</v>
      </c>
      <c r="B76" s="9">
        <v>1.0763888888888891E-2</v>
      </c>
      <c r="C76" s="9">
        <v>3.0092592592592588E-3</v>
      </c>
      <c r="D76" s="9">
        <f>B76*E76</f>
        <v>6.2624305555555567E-3</v>
      </c>
      <c r="E76" s="10">
        <v>0.58179999999999998</v>
      </c>
      <c r="F76" s="9">
        <f>C76/4</f>
        <v>7.5231481481481471E-4</v>
      </c>
      <c r="G76" s="9">
        <f>D76/7.5</f>
        <v>8.3499074074074085E-4</v>
      </c>
      <c r="H76" s="9">
        <f>B76/12.5</f>
        <v>8.6111111111111121E-4</v>
      </c>
      <c r="I76" s="9">
        <f>G76/0.93</f>
        <v>8.9783950617283953E-4</v>
      </c>
      <c r="J76" s="9">
        <f>G76/0.92</f>
        <v>9.0759863123993567E-4</v>
      </c>
      <c r="K76" s="9">
        <f>G76/0.88</f>
        <v>9.4885311447811464E-4</v>
      </c>
      <c r="L76" s="9">
        <f>G76/0.84</f>
        <v>9.9403659611992969E-4</v>
      </c>
      <c r="M76" s="11"/>
      <c r="N76" s="9"/>
      <c r="O76" s="24"/>
      <c r="P76" s="9"/>
      <c r="Q76" s="24"/>
      <c r="R76" s="9"/>
      <c r="S76" s="12"/>
      <c r="T76" s="25"/>
      <c r="U76" s="28"/>
      <c r="V76" s="23" t="s">
        <v>34</v>
      </c>
      <c r="W76" s="108" t="s">
        <v>265</v>
      </c>
    </row>
    <row r="77" spans="1:23" ht="17.149999999999999" customHeight="1" x14ac:dyDescent="0.35">
      <c r="A77" s="8" t="s">
        <v>109</v>
      </c>
      <c r="B77" s="9">
        <v>1.087962962962963E-2</v>
      </c>
      <c r="C77" s="9">
        <v>3.1249999999999997E-3</v>
      </c>
      <c r="D77" s="9">
        <f>B77*E77</f>
        <v>6.3297685185185184E-3</v>
      </c>
      <c r="E77" s="10">
        <v>0.58179999999999998</v>
      </c>
      <c r="F77" s="9">
        <f>C77/4</f>
        <v>7.8124999999999993E-4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34</v>
      </c>
      <c r="W77" s="108"/>
    </row>
    <row r="78" spans="1:23" ht="17.149999999999999" customHeight="1" x14ac:dyDescent="0.35">
      <c r="A78" s="8" t="s">
        <v>111</v>
      </c>
      <c r="B78" s="9">
        <v>1.087962962962963E-2</v>
      </c>
      <c r="C78" s="9">
        <v>3.1828703703703702E-3</v>
      </c>
      <c r="D78" s="9">
        <f t="shared" si="25"/>
        <v>6.3297685185185184E-3</v>
      </c>
      <c r="E78" s="10">
        <v>0.58179999999999998</v>
      </c>
      <c r="F78" s="9">
        <f t="shared" si="26"/>
        <v>7.9571759259259255E-4</v>
      </c>
      <c r="G78" s="9">
        <f t="shared" si="27"/>
        <v>8.4396913580246917E-4</v>
      </c>
      <c r="H78" s="9">
        <f t="shared" si="28"/>
        <v>8.7037037037037042E-4</v>
      </c>
      <c r="I78" s="9">
        <f t="shared" si="29"/>
        <v>9.0749369441125711E-4</v>
      </c>
      <c r="J78" s="9">
        <f t="shared" si="30"/>
        <v>9.173577563070317E-4</v>
      </c>
      <c r="K78" s="9">
        <f t="shared" si="31"/>
        <v>9.5905583613916951E-4</v>
      </c>
      <c r="L78" s="9">
        <f t="shared" si="32"/>
        <v>1.0047251616696062E-3</v>
      </c>
      <c r="M78" s="11"/>
      <c r="N78" s="9"/>
      <c r="O78" s="24"/>
      <c r="P78" s="9"/>
      <c r="Q78" s="24"/>
      <c r="R78" s="9"/>
      <c r="S78" s="12"/>
      <c r="V78" s="23" t="s">
        <v>34</v>
      </c>
      <c r="W78" s="108"/>
    </row>
    <row r="79" spans="1:23" ht="17.149999999999999" customHeight="1" x14ac:dyDescent="0.35">
      <c r="A79" s="8" t="s">
        <v>110</v>
      </c>
      <c r="B79" s="9">
        <v>1.087962962962963E-2</v>
      </c>
      <c r="C79" s="9">
        <v>3.1828703703703702E-3</v>
      </c>
      <c r="D79" s="9">
        <f>B79*E79</f>
        <v>6.3297685185185184E-3</v>
      </c>
      <c r="E79" s="10">
        <v>0.58179999999999998</v>
      </c>
      <c r="F79" s="9">
        <f>C79/4</f>
        <v>7.9571759259259255E-4</v>
      </c>
      <c r="G79" s="9">
        <f>D79/7.5</f>
        <v>8.4396913580246917E-4</v>
      </c>
      <c r="H79" s="9">
        <f>B79/12.5</f>
        <v>8.7037037037037042E-4</v>
      </c>
      <c r="I79" s="9">
        <f>G79/0.93</f>
        <v>9.0749369441125711E-4</v>
      </c>
      <c r="J79" s="9">
        <f>G79/0.92</f>
        <v>9.173577563070317E-4</v>
      </c>
      <c r="K79" s="9">
        <f>G79/0.88</f>
        <v>9.5905583613916951E-4</v>
      </c>
      <c r="L79" s="9">
        <f>G79/0.84</f>
        <v>1.0047251616696062E-3</v>
      </c>
      <c r="M79" s="11"/>
      <c r="N79" s="9"/>
      <c r="O79" s="24"/>
      <c r="P79" s="9"/>
      <c r="Q79" s="24"/>
      <c r="R79" s="9"/>
      <c r="S79" s="12"/>
      <c r="T79" s="25"/>
      <c r="V79" s="23" t="s">
        <v>34</v>
      </c>
      <c r="W79" s="108"/>
    </row>
    <row r="80" spans="1:23" ht="17.149999999999999" customHeight="1" x14ac:dyDescent="0.35">
      <c r="A80" s="8" t="s">
        <v>85</v>
      </c>
      <c r="B80" s="9">
        <v>1.0995370370370371E-2</v>
      </c>
      <c r="C80" s="9">
        <v>3.1249999999999997E-3</v>
      </c>
      <c r="D80" s="9">
        <f t="shared" si="25"/>
        <v>6.397106481481481E-3</v>
      </c>
      <c r="E80" s="10">
        <v>0.58179999999999998</v>
      </c>
      <c r="F80" s="9">
        <f t="shared" si="26"/>
        <v>7.8124999999999993E-4</v>
      </c>
      <c r="G80" s="9">
        <f t="shared" si="27"/>
        <v>8.5294753086419749E-4</v>
      </c>
      <c r="H80" s="9">
        <f t="shared" si="28"/>
        <v>8.7962962962962962E-4</v>
      </c>
      <c r="I80" s="9">
        <f t="shared" si="29"/>
        <v>9.171478826496747E-4</v>
      </c>
      <c r="J80" s="9">
        <f t="shared" si="30"/>
        <v>9.2711688137412762E-4</v>
      </c>
      <c r="K80" s="9">
        <f t="shared" si="31"/>
        <v>9.6925855780022438E-4</v>
      </c>
      <c r="L80" s="9">
        <f t="shared" si="32"/>
        <v>1.0154137272192828E-3</v>
      </c>
      <c r="M80" s="11"/>
      <c r="N80" s="9"/>
      <c r="O80" s="24"/>
      <c r="P80" s="9"/>
      <c r="Q80" s="24"/>
      <c r="R80" s="9"/>
      <c r="S80" s="12"/>
      <c r="V80" s="23" t="s">
        <v>53</v>
      </c>
      <c r="W80" s="108"/>
    </row>
    <row r="81" spans="1:23" ht="17.149999999999999" customHeight="1" x14ac:dyDescent="0.35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8"/>
    </row>
    <row r="82" spans="1:23" ht="17.149999999999999" customHeight="1" x14ac:dyDescent="0.35">
      <c r="A82" s="14"/>
      <c r="B82" s="15" t="s">
        <v>1</v>
      </c>
      <c r="C82" s="15" t="s">
        <v>2</v>
      </c>
      <c r="D82" s="15" t="s">
        <v>3</v>
      </c>
      <c r="E82" s="16" t="s">
        <v>4</v>
      </c>
      <c r="F82" s="15" t="s">
        <v>5</v>
      </c>
      <c r="G82" s="15" t="s">
        <v>6</v>
      </c>
      <c r="H82" s="15" t="s">
        <v>7</v>
      </c>
      <c r="I82" s="15" t="s">
        <v>8</v>
      </c>
      <c r="J82" s="15" t="s">
        <v>9</v>
      </c>
      <c r="K82" s="15" t="s">
        <v>10</v>
      </c>
      <c r="L82" s="15" t="s">
        <v>11</v>
      </c>
      <c r="M82" s="30" t="s">
        <v>12</v>
      </c>
      <c r="N82" s="15" t="s">
        <v>58</v>
      </c>
      <c r="O82" s="15" t="s">
        <v>136</v>
      </c>
      <c r="P82" s="15" t="s">
        <v>137</v>
      </c>
      <c r="Q82" s="15" t="s">
        <v>139</v>
      </c>
      <c r="R82" s="15"/>
      <c r="S82" s="15"/>
      <c r="T82" s="15"/>
      <c r="U82" s="15" t="s">
        <v>20</v>
      </c>
      <c r="V82" s="17" t="s">
        <v>21</v>
      </c>
      <c r="W82" s="108"/>
    </row>
    <row r="83" spans="1:23" ht="17.149999999999999" customHeight="1" x14ac:dyDescent="0.35">
      <c r="A83" s="8" t="s">
        <v>94</v>
      </c>
      <c r="B83" s="9">
        <v>1.1574074074074075E-2</v>
      </c>
      <c r="C83" s="9">
        <v>3.472222222222222E-3</v>
      </c>
      <c r="D83" s="9">
        <f>B83*E83</f>
        <v>6.7337962962962968E-3</v>
      </c>
      <c r="E83" s="10">
        <v>0.58179999999999998</v>
      </c>
      <c r="F83" s="9">
        <f>C83/4</f>
        <v>8.6805555555555551E-4</v>
      </c>
      <c r="G83" s="9">
        <f>D83/7.5</f>
        <v>8.9783950617283953E-4</v>
      </c>
      <c r="H83" s="9">
        <f>B83/12.5</f>
        <v>9.2592592592592596E-4</v>
      </c>
      <c r="I83" s="9">
        <f>G83/0.93</f>
        <v>9.6541882384176294E-4</v>
      </c>
      <c r="J83" s="9">
        <f>G83/0.92</f>
        <v>9.759125067096082E-4</v>
      </c>
      <c r="K83" s="9">
        <f>G83/0.88</f>
        <v>1.0202721661054994E-3</v>
      </c>
      <c r="L83" s="9">
        <f>G83/0.84</f>
        <v>1.0688565549676662E-3</v>
      </c>
      <c r="M83" s="11">
        <f>Table2571113152523333537394145495153591214161820[[#This Row],[Thresh]]</f>
        <v>1.0202721661054994E-3</v>
      </c>
      <c r="N83" s="9">
        <f>Table2571113152523333537394145495153591214161820[[#This Row],[T (400)]]*2.5</f>
        <v>2.5506804152637483E-3</v>
      </c>
      <c r="O83" s="24">
        <f>Table2571113152523333537394145495153591214161820[[#This Row],[CV]]</f>
        <v>9.759125067096082E-4</v>
      </c>
      <c r="P83" s="9">
        <f>Table2571113152523333537394145495153591214161820[[#This Row],[1st 200]]*1.5</f>
        <v>1.4638687600644123E-3</v>
      </c>
      <c r="Q83" s="24">
        <f>Table2571113152523333537394145495153591214161820[[#This Row],[VO2]]</f>
        <v>8.9783950617283953E-4</v>
      </c>
      <c r="R83" s="9"/>
      <c r="S83" s="12"/>
      <c r="V83" s="23" t="s">
        <v>48</v>
      </c>
      <c r="W83" s="108"/>
    </row>
    <row r="84" spans="1:23" ht="17.149999999999999" customHeight="1" x14ac:dyDescent="0.35">
      <c r="A84" s="8" t="s">
        <v>93</v>
      </c>
      <c r="B84" s="9">
        <v>1.1921296296296298E-2</v>
      </c>
      <c r="C84" s="9">
        <v>3.472222222222222E-3</v>
      </c>
      <c r="D84" s="9">
        <f>B84*E84</f>
        <v>6.9358101851851863E-3</v>
      </c>
      <c r="E84" s="10">
        <v>0.58179999999999998</v>
      </c>
      <c r="F84" s="9">
        <f>C84/4</f>
        <v>8.6805555555555551E-4</v>
      </c>
      <c r="G84" s="9">
        <f>D84/7.5</f>
        <v>9.2477469135802482E-4</v>
      </c>
      <c r="H84" s="9">
        <f>B84/12.5</f>
        <v>9.5370370370370379E-4</v>
      </c>
      <c r="I84" s="9">
        <f>G84/0.93</f>
        <v>9.943813885570159E-4</v>
      </c>
      <c r="J84" s="9">
        <f>G84/0.92</f>
        <v>1.0051898819108964E-3</v>
      </c>
      <c r="K84" s="9">
        <f>G84/0.88</f>
        <v>1.0508803310886646E-3</v>
      </c>
      <c r="L84" s="9">
        <f>G84/0.84</f>
        <v>1.1009222516166963E-3</v>
      </c>
      <c r="M84" s="11">
        <f>Table2571113152523333537394145495153591214161820[[#This Row],[Thresh]]</f>
        <v>1.0508803310886646E-3</v>
      </c>
      <c r="N84" s="9">
        <f>Table2571113152523333537394145495153591214161820[[#This Row],[T (400)]]*2.5</f>
        <v>2.6272008277216617E-3</v>
      </c>
      <c r="O84" s="24">
        <f>Table2571113152523333537394145495153591214161820[[#This Row],[CV]]</f>
        <v>1.0051898819108964E-3</v>
      </c>
      <c r="P84" s="9">
        <f>Table2571113152523333537394145495153591214161820[[#This Row],[1st 200]]*1.5</f>
        <v>1.5077848228663446E-3</v>
      </c>
      <c r="Q84" s="24">
        <f>Table2571113152523333537394145495153591214161820[[#This Row],[VO2]]</f>
        <v>9.2477469135802482E-4</v>
      </c>
      <c r="R84" s="9"/>
      <c r="S84" s="12"/>
      <c r="T84" s="25"/>
      <c r="V84" s="23" t="s">
        <v>30</v>
      </c>
      <c r="W84" s="108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ref="D85:D94" si="33">B85*E85</f>
        <v>5.8247337962962957E-3</v>
      </c>
      <c r="E85" s="10">
        <v>0.58179999999999998</v>
      </c>
      <c r="F85" s="9">
        <f t="shared" ref="F85:F94" si="34">C85/4</f>
        <v>7.378472222222222E-4</v>
      </c>
      <c r="G85" s="9">
        <f t="shared" ref="G85:G94" si="35">D85/7.5</f>
        <v>7.7663117283950612E-4</v>
      </c>
      <c r="H85" s="9">
        <f t="shared" ref="H85:H94" si="36">B85/12.5</f>
        <v>8.0092592592592585E-4</v>
      </c>
      <c r="I85" s="9">
        <f t="shared" ref="I85:I94" si="37">G85/0.93</f>
        <v>8.3508728262312486E-4</v>
      </c>
      <c r="J85" s="9">
        <f t="shared" ref="J85:J94" si="38">G85/0.92</f>
        <v>8.4416431830381094E-4</v>
      </c>
      <c r="K85" s="9">
        <f t="shared" ref="K85:K94" si="39">G85/0.88</f>
        <v>8.825354236812569E-4</v>
      </c>
      <c r="L85" s="9">
        <f t="shared" ref="L85:L94" si="40">G85/0.84</f>
        <v>9.2456092004703113E-4</v>
      </c>
      <c r="M85" s="11"/>
      <c r="N85" s="9"/>
      <c r="O85" s="24"/>
      <c r="P85" s="9"/>
      <c r="Q85" s="24"/>
      <c r="R85" s="9"/>
      <c r="S85" s="12"/>
      <c r="V85" s="23" t="s">
        <v>48</v>
      </c>
      <c r="W85" s="115" t="s">
        <v>266</v>
      </c>
    </row>
    <row r="86" spans="1:23" ht="17.149999999999999" customHeight="1" x14ac:dyDescent="0.35">
      <c r="A86" s="8" t="s">
        <v>99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/>
      <c r="N86" s="9"/>
      <c r="O86" s="24"/>
      <c r="P86" s="9"/>
      <c r="Q86" s="24"/>
      <c r="R86" s="9"/>
      <c r="S86" s="12"/>
      <c r="V86" s="23" t="s">
        <v>48</v>
      </c>
      <c r="W86" s="115"/>
    </row>
    <row r="87" spans="1:23" ht="17.149999999999999" customHeight="1" x14ac:dyDescent="0.35">
      <c r="A87" s="8" t="s">
        <v>98</v>
      </c>
      <c r="B87" s="9">
        <v>1.0243055555555556E-2</v>
      </c>
      <c r="C87" s="9">
        <v>3.0092592592592588E-3</v>
      </c>
      <c r="D87" s="9">
        <f t="shared" si="33"/>
        <v>5.9594097222222218E-3</v>
      </c>
      <c r="E87" s="10">
        <v>0.58179999999999998</v>
      </c>
      <c r="F87" s="9">
        <f t="shared" si="34"/>
        <v>7.5231481481481471E-4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/>
      <c r="N87" s="9"/>
      <c r="O87" s="24"/>
      <c r="P87" s="9"/>
      <c r="Q87" s="24"/>
      <c r="R87" s="9"/>
      <c r="S87" s="12"/>
      <c r="V87" s="23" t="s">
        <v>48</v>
      </c>
      <c r="W87" s="115"/>
    </row>
    <row r="88" spans="1:23" ht="17.149999999999999" customHeight="1" x14ac:dyDescent="0.35">
      <c r="A88" s="8" t="s">
        <v>100</v>
      </c>
      <c r="B88" s="9">
        <v>1.0243055555555556E-2</v>
      </c>
      <c r="C88" s="9">
        <v>2.9745370370370373E-3</v>
      </c>
      <c r="D88" s="9">
        <f t="shared" si="33"/>
        <v>5.9594097222222218E-3</v>
      </c>
      <c r="E88" s="10">
        <v>0.58179999999999998</v>
      </c>
      <c r="F88" s="9">
        <f t="shared" si="34"/>
        <v>7.4363425925925931E-4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/>
      <c r="N88" s="9"/>
      <c r="O88" s="24"/>
      <c r="P88" s="9"/>
      <c r="Q88" s="24"/>
      <c r="R88" s="9"/>
      <c r="S88" s="12"/>
      <c r="V88" s="23" t="s">
        <v>48</v>
      </c>
      <c r="W88" s="115"/>
    </row>
    <row r="89" spans="1:23" ht="17.149999999999999" customHeight="1" x14ac:dyDescent="0.35">
      <c r="A89" s="8" t="s">
        <v>106</v>
      </c>
      <c r="B89" s="9">
        <v>1.064814814814815E-2</v>
      </c>
      <c r="C89" s="9">
        <v>3.1249999999999997E-3</v>
      </c>
      <c r="D89" s="9">
        <f t="shared" si="33"/>
        <v>6.1950925925925932E-3</v>
      </c>
      <c r="E89" s="10">
        <v>0.58179999999999998</v>
      </c>
      <c r="F89" s="9">
        <f t="shared" si="34"/>
        <v>7.8124999999999993E-4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/>
      <c r="N89" s="9"/>
      <c r="O89" s="24"/>
      <c r="P89" s="9"/>
      <c r="Q89" s="24"/>
      <c r="R89" s="9"/>
      <c r="S89" s="12"/>
      <c r="V89" s="23" t="s">
        <v>48</v>
      </c>
      <c r="W89" s="115"/>
    </row>
    <row r="90" spans="1:23" ht="17.149999999999999" customHeight="1" x14ac:dyDescent="0.35">
      <c r="A90" s="8" t="s">
        <v>103</v>
      </c>
      <c r="B90" s="9">
        <v>1.064814814814815E-2</v>
      </c>
      <c r="C90" s="9">
        <v>3.0671296296296297E-3</v>
      </c>
      <c r="D90" s="9">
        <f t="shared" si="33"/>
        <v>6.1950925925925932E-3</v>
      </c>
      <c r="E90" s="10">
        <v>0.58179999999999998</v>
      </c>
      <c r="F90" s="9">
        <f t="shared" si="34"/>
        <v>7.6678240740740743E-4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/>
      <c r="N90" s="9"/>
      <c r="O90" s="24"/>
      <c r="P90" s="9"/>
      <c r="Q90" s="24"/>
      <c r="R90" s="9"/>
      <c r="S90" s="12"/>
      <c r="U90" s="26"/>
      <c r="V90" s="23" t="s">
        <v>48</v>
      </c>
      <c r="W90" s="115"/>
    </row>
    <row r="91" spans="1:23" ht="17.149999999999999" customHeight="1" x14ac:dyDescent="0.35">
      <c r="A91" s="8" t="s">
        <v>105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/>
      <c r="N91" s="9"/>
      <c r="O91" s="24"/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 t="s">
        <v>104</v>
      </c>
      <c r="B92" s="9">
        <v>1.064814814814815E-2</v>
      </c>
      <c r="C92" s="9">
        <v>3.1249999999999997E-3</v>
      </c>
      <c r="D92" s="9">
        <f t="shared" si="33"/>
        <v>6.1950925925925932E-3</v>
      </c>
      <c r="E92" s="10">
        <v>0.58179999999999998</v>
      </c>
      <c r="F92" s="9">
        <f t="shared" si="34"/>
        <v>7.8124999999999993E-4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/>
      <c r="N92" s="9"/>
      <c r="O92" s="24"/>
      <c r="P92" s="9"/>
      <c r="Q92" s="24"/>
      <c r="R92" s="9"/>
      <c r="S92" s="12"/>
      <c r="V92" s="23" t="s">
        <v>48</v>
      </c>
      <c r="W92" s="115"/>
    </row>
    <row r="93" spans="1:23" ht="17.149999999999999" customHeight="1" x14ac:dyDescent="0.35">
      <c r="A93" s="8" t="s">
        <v>102</v>
      </c>
      <c r="B93" s="9">
        <v>1.064814814814815E-2</v>
      </c>
      <c r="C93" s="9">
        <v>3.0671296296296297E-3</v>
      </c>
      <c r="D93" s="9">
        <f t="shared" si="33"/>
        <v>6.1950925925925932E-3</v>
      </c>
      <c r="E93" s="10">
        <v>0.58179999999999998</v>
      </c>
      <c r="F93" s="9">
        <f t="shared" si="34"/>
        <v>7.6678240740740743E-4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/>
      <c r="N93" s="9"/>
      <c r="O93" s="24"/>
      <c r="P93" s="9"/>
      <c r="Q93" s="24"/>
      <c r="R93" s="9"/>
      <c r="S93" s="12"/>
      <c r="V93" s="23" t="s">
        <v>48</v>
      </c>
      <c r="W93" s="115"/>
    </row>
    <row r="94" spans="1:23" ht="17.149999999999999" customHeight="1" x14ac:dyDescent="0.35">
      <c r="A94" s="8" t="s">
        <v>107</v>
      </c>
      <c r="B94" s="9">
        <v>1.0763888888888891E-2</v>
      </c>
      <c r="C94" s="9">
        <v>3.1249999999999997E-3</v>
      </c>
      <c r="D94" s="9">
        <f t="shared" si="33"/>
        <v>6.2624305555555567E-3</v>
      </c>
      <c r="E94" s="10">
        <v>0.58179999999999998</v>
      </c>
      <c r="F94" s="9">
        <f t="shared" si="34"/>
        <v>7.8124999999999993E-4</v>
      </c>
      <c r="G94" s="9">
        <f t="shared" si="35"/>
        <v>8.3499074074074085E-4</v>
      </c>
      <c r="H94" s="9">
        <f t="shared" si="36"/>
        <v>8.6111111111111121E-4</v>
      </c>
      <c r="I94" s="9">
        <f t="shared" si="37"/>
        <v>8.9783950617283953E-4</v>
      </c>
      <c r="J94" s="9">
        <f t="shared" si="38"/>
        <v>9.0759863123993567E-4</v>
      </c>
      <c r="K94" s="9">
        <f t="shared" si="39"/>
        <v>9.4885311447811464E-4</v>
      </c>
      <c r="L94" s="9">
        <f t="shared" si="40"/>
        <v>9.9403659611992969E-4</v>
      </c>
      <c r="M94" s="11"/>
      <c r="N94" s="9"/>
      <c r="O94" s="24"/>
      <c r="P94" s="9"/>
      <c r="Q94" s="24"/>
      <c r="R94" s="9"/>
      <c r="S94" s="12"/>
      <c r="V94" s="23" t="s">
        <v>48</v>
      </c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9-F68A-436E-A670-814BCC99B0C6}">
  <sheetPr>
    <pageSetUpPr fitToPage="1"/>
  </sheetPr>
  <dimension ref="A1:W99"/>
  <sheetViews>
    <sheetView topLeftCell="A65" workbookViewId="0">
      <selection activeCell="P72" sqref="P7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264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267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>
        <f>Table14610121424223234363840444850524811131517[[#This Row],[Thresh]]</f>
        <v>1.0712857744107744E-3</v>
      </c>
      <c r="N2" s="9">
        <f>Table14610121424223234363840444850524811131517[[#This Row],[T (400)]]*2</f>
        <v>2.1425715488215488E-3</v>
      </c>
      <c r="O2" s="12">
        <v>3.7037037037037035E-4</v>
      </c>
      <c r="P2" s="9">
        <v>3.8194444444444446E-4</v>
      </c>
      <c r="Q2" s="12">
        <v>4.0509259259259258E-4</v>
      </c>
      <c r="R2" s="9">
        <v>3.9351851851851852E-4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Table14610121424223234363840444850524811131517[[#This Row],[Thresh]]</f>
        <v>1.1478061868686869E-3</v>
      </c>
      <c r="N3" s="9">
        <f>Table14610121424223234363840444850524811131517[[#This Row],[T (400)]]*2</f>
        <v>2.2956123737373738E-3</v>
      </c>
      <c r="O3" s="12">
        <v>3.7615740740740735E-4</v>
      </c>
      <c r="P3" s="9">
        <v>3.8773148148148152E-4</v>
      </c>
      <c r="Q3" s="12">
        <v>4.1087962962962958E-4</v>
      </c>
      <c r="R3" s="9">
        <v>3.9930555555555552E-4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Table14610121424223234363840444850524811131517[[#This Row],[Thresh]]</f>
        <v>1.1937184343434346E-3</v>
      </c>
      <c r="N4" s="9">
        <f>Table14610121424223234363840444850524811131517[[#This Row],[T (400)]]*2</f>
        <v>2.3874368686868691E-3</v>
      </c>
      <c r="O4" s="12">
        <v>3.9351851851851852E-4</v>
      </c>
      <c r="P4" s="9">
        <v>4.0509259259259258E-4</v>
      </c>
      <c r="Q4" s="12">
        <v>4.2824074074074075E-4</v>
      </c>
      <c r="R4" s="9">
        <v>4.1666666666666669E-4</v>
      </c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56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57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133</v>
      </c>
      <c r="P7" s="15"/>
      <c r="Q7" s="15"/>
      <c r="R7" s="15"/>
      <c r="S7" s="15"/>
      <c r="T7" s="15"/>
      <c r="U7" s="15"/>
      <c r="V7" s="17"/>
      <c r="W7" s="104"/>
    </row>
    <row r="8" spans="1:23" ht="17.149999999999999" customHeight="1" x14ac:dyDescent="0.35">
      <c r="A8" s="8" t="s">
        <v>31</v>
      </c>
      <c r="B8" s="9">
        <v>1.1689814814814814E-2</v>
      </c>
      <c r="C8" s="9">
        <v>3.3564814814814811E-3</v>
      </c>
      <c r="D8" s="9">
        <f t="shared" ref="D8:D16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Table14610121424223234363840444850524811131517[[#This Row],[Thresh]]</f>
        <v>1.0304748877665545E-3</v>
      </c>
      <c r="N8" s="9">
        <f>Table14610121424223234363840444850524811131517[[#This Row],[T (400)]]*2</f>
        <v>2.0609497755331089E-3</v>
      </c>
      <c r="O8" s="12">
        <f>Table14610121424223234363840444850524811131517[[#This Row],[R]]/2</f>
        <v>4.1956018518518514E-4</v>
      </c>
      <c r="P8" s="9"/>
      <c r="Q8" s="12"/>
      <c r="R8" s="9"/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52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Table14610121424223234363840444850524811131517[[#This Row],[Thresh]]</f>
        <v>1.0406776094276093E-3</v>
      </c>
      <c r="N9" s="9">
        <f>Table14610121424223234363840444850524811131517[[#This Row],[T (400)]]*2</f>
        <v>2.0813552188552187E-3</v>
      </c>
      <c r="O9" s="12">
        <f>Table14610121424223234363840444850524811131517[[#This Row],[R]]/2</f>
        <v>4.3402777777777775E-4</v>
      </c>
      <c r="P9" s="9"/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Table14610121424223234363840444850524811131517[[#This Row],[Thresh]]</f>
        <v>1.1478061868686869E-3</v>
      </c>
      <c r="N10" s="9">
        <f>Table14610121424223234363840444850524811131517[[#This Row],[T (400)]]*2</f>
        <v>2.2956123737373738E-3</v>
      </c>
      <c r="O10" s="12">
        <f>Table14610121424223234363840444850524811131517[[#This Row],[R]]/2</f>
        <v>4.7019675925925923E-4</v>
      </c>
      <c r="P10" s="9"/>
      <c r="Q10" s="12"/>
      <c r="R10" s="9"/>
      <c r="S10" s="12"/>
      <c r="T10" s="9"/>
      <c r="U10" s="9"/>
      <c r="V10" s="13" t="s">
        <v>30</v>
      </c>
      <c r="W10" s="104" t="s">
        <v>268</v>
      </c>
    </row>
    <row r="11" spans="1:23" ht="17.149999999999999" customHeight="1" x14ac:dyDescent="0.35">
      <c r="A11" s="8" t="s">
        <v>40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Table14610121424223234363840444850524811131517[[#This Row],[Thresh]]</f>
        <v>1.1478061868686869E-3</v>
      </c>
      <c r="N11" s="9">
        <f>Table14610121424223234363840444850524811131517[[#This Row],[T (400)]]*2</f>
        <v>2.2956123737373738E-3</v>
      </c>
      <c r="O11" s="12">
        <f>Table14610121424223234363840444850524811131517[[#This Row],[R]]/2</f>
        <v>4.7743055555555554E-4</v>
      </c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Table14610121424223234363840444850524811131517[[#This Row],[Thresh]]</f>
        <v>1.1478061868686869E-3</v>
      </c>
      <c r="N12" s="9">
        <f>Table14610121424223234363840444850524811131517[[#This Row],[T (400)]]*2</f>
        <v>2.2956123737373738E-3</v>
      </c>
      <c r="O12" s="12">
        <f>Table14610121424223234363840444850524811131517[[#This Row],[R]]/2</f>
        <v>4.7743055555555554E-4</v>
      </c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Table14610121424223234363840444850524811131517[[#This Row],[Thresh]]</f>
        <v>1.1937184343434346E-3</v>
      </c>
      <c r="N13" s="9">
        <f>Table14610121424223234363840444850524811131517[[#This Row],[T (400)]]*2</f>
        <v>2.3874368686868691E-3</v>
      </c>
      <c r="O13" s="12">
        <f>Table14610121424223234363840444850524811131517[[#This Row],[R]]/2</f>
        <v>5.0636574074074071E-4</v>
      </c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Table14610121424223234363840444850524811131517[[#This Row],[Thresh]]</f>
        <v>1.2549347643097644E-3</v>
      </c>
      <c r="N14" s="9">
        <f>Table14610121424223234363840444850524811131517[[#This Row],[T (400)]]*2</f>
        <v>2.5098695286195289E-3</v>
      </c>
      <c r="O14" s="12">
        <f>Table14610121424223234363840444850524811131517[[#This Row],[R]]/2</f>
        <v>5.2083333333333333E-4</v>
      </c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Table14610121424223234363840444850524811131517[[#This Row],[Thresh]]</f>
        <v>1.2549347643097644E-3</v>
      </c>
      <c r="N15" s="9">
        <f>Table14610121424223234363840444850524811131517[[#This Row],[T (400)]]*2</f>
        <v>2.5098695286195289E-3</v>
      </c>
      <c r="O15" s="12">
        <f>Table14610121424223234363840444850524811131517[[#This Row],[R]]/2</f>
        <v>5.2083333333333333E-4</v>
      </c>
      <c r="P15" s="9"/>
      <c r="Q15" s="12"/>
      <c r="R15" s="9"/>
      <c r="S15" s="12"/>
      <c r="T15" s="9"/>
      <c r="U15" s="9"/>
      <c r="V15" s="13" t="s">
        <v>134</v>
      </c>
      <c r="W15" s="104"/>
    </row>
    <row r="16" spans="1:23" ht="17.149999999999999" customHeight="1" x14ac:dyDescent="0.35">
      <c r="A16" s="8" t="s">
        <v>42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Table14610121424223234363840444850524811131517[[#This Row],[Thresh]]</f>
        <v>1.2549347643097644E-3</v>
      </c>
      <c r="N16" s="9">
        <f>Table14610121424223234363840444850524811131517[[#This Row],[T (400)]]*2</f>
        <v>2.5098695286195289E-3</v>
      </c>
      <c r="O16" s="12">
        <f>Table14610121424223234363840444850524811131517[[#This Row],[R]]/2</f>
        <v>5.2083333333333333E-4</v>
      </c>
      <c r="P16" s="9"/>
      <c r="Q16" s="12"/>
      <c r="R16" s="9"/>
      <c r="S16" s="12"/>
      <c r="T16" s="9"/>
      <c r="U16" s="9"/>
      <c r="V16" s="13" t="s">
        <v>134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58</v>
      </c>
      <c r="O18" s="15" t="s">
        <v>133</v>
      </c>
      <c r="P18" s="15" t="s">
        <v>231</v>
      </c>
      <c r="Q18" s="15" t="s">
        <v>195</v>
      </c>
      <c r="R18" s="15" t="s">
        <v>196</v>
      </c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28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>
        <f>Table14610121424223234363840444850524811131517[[#This Row],[Thresh]]</f>
        <v>1.0304748877665545E-3</v>
      </c>
      <c r="N19" s="9">
        <f>Table14610121424223234363840444850524811131517[[#This Row],[T (400)]]*2.5</f>
        <v>2.5761872194163863E-3</v>
      </c>
      <c r="O19" s="12">
        <f>Table14610121424223234363840444850524811131517[[#This Row],[R]]/2</f>
        <v>4.1956018518518514E-4</v>
      </c>
      <c r="P19" s="9">
        <f>Table14610121424223234363840444850524811131517[[#This Row],[T (400)]]*1.5</f>
        <v>1.5457123316498316E-3</v>
      </c>
      <c r="Q19" s="12">
        <f>Table14610121424223234363840444850524811131517[[#This Row],[VO2]]</f>
        <v>9.0681790123456785E-4</v>
      </c>
      <c r="R19" s="9">
        <f>Table14610121424223234363840444850524811131517[[#This Row],[3rd 200]]*1.5</f>
        <v>1.3602268518518518E-3</v>
      </c>
      <c r="S19" s="12"/>
      <c r="T19" s="9"/>
      <c r="U19" s="9"/>
      <c r="V19" s="13" t="s">
        <v>34</v>
      </c>
      <c r="W19" s="104" t="s">
        <v>269</v>
      </c>
    </row>
    <row r="20" spans="1:23" ht="17.149999999999999" customHeight="1" x14ac:dyDescent="0.35">
      <c r="A20" s="8" t="s">
        <v>33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>
        <f>Table14610121424223234363840444850524811131517[[#This Row],[Thresh]]</f>
        <v>1.0814884960718295E-3</v>
      </c>
      <c r="N20" s="9">
        <f>Table14610121424223234363840444850524811131517[[#This Row],[T (400)]]*2.5</f>
        <v>2.7037212401795738E-3</v>
      </c>
      <c r="O20" s="12">
        <f>Table14610121424223234363840444850524811131517[[#This Row],[R]]/2</f>
        <v>4.5572916666666662E-4</v>
      </c>
      <c r="P20" s="9">
        <f>Table14610121424223234363840444850524811131517[[#This Row],[T (400)]]*1.5</f>
        <v>1.6222327441077441E-3</v>
      </c>
      <c r="Q20" s="12">
        <f>Table14610121424223234363840444850524811131517[[#This Row],[VO2]]</f>
        <v>9.5170987654320989E-4</v>
      </c>
      <c r="R20" s="9">
        <f>Table14610121424223234363840444850524811131517[[#This Row],[3rd 200]]*1.5</f>
        <v>1.4275648148148149E-3</v>
      </c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32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Table14610121424223234363840444850524811131517[[#This Row],[Thresh]]</f>
        <v>1.0916912177328843E-3</v>
      </c>
      <c r="N21" s="9">
        <f>Table14610121424223234363840444850524811131517[[#This Row],[T (400)]]*2.5</f>
        <v>2.7292280443322109E-3</v>
      </c>
      <c r="O21" s="12">
        <f>Table14610121424223234363840444850524811131517[[#This Row],[R]]/2</f>
        <v>4.4849537037037037E-4</v>
      </c>
      <c r="P21" s="9">
        <f>Table14610121424223234363840444850524811131517[[#This Row],[T (400)]]*1.5</f>
        <v>1.6375368265993265E-3</v>
      </c>
      <c r="Q21" s="12">
        <f>Table14610121424223234363840444850524811131517[[#This Row],[VO2]]</f>
        <v>9.6068827160493821E-4</v>
      </c>
      <c r="R21" s="9">
        <f>Table14610121424223234363840444850524811131517[[#This Row],[3rd 200]]*1.5</f>
        <v>1.4410324074074074E-3</v>
      </c>
      <c r="S21" s="12"/>
      <c r="T21" s="9"/>
      <c r="U21" s="9"/>
      <c r="V21" s="13" t="s">
        <v>34</v>
      </c>
      <c r="W21" s="104"/>
    </row>
    <row r="22" spans="1:23" ht="17.149999999999999" customHeight="1" x14ac:dyDescent="0.35">
      <c r="A22" s="8" t="s">
        <v>38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Table14610121424223234363840444850524811131517[[#This Row],[Thresh]]</f>
        <v>1.0916912177328843E-3</v>
      </c>
      <c r="N22" s="9">
        <f>Table14610121424223234363840444850524811131517[[#This Row],[T (400)]]*2.5</f>
        <v>2.7292280443322109E-3</v>
      </c>
      <c r="O22" s="12">
        <f>Table14610121424223234363840444850524811131517[[#This Row],[R]]/2</f>
        <v>4.7743055555555554E-4</v>
      </c>
      <c r="P22" s="9">
        <f>Table14610121424223234363840444850524811131517[[#This Row],[T (400)]]*1.5</f>
        <v>1.6375368265993265E-3</v>
      </c>
      <c r="Q22" s="12">
        <f>Table14610121424223234363840444850524811131517[[#This Row],[VO2]]</f>
        <v>9.6068827160493821E-4</v>
      </c>
      <c r="R22" s="9">
        <f>Table14610121424223234363840444850524811131517[[#This Row],[3rd 200]]*1.5</f>
        <v>1.4410324074074074E-3</v>
      </c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4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58</v>
      </c>
      <c r="O24" s="15" t="s">
        <v>46</v>
      </c>
      <c r="P24" s="15" t="s">
        <v>136</v>
      </c>
      <c r="Q24" s="15" t="s">
        <v>152</v>
      </c>
      <c r="R24" s="15" t="s">
        <v>194</v>
      </c>
      <c r="S24" s="15" t="s">
        <v>133</v>
      </c>
      <c r="T24" s="15"/>
      <c r="U24" s="15"/>
      <c r="V24" s="17"/>
      <c r="W24" s="104"/>
    </row>
    <row r="25" spans="1:23" ht="17.149999999999999" customHeight="1" x14ac:dyDescent="0.35">
      <c r="A25" s="8" t="s">
        <v>55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>
        <f>Table14610121424223234363840444850524811131517[[#This Row],[Thresh]]</f>
        <v>1.0304748877665545E-3</v>
      </c>
      <c r="N25" s="9">
        <f>Table14610121424223234363840444850524811131517[[#This Row],[T (400)]]*2.5</f>
        <v>2.5761872194163863E-3</v>
      </c>
      <c r="O25" s="12">
        <f>Table14610121424223234363840444850524811131517[[#This Row],[I]]</f>
        <v>9.3518518518518516E-4</v>
      </c>
      <c r="P25" s="9">
        <f>Table14610121424223234363840444850524811131517[[#This Row],[CV]]</f>
        <v>9.8567163177670412E-4</v>
      </c>
      <c r="Q25" s="12">
        <f>Table14610121424223234363840444850524811131517[[#This Row],[2nd 200]]*2.5</f>
        <v>2.4641790794417604E-3</v>
      </c>
      <c r="R25" s="9">
        <f>Table14610121424223234363840444850524811131517[[#This Row],[1st 200]]*2.5</f>
        <v>2.3379629629629627E-3</v>
      </c>
      <c r="S25" s="12">
        <f>Table14610121424223234363840444850524811131517[[#This Row],[R]]/2</f>
        <v>4.3402777777777775E-4</v>
      </c>
      <c r="T25" s="9"/>
      <c r="U25" s="9"/>
      <c r="V25" s="13" t="s">
        <v>48</v>
      </c>
      <c r="W25" s="104"/>
    </row>
    <row r="26" spans="1:23" ht="17.149999999999999" customHeight="1" x14ac:dyDescent="0.35">
      <c r="A26" s="8" t="s">
        <v>49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Table14610121424223234363840444850524811131517[[#This Row],[Thresh]]</f>
        <v>1.0814884960718295E-3</v>
      </c>
      <c r="N26" s="9">
        <f>Table14610121424223234363840444850524811131517[[#This Row],[T (400)]]*2.5</f>
        <v>2.7037212401795738E-3</v>
      </c>
      <c r="O26" s="12">
        <f>Table14610121424223234363840444850524811131517[[#This Row],[I]]</f>
        <v>9.8148148148148161E-4</v>
      </c>
      <c r="P26" s="9">
        <f>Table14610121424223234363840444850524811131517[[#This Row],[CV]]</f>
        <v>1.0344672571121847E-3</v>
      </c>
      <c r="Q26" s="12">
        <f>Table14610121424223234363840444850524811131517[[#This Row],[2nd 200]]*2.5</f>
        <v>2.5861681427804617E-3</v>
      </c>
      <c r="R26" s="9">
        <f>Table14610121424223234363840444850524811131517[[#This Row],[1st 200]]*2.5</f>
        <v>2.453703703703704E-3</v>
      </c>
      <c r="S26" s="12">
        <f>Table14610121424223234363840444850524811131517[[#This Row],[R]]/2</f>
        <v>4.6296296296296293E-4</v>
      </c>
      <c r="T26" s="9"/>
      <c r="U26" s="9"/>
      <c r="V26" s="13" t="s">
        <v>48</v>
      </c>
      <c r="W26" s="104"/>
    </row>
    <row r="27" spans="1:23" ht="17.149999999999999" customHeight="1" x14ac:dyDescent="0.35">
      <c r="A27" s="8" t="s">
        <v>37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>
        <f>Table14610121424223234363840444850524811131517[[#This Row],[Thresh]]</f>
        <v>1.0916912177328843E-3</v>
      </c>
      <c r="N27" s="9">
        <f>Table14610121424223234363840444850524811131517[[#This Row],[T (400)]]*2.5</f>
        <v>2.7292280443322109E-3</v>
      </c>
      <c r="O27" s="12">
        <f>Table14610121424223234363840444850524811131517[[#This Row],[I]]</f>
        <v>9.9074074074074082E-4</v>
      </c>
      <c r="P27" s="9">
        <f>Table14610121424223234363840444850524811131517[[#This Row],[CV]]</f>
        <v>1.0442263821792807E-3</v>
      </c>
      <c r="Q27" s="12">
        <f>Table14610121424223234363840444850524811131517[[#This Row],[2nd 200]]*2.5</f>
        <v>2.6105659554482019E-3</v>
      </c>
      <c r="R27" s="9">
        <f>Table14610121424223234363840444850524811131517[[#This Row],[1st 200]]*2.5</f>
        <v>2.476851851851852E-3</v>
      </c>
      <c r="S27" s="12">
        <f>Table14610121424223234363840444850524811131517[[#This Row],[R]]/2</f>
        <v>4.7743055555555554E-4</v>
      </c>
      <c r="T27" s="9"/>
      <c r="U27" s="9"/>
      <c r="V27" s="13" t="s">
        <v>48</v>
      </c>
      <c r="W27" s="104"/>
    </row>
    <row r="28" spans="1:23" ht="17.149999999999999" customHeight="1" x14ac:dyDescent="0.35">
      <c r="A28" s="8" t="s">
        <v>50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>
        <f>Table14610121424223234363840444850524811131517[[#This Row],[Thresh]]</f>
        <v>1.1018939393939394E-3</v>
      </c>
      <c r="N28" s="9">
        <f>Table14610121424223234363840444850524811131517[[#This Row],[T (400)]]*2.5</f>
        <v>2.7547348484848484E-3</v>
      </c>
      <c r="O28" s="12">
        <f>Table14610121424223234363840444850524811131517[[#This Row],[I]]</f>
        <v>1E-3</v>
      </c>
      <c r="P28" s="9">
        <f>Table14610121424223234363840444850524811131517[[#This Row],[CV]]</f>
        <v>1.0539855072463768E-3</v>
      </c>
      <c r="Q28" s="12">
        <f>Table14610121424223234363840444850524811131517[[#This Row],[2nd 200]]*2.5</f>
        <v>2.6349637681159421E-3</v>
      </c>
      <c r="R28" s="9">
        <f>Table14610121424223234363840444850524811131517[[#This Row],[1st 200]]*2.5</f>
        <v>2.5000000000000001E-3</v>
      </c>
      <c r="S28" s="12">
        <f>Table14610121424223234363840444850524811131517[[#This Row],[R]]/2</f>
        <v>4.9189814814814821E-4</v>
      </c>
      <c r="T28" s="9"/>
      <c r="U28" s="9"/>
      <c r="V28" s="13" t="s">
        <v>48</v>
      </c>
      <c r="W28" s="113" t="s">
        <v>270</v>
      </c>
    </row>
    <row r="29" spans="1:23" ht="17.149999999999999" customHeight="1" x14ac:dyDescent="0.35">
      <c r="A29" s="8" t="s">
        <v>51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Table14610121424223234363840444850524811131517[[#This Row],[Thresh]]</f>
        <v>1.1018939393939394E-3</v>
      </c>
      <c r="N29" s="9">
        <f>Table14610121424223234363840444850524811131517[[#This Row],[T (400)]]*2.5</f>
        <v>2.7547348484848484E-3</v>
      </c>
      <c r="O29" s="12">
        <f>Table14610121424223234363840444850524811131517[[#This Row],[I]]</f>
        <v>1E-3</v>
      </c>
      <c r="P29" s="9">
        <f>Table14610121424223234363840444850524811131517[[#This Row],[CV]]</f>
        <v>1.0539855072463768E-3</v>
      </c>
      <c r="Q29" s="12">
        <f>Table14610121424223234363840444850524811131517[[#This Row],[2nd 200]]*2.5</f>
        <v>2.6349637681159421E-3</v>
      </c>
      <c r="R29" s="9">
        <f>Table14610121424223234363840444850524811131517[[#This Row],[1st 200]]*2.5</f>
        <v>2.5000000000000001E-3</v>
      </c>
      <c r="S29" s="12">
        <f>Table14610121424223234363840444850524811131517[[#This Row],[R]]/2</f>
        <v>4.6296296296296293E-4</v>
      </c>
      <c r="T29" s="9"/>
      <c r="U29" s="9"/>
      <c r="V29" s="13" t="s">
        <v>48</v>
      </c>
      <c r="W29" s="113"/>
    </row>
    <row r="30" spans="1:23" ht="17.149999999999999" customHeight="1" x14ac:dyDescent="0.35">
      <c r="A30" s="8" t="s">
        <v>124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13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264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271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Table25711131525233335373941454951535912141618[[#This Row],[Thresh]]</f>
        <v>9.1824494949494938E-4</v>
      </c>
      <c r="N35" s="9">
        <f>Table25711131525233335373941454951535912141618[[#This Row],[T (400)]]*2</f>
        <v>1.8364898989898988E-3</v>
      </c>
      <c r="O35" s="24">
        <v>3.0960648148148151E-4</v>
      </c>
      <c r="P35" s="9">
        <v>3.2118055555555556E-4</v>
      </c>
      <c r="Q35" s="24">
        <v>3.3275462962962968E-4</v>
      </c>
      <c r="R35" s="9">
        <v>3.2118055555555556E-4</v>
      </c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4" si="17">C36/4</f>
        <v>7.378472222222222E-4</v>
      </c>
      <c r="G36" s="9">
        <f t="shared" ref="G36:G64" si="18">D36/7.5</f>
        <v>8.0805555555555546E-4</v>
      </c>
      <c r="H36" s="9">
        <f t="shared" ref="H36:H64" si="19">B36/12.5</f>
        <v>8.3333333333333328E-4</v>
      </c>
      <c r="I36" s="9">
        <f t="shared" ref="I36:I64" si="20">G36/0.93</f>
        <v>8.6887694145758646E-4</v>
      </c>
      <c r="J36" s="9">
        <f t="shared" ref="J36:J64" si="21">G36/0.92</f>
        <v>8.7832125603864715E-4</v>
      </c>
      <c r="K36" s="9">
        <f t="shared" ref="K36:K64" si="22">G36/0.88</f>
        <v>9.1824494949494938E-4</v>
      </c>
      <c r="L36" s="9">
        <f t="shared" ref="L36:L64" si="23">G36/0.84</f>
        <v>9.6197089947089938E-4</v>
      </c>
      <c r="M36" s="11">
        <f>Table25711131525233335373941454951535912141618[[#This Row],[Thresh]]</f>
        <v>9.1824494949494938E-4</v>
      </c>
      <c r="N36" s="9">
        <f>Table25711131525233335373941454951535912141618[[#This Row],[T (400)]]*2</f>
        <v>1.8364898989898988E-3</v>
      </c>
      <c r="O36" s="24">
        <v>3.1539351851851851E-4</v>
      </c>
      <c r="P36" s="9">
        <v>3.2696759259259262E-4</v>
      </c>
      <c r="Q36" s="24">
        <v>3.3854166666666668E-4</v>
      </c>
      <c r="R36" s="9">
        <v>3.2696759259259262E-4</v>
      </c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Table25711131525233335373941454951535912141618[[#This Row],[Thresh]]</f>
        <v>9.5905583613916951E-4</v>
      </c>
      <c r="N37" s="9">
        <f>Table25711131525233335373941454951535912141618[[#This Row],[T (400)]]*2</f>
        <v>1.918111672278339E-3</v>
      </c>
      <c r="O37" s="24">
        <v>3.1828703703703701E-4</v>
      </c>
      <c r="P37" s="9">
        <v>3.2986111111111107E-4</v>
      </c>
      <c r="Q37" s="24">
        <v>3.4143518518518513E-4</v>
      </c>
      <c r="R37" s="9">
        <v>3.2986111111111107E-4</v>
      </c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Table25711131525233335373941454951535912141618[[#This Row],[Thresh]]</f>
        <v>9.5905583613916951E-4</v>
      </c>
      <c r="N38" s="9">
        <f>Table25711131525233335373941454951535912141618[[#This Row],[T (400)]]*2</f>
        <v>1.918111672278339E-3</v>
      </c>
      <c r="O38" s="24">
        <v>3.1828703703703701E-4</v>
      </c>
      <c r="P38" s="9">
        <v>3.2986111111111107E-4</v>
      </c>
      <c r="Q38" s="24">
        <v>3.4143518518518513E-4</v>
      </c>
      <c r="R38" s="9">
        <v>3.2986111111111107E-4</v>
      </c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75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Table25711131525233335373941454951535912141618[[#This Row],[Thresh]]</f>
        <v>9.5905583613916951E-4</v>
      </c>
      <c r="N39" s="9">
        <f>Table25711131525233335373941454951535912141618[[#This Row],[T (400)]]*2</f>
        <v>1.918111672278339E-3</v>
      </c>
      <c r="O39" s="24">
        <v>3.2118055555555556E-4</v>
      </c>
      <c r="P39" s="9">
        <v>3.3275462962962968E-4</v>
      </c>
      <c r="Q39" s="24">
        <v>3.4432870370370368E-4</v>
      </c>
      <c r="R39" s="9">
        <v>3.3275462962962968E-4</v>
      </c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65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Table25711131525233335373941454951535912141618[[#This Row],[Thresh]]</f>
        <v>9.1824494949494938E-4</v>
      </c>
      <c r="N40" s="9">
        <f>Table25711131525233335373941454951535912141618[[#This Row],[T (400)]]*2</f>
        <v>1.8364898989898988E-3</v>
      </c>
      <c r="O40" s="24">
        <v>3.2118055555555556E-4</v>
      </c>
      <c r="P40" s="9">
        <v>3.3275462962962968E-4</v>
      </c>
      <c r="Q40" s="24">
        <v>3.4432870370370368E-4</v>
      </c>
      <c r="R40" s="9">
        <v>3.3275462962962968E-4</v>
      </c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112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>
        <f>Table25711131525233335373941454951535912141618[[#This Row],[Thresh]]</f>
        <v>1.0100694444444445E-3</v>
      </c>
      <c r="N41" s="9">
        <f>Table25711131525233335373941454951535912141618[[#This Row],[T (400)]]*2</f>
        <v>2.020138888888889E-3</v>
      </c>
      <c r="O41" s="24">
        <v>3.2696759259259262E-4</v>
      </c>
      <c r="P41" s="9">
        <v>3.3854166666666668E-4</v>
      </c>
      <c r="Q41" s="24">
        <v>3.5011574074074074E-4</v>
      </c>
      <c r="R41" s="9">
        <v>3.3854166666666668E-4</v>
      </c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66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Table25711131525233335373941454951535912141618[[#This Row],[Thresh]]</f>
        <v>9.8966400112233477E-4</v>
      </c>
      <c r="N42" s="9">
        <f>Table25711131525233335373941454951535912141618[[#This Row],[T (400)]]*2</f>
        <v>1.9793280022446695E-3</v>
      </c>
      <c r="O42" s="24">
        <v>3.3564814814814812E-4</v>
      </c>
      <c r="P42" s="9">
        <v>3.4722222222222224E-4</v>
      </c>
      <c r="Q42" s="24">
        <v>3.5879629629629635E-4</v>
      </c>
      <c r="R42" s="9">
        <v>3.4722222222222224E-4</v>
      </c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115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>
        <f>Table25711131525233335373941454951535912141618[[#This Row],[Thresh]]</f>
        <v>9.7946127946127947E-4</v>
      </c>
      <c r="N43" s="9">
        <f>Table25711131525233335373941454951535912141618[[#This Row],[T (400)]]*2</f>
        <v>1.9589225589225589E-3</v>
      </c>
      <c r="O43" s="24">
        <v>3.4143518518518513E-4</v>
      </c>
      <c r="P43" s="9">
        <v>3.5300925925925924E-4</v>
      </c>
      <c r="Q43" s="24">
        <v>3.6458333333333335E-4</v>
      </c>
      <c r="R43" s="9">
        <v>3.5300925925925924E-4</v>
      </c>
      <c r="S43" s="12"/>
      <c r="T43" s="96"/>
      <c r="U43" s="9"/>
      <c r="V43" s="23" t="s">
        <v>24</v>
      </c>
      <c r="W43" s="104" t="s">
        <v>272</v>
      </c>
    </row>
    <row r="44" spans="1:23" ht="17.149999999999999" customHeight="1" x14ac:dyDescent="0.35">
      <c r="A44" s="8" t="s">
        <v>67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>
        <f>Table25711131525233335373941454951535912141618[[#This Row],[Thresh]]</f>
        <v>9.8966400112233477E-4</v>
      </c>
      <c r="N44" s="9">
        <f>Table25711131525233335373941454951535912141618[[#This Row],[T (400)]]*2</f>
        <v>1.9793280022446695E-3</v>
      </c>
      <c r="O44" s="24">
        <v>3.4143518518518513E-4</v>
      </c>
      <c r="P44" s="9">
        <v>3.5300925925925924E-4</v>
      </c>
      <c r="Q44" s="24">
        <v>3.6458333333333335E-4</v>
      </c>
      <c r="R44" s="9">
        <v>3.5300925925925924E-4</v>
      </c>
      <c r="S44" s="12"/>
      <c r="T44" s="96"/>
      <c r="U44" s="9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 t="s">
        <v>12</v>
      </c>
      <c r="N46" s="15" t="s">
        <v>13</v>
      </c>
      <c r="O46" s="15" t="s">
        <v>133</v>
      </c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70</v>
      </c>
      <c r="B47" s="9">
        <v>9.780092592592592E-3</v>
      </c>
      <c r="C47" s="9">
        <v>2.8124999999999995E-3</v>
      </c>
      <c r="D47" s="9">
        <f t="shared" ref="D47:D61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>
        <f>Table25711131525233335373941454951535912141618[[#This Row],[Thresh]]</f>
        <v>8.6212998035914683E-4</v>
      </c>
      <c r="N47" s="9">
        <f>Table25711131525233335373941454951535912141618[[#This Row],[T (400)]]*2</f>
        <v>1.7242599607182937E-3</v>
      </c>
      <c r="O47" s="24">
        <f>Table25711131525233335373941454951535912141618[[#This Row],[R]]/2</f>
        <v>3.5156249999999993E-4</v>
      </c>
      <c r="P47" s="9"/>
      <c r="Q47" s="24"/>
      <c r="R47" s="9"/>
      <c r="S47" s="12"/>
      <c r="T47" s="25"/>
      <c r="V47" s="23" t="s">
        <v>30</v>
      </c>
      <c r="W47" s="104"/>
    </row>
    <row r="48" spans="1:23" ht="17.149999999999999" customHeight="1" x14ac:dyDescent="0.35">
      <c r="A48" s="8" t="s">
        <v>76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>
        <f>Table25711131525233335373941454951535912141618[[#This Row],[Thresh]]</f>
        <v>8.825354236812569E-4</v>
      </c>
      <c r="N48" s="9">
        <f>Table25711131525233335373941454951535912141618[[#This Row],[T (400)]]*2</f>
        <v>1.7650708473625138E-3</v>
      </c>
      <c r="O48" s="24">
        <f>Table25711131525233335373941454951535912141618[[#This Row],[R]]/2</f>
        <v>3.689236111111111E-4</v>
      </c>
      <c r="P48" s="9"/>
      <c r="Q48" s="24"/>
      <c r="R48" s="9"/>
      <c r="S48" s="12"/>
      <c r="V48" s="23" t="s">
        <v>30</v>
      </c>
      <c r="W48" s="104"/>
    </row>
    <row r="49" spans="1:23" ht="17.149999999999999" customHeight="1" x14ac:dyDescent="0.35">
      <c r="A49" s="8" t="s">
        <v>72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>
        <f>Table25711131525233335373941454951535912141618[[#This Row],[Thresh]]</f>
        <v>8.9273814534231199E-4</v>
      </c>
      <c r="N49" s="9">
        <f>Table25711131525233335373941454951535912141618[[#This Row],[T (400)]]*2</f>
        <v>1.785476290684624E-3</v>
      </c>
      <c r="O49" s="24">
        <f>Table25711131525233335373941454951535912141618[[#This Row],[R]]/2</f>
        <v>3.6168981481481485E-4</v>
      </c>
      <c r="P49" s="9"/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74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>
        <f>Table25711131525233335373941454951535912141618[[#This Row],[Thresh]]</f>
        <v>9.0294086700336686E-4</v>
      </c>
      <c r="N50" s="9">
        <f>Table25711131525233335373941454951535912141618[[#This Row],[T (400)]]*2</f>
        <v>1.8058817340067337E-3</v>
      </c>
      <c r="O50" s="24">
        <f>Table25711131525233335373941454951535912141618[[#This Row],[R]]/2</f>
        <v>3.7181712962962966E-4</v>
      </c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77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>
        <f>Table25711131525233335373941454951535912141618[[#This Row],[Thresh]]</f>
        <v>9.3865039281705955E-4</v>
      </c>
      <c r="N51" s="9">
        <f>Table25711131525233335373941454951535912141618[[#This Row],[T (400)]]*2</f>
        <v>1.8773007856341191E-3</v>
      </c>
      <c r="O51" s="24">
        <f>Table25711131525233335373941454951535912141618[[#This Row],[R]]/2</f>
        <v>3.7181712962962966E-4</v>
      </c>
      <c r="P51" s="9"/>
      <c r="Q51" s="24"/>
      <c r="R51" s="9"/>
      <c r="S51" s="12"/>
      <c r="V51" s="23" t="s">
        <v>30</v>
      </c>
      <c r="W51" s="104"/>
    </row>
    <row r="52" spans="1:23" ht="17.149999999999999" customHeight="1" x14ac:dyDescent="0.35">
      <c r="A52" s="8" t="s">
        <v>83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>
        <f>Table25711131525233335373941454951535912141618[[#This Row],[Thresh]]</f>
        <v>9.6925855780022438E-4</v>
      </c>
      <c r="N52" s="9">
        <f>Table25711131525233335373941454951535912141618[[#This Row],[T (400)]]*2</f>
        <v>1.9385171156004488E-3</v>
      </c>
      <c r="O52" s="24">
        <f>Table25711131525233335373941454951535912141618[[#This Row],[R]]/2</f>
        <v>3.7615740740740735E-4</v>
      </c>
      <c r="P52" s="9"/>
      <c r="Q52" s="24"/>
      <c r="R52" s="9"/>
      <c r="S52" s="12"/>
      <c r="T52" s="25"/>
      <c r="V52" s="23" t="s">
        <v>30</v>
      </c>
      <c r="W52" s="104" t="s">
        <v>273</v>
      </c>
    </row>
    <row r="53" spans="1:23" ht="17.149999999999999" customHeight="1" x14ac:dyDescent="0.35">
      <c r="A53" s="8" t="s">
        <v>81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>
        <f>Table25711131525233335373941454951535912141618[[#This Row],[Thresh]]</f>
        <v>9.4885311447811464E-4</v>
      </c>
      <c r="N53" s="9">
        <f>Table25711131525233335373941454951535912141618[[#This Row],[T (400)]]*2</f>
        <v>1.8977062289562293E-3</v>
      </c>
      <c r="O53" s="24">
        <f>Table25711131525233335373941454951535912141618[[#This Row],[R]]/2</f>
        <v>3.8339120370370371E-4</v>
      </c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88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>
        <f>Table25711131525233335373941454951535912141618[[#This Row],[Thresh]]</f>
        <v>9.4885311447811464E-4</v>
      </c>
      <c r="N54" s="9">
        <f>Table25711131525233335373941454951535912141618[[#This Row],[T (400)]]*2</f>
        <v>1.8977062289562293E-3</v>
      </c>
      <c r="O54" s="24">
        <f>Table25711131525233335373941454951535912141618[[#This Row],[R]]/2</f>
        <v>3.9062499999999997E-4</v>
      </c>
      <c r="P54" s="9"/>
      <c r="Q54" s="24"/>
      <c r="R54" s="9"/>
      <c r="S54" s="12"/>
      <c r="V54" s="23" t="s">
        <v>30</v>
      </c>
      <c r="W54" s="104"/>
    </row>
    <row r="55" spans="1:23" ht="17.149999999999999" customHeight="1" x14ac:dyDescent="0.35">
      <c r="A55" s="8" t="s">
        <v>90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>
        <f>Table25711131525233335373941454951535912141618[[#This Row],[Thresh]]</f>
        <v>9.6925855780022438E-4</v>
      </c>
      <c r="N55" s="9">
        <f>Table25711131525233335373941454951535912141618[[#This Row],[T (400)]]*2</f>
        <v>1.9385171156004488E-3</v>
      </c>
      <c r="O55" s="24">
        <f>Table25711131525233335373941454951535912141618[[#This Row],[R]]/2</f>
        <v>3.9785879629629627E-4</v>
      </c>
      <c r="P55" s="9"/>
      <c r="Q55" s="24"/>
      <c r="R55" s="9"/>
      <c r="S55" s="12"/>
      <c r="T55" s="25"/>
      <c r="U55" s="28"/>
      <c r="V55" s="23" t="s">
        <v>30</v>
      </c>
      <c r="W55" s="104"/>
    </row>
    <row r="56" spans="1:23" ht="17.149999999999999" customHeight="1" x14ac:dyDescent="0.35">
      <c r="A56" s="8" t="s">
        <v>86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>
        <f>Table25711131525233335373941454951535912141618[[#This Row],[Thresh]]</f>
        <v>9.7946127946127947E-4</v>
      </c>
      <c r="N56" s="9">
        <f>Table25711131525233335373941454951535912141618[[#This Row],[T (400)]]*2</f>
        <v>1.9589225589225589E-3</v>
      </c>
      <c r="O56" s="24">
        <f>Table25711131525233335373941454951535912141618[[#This Row],[R]]/2</f>
        <v>3.9062499999999997E-4</v>
      </c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68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>
        <f>Table25711131525233335373941454951535912141618[[#This Row],[Thresh]]</f>
        <v>9.8966400112233477E-4</v>
      </c>
      <c r="N57" s="9">
        <f>Table25711131525233335373941454951535912141618[[#This Row],[T (400)]]*2</f>
        <v>1.9793280022446695E-3</v>
      </c>
      <c r="O57" s="24">
        <f>Table25711131525233335373941454951535912141618[[#This Row],[R]]/2</f>
        <v>4.0509259259259258E-4</v>
      </c>
      <c r="P57" s="9"/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92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>
        <f>Table25711131525233335373941454951535912141618[[#This Row],[Thresh]]</f>
        <v>1.0100694444444445E-3</v>
      </c>
      <c r="N58" s="9">
        <f>Table25711131525233335373941454951535912141618[[#This Row],[T (400)]]*2</f>
        <v>2.020138888888889E-3</v>
      </c>
      <c r="O58" s="24">
        <f>Table25711131525233335373941454951535912141618[[#This Row],[R]]/2</f>
        <v>4.0509259259259258E-4</v>
      </c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91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>
        <f>Table25711131525233335373941454951535912141618[[#This Row],[Thresh]]</f>
        <v>1.0100694444444445E-3</v>
      </c>
      <c r="N59" s="9">
        <f>Table25711131525233335373941454951535912141618[[#This Row],[T (400)]]*2</f>
        <v>2.020138888888889E-3</v>
      </c>
      <c r="O59" s="24">
        <f>Table25711131525233335373941454951535912141618[[#This Row],[R]]/2</f>
        <v>4.1232638888888889E-4</v>
      </c>
      <c r="P59" s="9"/>
      <c r="Q59" s="24"/>
      <c r="R59" s="9"/>
      <c r="S59" s="12"/>
      <c r="V59" s="23" t="s">
        <v>30</v>
      </c>
      <c r="W59" s="104"/>
    </row>
    <row r="60" spans="1:23" ht="17.149999999999999" customHeight="1" x14ac:dyDescent="0.35">
      <c r="A60" s="8" t="s">
        <v>113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>
        <f>Table25711131525233335373941454951535912141618[[#This Row],[Thresh]]</f>
        <v>1.0202721661054994E-3</v>
      </c>
      <c r="N60" s="9">
        <f>Table25711131525233335373941454951535912141618[[#This Row],[T (400)]]*2</f>
        <v>2.0405443322109988E-3</v>
      </c>
      <c r="O60" s="24">
        <f>Table25711131525233335373941454951535912141618[[#This Row],[R]]/2</f>
        <v>4.1232638888888889E-4</v>
      </c>
      <c r="P60" s="9"/>
      <c r="Q60" s="24"/>
      <c r="R60" s="9"/>
      <c r="S60" s="12"/>
      <c r="T60" s="25"/>
      <c r="V60" s="23" t="s">
        <v>134</v>
      </c>
      <c r="W60" s="104"/>
    </row>
    <row r="61" spans="1:23" ht="17.149999999999999" customHeight="1" x14ac:dyDescent="0.35">
      <c r="A61" s="8" t="s">
        <v>93</v>
      </c>
      <c r="B61" s="9">
        <v>1.1921296296296298E-2</v>
      </c>
      <c r="C61" s="9">
        <v>3.472222222222222E-3</v>
      </c>
      <c r="D61" s="9">
        <f t="shared" si="24"/>
        <v>6.9358101851851863E-3</v>
      </c>
      <c r="E61" s="10">
        <v>0.58179999999999998</v>
      </c>
      <c r="F61" s="9">
        <f t="shared" si="17"/>
        <v>8.6805555555555551E-4</v>
      </c>
      <c r="G61" s="9">
        <f t="shared" si="18"/>
        <v>9.2477469135802482E-4</v>
      </c>
      <c r="H61" s="9">
        <f t="shared" si="19"/>
        <v>9.5370370370370379E-4</v>
      </c>
      <c r="I61" s="9">
        <f t="shared" si="20"/>
        <v>9.943813885570159E-4</v>
      </c>
      <c r="J61" s="9">
        <f t="shared" si="21"/>
        <v>1.0051898819108964E-3</v>
      </c>
      <c r="K61" s="9">
        <f t="shared" si="22"/>
        <v>1.0508803310886646E-3</v>
      </c>
      <c r="L61" s="9">
        <f t="shared" si="23"/>
        <v>1.1009222516166963E-3</v>
      </c>
      <c r="M61" s="11">
        <f>Table25711131525233335373941454951535912141618[[#This Row],[Thresh]]</f>
        <v>1.0508803310886646E-3</v>
      </c>
      <c r="N61" s="9">
        <f>Table25711131525233335373941454951535912141618[[#This Row],[T (400)]]*2</f>
        <v>2.1017606621773293E-3</v>
      </c>
      <c r="O61" s="24">
        <f>Table25711131525233335373941454951535912141618[[#This Row],[R]]/2</f>
        <v>4.3402777777777775E-4</v>
      </c>
      <c r="P61" s="9"/>
      <c r="Q61" s="24"/>
      <c r="R61" s="9"/>
      <c r="S61" s="12"/>
      <c r="T61" s="25"/>
      <c r="V61" s="23" t="s">
        <v>30</v>
      </c>
      <c r="W61" s="105" t="s">
        <v>274</v>
      </c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4"/>
      <c r="R62" s="9"/>
      <c r="S62" s="12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7"/>
        <v>0</v>
      </c>
      <c r="G64" s="9">
        <f t="shared" si="18"/>
        <v>0</v>
      </c>
      <c r="H64" s="9">
        <f t="shared" si="19"/>
        <v>0</v>
      </c>
      <c r="I64" s="9">
        <f t="shared" si="20"/>
        <v>0</v>
      </c>
      <c r="J64" s="9">
        <f t="shared" si="21"/>
        <v>0</v>
      </c>
      <c r="K64" s="9">
        <f t="shared" si="22"/>
        <v>0</v>
      </c>
      <c r="L64" s="9">
        <f t="shared" si="23"/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5"/>
      <c r="R65" s="25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264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275</v>
      </c>
      <c r="O67" s="15" t="s">
        <v>133</v>
      </c>
      <c r="P67" s="15" t="s">
        <v>13</v>
      </c>
      <c r="Q67" s="15" t="s">
        <v>195</v>
      </c>
      <c r="R67" s="15" t="s">
        <v>202</v>
      </c>
      <c r="S67" s="15" t="s">
        <v>209</v>
      </c>
      <c r="T67" s="15" t="s">
        <v>19</v>
      </c>
      <c r="U67" s="15" t="s">
        <v>20</v>
      </c>
      <c r="V67" s="17" t="s">
        <v>21</v>
      </c>
      <c r="W67" s="104" t="s">
        <v>273</v>
      </c>
    </row>
    <row r="68" spans="1:23" ht="17.149999999999999" customHeight="1" x14ac:dyDescent="0.35">
      <c r="A68" s="8" t="s">
        <v>71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Table25711131525233335373941454951535912141618[[#This Row],[Thresh]]</f>
        <v>8.825354236812569E-4</v>
      </c>
      <c r="N68" s="9">
        <f>Table25711131525233335373941454951535912141618[[#This Row],[T (400)]]*3</f>
        <v>2.6476062710437706E-3</v>
      </c>
      <c r="O68" s="24">
        <f>Table25711131525233335373941454951535912141618[[#This Row],[R]]/2</f>
        <v>3.6168981481481485E-4</v>
      </c>
      <c r="P68" s="9">
        <f>Table25711131525233335373941454951535912141618[[#This Row],[T (400)]]*2</f>
        <v>1.7650708473625138E-3</v>
      </c>
      <c r="Q68" s="24">
        <f>Table25711131525233335373941454951535912141618[[#This Row],[VO2]]</f>
        <v>7.7663117283950612E-4</v>
      </c>
      <c r="R68" s="9">
        <f>Table25711131525233335373941454951535912141618[[#This Row],[3rd 200]]*2</f>
        <v>1.5532623456790122E-3</v>
      </c>
      <c r="S68" s="12"/>
      <c r="T68" s="25"/>
      <c r="V68" s="23" t="s">
        <v>34</v>
      </c>
      <c r="W68" s="104"/>
    </row>
    <row r="69" spans="1:23" ht="17.149999999999999" customHeight="1" x14ac:dyDescent="0.35">
      <c r="A69" s="8" t="s">
        <v>97</v>
      </c>
      <c r="B69" s="9">
        <v>1.0011574074074074E-2</v>
      </c>
      <c r="C69" s="9">
        <v>3.0092592592592588E-3</v>
      </c>
      <c r="D69" s="9">
        <f t="shared" ref="D69:D81" si="25">B69*E69</f>
        <v>5.8247337962962957E-3</v>
      </c>
      <c r="E69" s="10">
        <v>0.58179999999999998</v>
      </c>
      <c r="F69" s="9">
        <f t="shared" ref="F69:F81" si="26">C69/4</f>
        <v>7.5231481481481471E-4</v>
      </c>
      <c r="G69" s="9">
        <f t="shared" ref="G69:G81" si="27">D69/7.5</f>
        <v>7.7663117283950612E-4</v>
      </c>
      <c r="H69" s="9">
        <f t="shared" ref="H69:H81" si="28">B69/12.5</f>
        <v>8.0092592592592585E-4</v>
      </c>
      <c r="I69" s="9">
        <f t="shared" ref="I69:I81" si="29">G69/0.93</f>
        <v>8.3508728262312486E-4</v>
      </c>
      <c r="J69" s="9">
        <f t="shared" ref="J69:J81" si="30">G69/0.92</f>
        <v>8.4416431830381094E-4</v>
      </c>
      <c r="K69" s="9">
        <f t="shared" ref="K69:K81" si="31">G69/0.88</f>
        <v>8.825354236812569E-4</v>
      </c>
      <c r="L69" s="9">
        <f t="shared" ref="L69:L81" si="32">G69/0.84</f>
        <v>9.2456092004703113E-4</v>
      </c>
      <c r="M69" s="11">
        <f>Table25711131525233335373941454951535912141618[[#This Row],[Thresh]]</f>
        <v>8.825354236812569E-4</v>
      </c>
      <c r="N69" s="9">
        <f>Table25711131525233335373941454951535912141618[[#This Row],[T (400)]]*3</f>
        <v>2.6476062710437706E-3</v>
      </c>
      <c r="O69" s="24">
        <f>Table25711131525233335373941454951535912141618[[#This Row],[R]]/2</f>
        <v>3.7615740740740735E-4</v>
      </c>
      <c r="P69" s="9">
        <f>Table25711131525233335373941454951535912141618[[#This Row],[T (400)]]*2</f>
        <v>1.7650708473625138E-3</v>
      </c>
      <c r="Q69" s="24">
        <f>Table25711131525233335373941454951535912141618[[#This Row],[VO2]]</f>
        <v>7.7663117283950612E-4</v>
      </c>
      <c r="R69" s="9">
        <f>Table25711131525233335373941454951535912141618[[#This Row],[3rd 200]]*2</f>
        <v>1.5532623456790122E-3</v>
      </c>
      <c r="S69" s="12"/>
      <c r="V69" s="23" t="s">
        <v>34</v>
      </c>
      <c r="W69" s="104"/>
    </row>
    <row r="70" spans="1:23" ht="17.149999999999999" customHeight="1" x14ac:dyDescent="0.35">
      <c r="A70" s="8" t="s">
        <v>73</v>
      </c>
      <c r="B70" s="9">
        <v>1.0011574074074074E-2</v>
      </c>
      <c r="C70" s="9">
        <v>2.9513888888888888E-3</v>
      </c>
      <c r="D70" s="9">
        <f t="shared" si="25"/>
        <v>5.8247337962962957E-3</v>
      </c>
      <c r="E70" s="10">
        <v>0.58179999999999998</v>
      </c>
      <c r="F70" s="9">
        <f t="shared" si="26"/>
        <v>7.378472222222222E-4</v>
      </c>
      <c r="G70" s="9">
        <f t="shared" si="27"/>
        <v>7.7663117283950612E-4</v>
      </c>
      <c r="H70" s="9">
        <f t="shared" si="28"/>
        <v>8.0092592592592585E-4</v>
      </c>
      <c r="I70" s="9">
        <f t="shared" si="29"/>
        <v>8.3508728262312486E-4</v>
      </c>
      <c r="J70" s="9">
        <f t="shared" si="30"/>
        <v>8.4416431830381094E-4</v>
      </c>
      <c r="K70" s="9">
        <f t="shared" si="31"/>
        <v>8.825354236812569E-4</v>
      </c>
      <c r="L70" s="9">
        <f t="shared" si="32"/>
        <v>9.2456092004703113E-4</v>
      </c>
      <c r="M70" s="11">
        <f>Table25711131525233335373941454951535912141618[[#This Row],[Thresh]]</f>
        <v>8.825354236812569E-4</v>
      </c>
      <c r="N70" s="9">
        <f>Table25711131525233335373941454951535912141618[[#This Row],[T (400)]]*3</f>
        <v>2.6476062710437706E-3</v>
      </c>
      <c r="O70" s="24">
        <f>Table25711131525233335373941454951535912141618[[#This Row],[R]]/2</f>
        <v>3.689236111111111E-4</v>
      </c>
      <c r="P70" s="9">
        <f>Table25711131525233335373941454951535912141618[[#This Row],[T (400)]]*2</f>
        <v>1.7650708473625138E-3</v>
      </c>
      <c r="Q70" s="24">
        <f>Table25711131525233335373941454951535912141618[[#This Row],[VO2]]</f>
        <v>7.7663117283950612E-4</v>
      </c>
      <c r="R70" s="9">
        <f>Table25711131525233335373941454951535912141618[[#This Row],[3rd 200]]*2</f>
        <v>1.5532623456790122E-3</v>
      </c>
      <c r="S70" s="12"/>
      <c r="V70" s="23" t="s">
        <v>34</v>
      </c>
      <c r="W70" s="104"/>
    </row>
    <row r="71" spans="1:23" ht="17.149999999999999" customHeight="1" x14ac:dyDescent="0.35">
      <c r="A71" s="8" t="s">
        <v>78</v>
      </c>
      <c r="B71" s="9">
        <v>1.0416666666666666E-2</v>
      </c>
      <c r="C71" s="9">
        <v>2.9745370370370373E-3</v>
      </c>
      <c r="D71" s="9">
        <f t="shared" si="25"/>
        <v>6.0604166666666662E-3</v>
      </c>
      <c r="E71" s="10">
        <v>0.58179999999999998</v>
      </c>
      <c r="F71" s="9">
        <f t="shared" si="26"/>
        <v>7.4363425925925931E-4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>
        <f>Table25711131525233335373941454951535912141618[[#This Row],[Thresh]]</f>
        <v>9.1824494949494938E-4</v>
      </c>
      <c r="N71" s="9">
        <f>Table25711131525233335373941454951535912141618[[#This Row],[T (400)]]*3</f>
        <v>2.7547348484848484E-3</v>
      </c>
      <c r="O71" s="24">
        <f>Table25711131525233335373941454951535912141618[[#This Row],[R]]/2</f>
        <v>3.7181712962962966E-4</v>
      </c>
      <c r="P71" s="9">
        <f>Table25711131525233335373941454951535912141618[[#This Row],[T (400)]]*2</f>
        <v>1.8364898989898988E-3</v>
      </c>
      <c r="Q71" s="24">
        <f>Table25711131525233335373941454951535912141618[[#This Row],[VO2]]</f>
        <v>8.0805555555555546E-4</v>
      </c>
      <c r="R71" s="9">
        <f>Table25711131525233335373941454951535912141618[[#This Row],[3rd 200]]*2</f>
        <v>1.6161111111111109E-3</v>
      </c>
      <c r="S71" s="12"/>
      <c r="V71" s="23" t="s">
        <v>34</v>
      </c>
      <c r="W71" s="104"/>
    </row>
    <row r="72" spans="1:23" ht="17.149999999999999" customHeight="1" x14ac:dyDescent="0.35">
      <c r="A72" s="8" t="s">
        <v>80</v>
      </c>
      <c r="B72" s="9">
        <v>1.0416666666666666E-2</v>
      </c>
      <c r="C72" s="9">
        <v>3.0092592592592588E-3</v>
      </c>
      <c r="D72" s="9">
        <f t="shared" si="25"/>
        <v>6.0604166666666662E-3</v>
      </c>
      <c r="E72" s="10">
        <v>0.58179999999999998</v>
      </c>
      <c r="F72" s="9">
        <f t="shared" si="26"/>
        <v>7.5231481481481471E-4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11">
        <f>Table25711131525233335373941454951535912141618[[#This Row],[Thresh]]</f>
        <v>9.1824494949494938E-4</v>
      </c>
      <c r="N72" s="9">
        <f>Table25711131525233335373941454951535912141618[[#This Row],[T (400)]]*3</f>
        <v>2.7547348484848484E-3</v>
      </c>
      <c r="O72" s="24">
        <f>Table25711131525233335373941454951535912141618[[#This Row],[R]]/2</f>
        <v>3.7615740740740735E-4</v>
      </c>
      <c r="P72" s="9">
        <f>Table25711131525233335373941454951535912141618[[#This Row],[T (400)]]*2</f>
        <v>1.8364898989898988E-3</v>
      </c>
      <c r="Q72" s="24">
        <f>Table25711131525233335373941454951535912141618[[#This Row],[VO2]]</f>
        <v>8.0805555555555546E-4</v>
      </c>
      <c r="R72" s="9">
        <f>Table25711131525233335373941454951535912141618[[#This Row],[3rd 200]]*2</f>
        <v>1.6161111111111109E-3</v>
      </c>
      <c r="S72" s="12"/>
      <c r="U72" s="28"/>
      <c r="V72" s="23" t="s">
        <v>34</v>
      </c>
      <c r="W72" s="104"/>
    </row>
    <row r="73" spans="1:23" ht="17.149999999999999" customHeight="1" x14ac:dyDescent="0.35">
      <c r="A73" s="8" t="s">
        <v>101</v>
      </c>
      <c r="B73" s="9">
        <v>1.0416666666666666E-2</v>
      </c>
      <c r="C73" s="9">
        <v>3.0671296296296297E-3</v>
      </c>
      <c r="D73" s="9">
        <f>B73*E73</f>
        <v>6.0604166666666662E-3</v>
      </c>
      <c r="E73" s="10">
        <v>0.58179999999999998</v>
      </c>
      <c r="F73" s="9">
        <f>C73/4</f>
        <v>7.6678240740740743E-4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>
        <f>Table25711131525233335373941454951535912141618[[#This Row],[Thresh]]</f>
        <v>9.1824494949494938E-4</v>
      </c>
      <c r="N73" s="9">
        <f>Table25711131525233335373941454951535912141618[[#This Row],[T (400)]]*3</f>
        <v>2.7547348484848484E-3</v>
      </c>
      <c r="O73" s="24">
        <f>Table25711131525233335373941454951535912141618[[#This Row],[R]]/2</f>
        <v>3.8339120370370371E-4</v>
      </c>
      <c r="P73" s="9">
        <f>Table25711131525233335373941454951535912141618[[#This Row],[T (400)]]*2</f>
        <v>1.8364898989898988E-3</v>
      </c>
      <c r="Q73" s="24">
        <f>Table25711131525233335373941454951535912141618[[#This Row],[VO2]]</f>
        <v>8.0805555555555546E-4</v>
      </c>
      <c r="R73" s="9">
        <f>Table25711131525233335373941454951535912141618[[#This Row],[3rd 200]]*2</f>
        <v>1.6161111111111109E-3</v>
      </c>
      <c r="S73" s="12"/>
      <c r="V73" s="23" t="s">
        <v>34</v>
      </c>
      <c r="W73" s="104"/>
    </row>
    <row r="74" spans="1:23" ht="17.149999999999999" customHeight="1" x14ac:dyDescent="0.35">
      <c r="A74" s="8" t="s">
        <v>84</v>
      </c>
      <c r="B74" s="9">
        <v>1.064814814814815E-2</v>
      </c>
      <c r="C74" s="9">
        <v>3.0671296296296297E-3</v>
      </c>
      <c r="D74" s="9">
        <f>B74*E74</f>
        <v>6.1950925925925932E-3</v>
      </c>
      <c r="E74" s="10">
        <v>0.58179999999999998</v>
      </c>
      <c r="F74" s="9">
        <f>C74/4</f>
        <v>7.6678240740740743E-4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>
        <f>Table25711131525233335373941454951535912141618[[#This Row],[Thresh]]</f>
        <v>9.3865039281705955E-4</v>
      </c>
      <c r="N74" s="9">
        <f>Table25711131525233335373941454951535912141618[[#This Row],[T (400)]]*3</f>
        <v>2.8159511784511789E-3</v>
      </c>
      <c r="O74" s="24">
        <f>Table25711131525233335373941454951535912141618[[#This Row],[R]]/2</f>
        <v>3.8339120370370371E-4</v>
      </c>
      <c r="P74" s="9">
        <f>Table25711131525233335373941454951535912141618[[#This Row],[T (400)]]*2</f>
        <v>1.8773007856341191E-3</v>
      </c>
      <c r="Q74" s="24">
        <f>Table25711131525233335373941454951535912141618[[#This Row],[VO2]]</f>
        <v>8.2601234567901242E-4</v>
      </c>
      <c r="R74" s="9">
        <f>Table25711131525233335373941454951535912141618[[#This Row],[3rd 200]]*2</f>
        <v>1.6520246913580248E-3</v>
      </c>
      <c r="S74" s="12"/>
      <c r="T74" s="25"/>
      <c r="V74" s="23" t="s">
        <v>34</v>
      </c>
      <c r="W74" s="104"/>
    </row>
    <row r="75" spans="1:23" ht="17.149999999999999" customHeight="1" x14ac:dyDescent="0.35">
      <c r="A75" s="8" t="s">
        <v>87</v>
      </c>
      <c r="B75" s="9">
        <v>1.0763888888888891E-2</v>
      </c>
      <c r="C75" s="9">
        <v>3.1249999999999997E-3</v>
      </c>
      <c r="D75" s="9">
        <f t="shared" si="25"/>
        <v>6.2624305555555567E-3</v>
      </c>
      <c r="E75" s="10">
        <v>0.58179999999999998</v>
      </c>
      <c r="F75" s="9">
        <f t="shared" si="26"/>
        <v>7.8124999999999993E-4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>
        <f>Table25711131525233335373941454951535912141618[[#This Row],[Thresh]]</f>
        <v>9.4885311447811464E-4</v>
      </c>
      <c r="N75" s="9">
        <f>Table25711131525233335373941454951535912141618[[#This Row],[T (400)]]*3</f>
        <v>2.8465593434343437E-3</v>
      </c>
      <c r="O75" s="24">
        <f>Table25711131525233335373941454951535912141618[[#This Row],[R]]/2</f>
        <v>3.9062499999999997E-4</v>
      </c>
      <c r="P75" s="9">
        <f>Table25711131525233335373941454951535912141618[[#This Row],[T (400)]]*2</f>
        <v>1.8977062289562293E-3</v>
      </c>
      <c r="Q75" s="24">
        <f>Table25711131525233335373941454951535912141618[[#This Row],[VO2]]</f>
        <v>8.3499074074074085E-4</v>
      </c>
      <c r="R75" s="9">
        <f>Table25711131525233335373941454951535912141618[[#This Row],[3rd 200]]*2</f>
        <v>1.6699814814814817E-3</v>
      </c>
      <c r="S75" s="12"/>
      <c r="V75" s="23" t="s">
        <v>34</v>
      </c>
      <c r="W75" s="104"/>
    </row>
    <row r="76" spans="1:23" ht="17.149999999999999" customHeight="1" x14ac:dyDescent="0.35">
      <c r="A76" s="8" t="s">
        <v>108</v>
      </c>
      <c r="B76" s="9">
        <v>1.0763888888888891E-2</v>
      </c>
      <c r="C76" s="9">
        <v>3.1828703703703702E-3</v>
      </c>
      <c r="D76" s="9">
        <f t="shared" si="25"/>
        <v>6.2624305555555567E-3</v>
      </c>
      <c r="E76" s="10">
        <v>0.58179999999999998</v>
      </c>
      <c r="F76" s="9">
        <f t="shared" si="26"/>
        <v>7.9571759259259255E-4</v>
      </c>
      <c r="G76" s="9">
        <f t="shared" si="27"/>
        <v>8.3499074074074085E-4</v>
      </c>
      <c r="H76" s="9">
        <f t="shared" si="28"/>
        <v>8.6111111111111121E-4</v>
      </c>
      <c r="I76" s="9">
        <f t="shared" si="29"/>
        <v>8.9783950617283953E-4</v>
      </c>
      <c r="J76" s="9">
        <f t="shared" si="30"/>
        <v>9.0759863123993567E-4</v>
      </c>
      <c r="K76" s="9">
        <f t="shared" si="31"/>
        <v>9.4885311447811464E-4</v>
      </c>
      <c r="L76" s="9">
        <f t="shared" si="32"/>
        <v>9.9403659611992969E-4</v>
      </c>
      <c r="M76" s="11">
        <f>Table25711131525233335373941454951535912141618[[#This Row],[Thresh]]</f>
        <v>9.4885311447811464E-4</v>
      </c>
      <c r="N76" s="9">
        <f>Table25711131525233335373941454951535912141618[[#This Row],[T (400)]]*3</f>
        <v>2.8465593434343437E-3</v>
      </c>
      <c r="O76" s="24">
        <f>Table25711131525233335373941454951535912141618[[#This Row],[R]]/2</f>
        <v>3.9785879629629627E-4</v>
      </c>
      <c r="P76" s="9">
        <f>Table25711131525233335373941454951535912141618[[#This Row],[T (400)]]*2</f>
        <v>1.8977062289562293E-3</v>
      </c>
      <c r="Q76" s="24">
        <f>Table25711131525233335373941454951535912141618[[#This Row],[VO2]]</f>
        <v>8.3499074074074085E-4</v>
      </c>
      <c r="R76" s="9">
        <f>Table25711131525233335373941454951535912141618[[#This Row],[3rd 200]]*2</f>
        <v>1.6699814814814817E-3</v>
      </c>
      <c r="S76" s="12"/>
      <c r="V76" s="23" t="s">
        <v>34</v>
      </c>
      <c r="W76" s="108" t="s">
        <v>274</v>
      </c>
    </row>
    <row r="77" spans="1:23" ht="17.149999999999999" customHeight="1" x14ac:dyDescent="0.35">
      <c r="A77" s="8" t="s">
        <v>82</v>
      </c>
      <c r="B77" s="9">
        <v>1.0763888888888891E-2</v>
      </c>
      <c r="C77" s="9">
        <v>3.0092592592592588E-3</v>
      </c>
      <c r="D77" s="9">
        <f>B77*E77</f>
        <v>6.2624305555555567E-3</v>
      </c>
      <c r="E77" s="10">
        <v>0.58179999999999998</v>
      </c>
      <c r="F77" s="9">
        <f>C77/4</f>
        <v>7.5231481481481471E-4</v>
      </c>
      <c r="G77" s="9">
        <f>D77/7.5</f>
        <v>8.3499074074074085E-4</v>
      </c>
      <c r="H77" s="9">
        <f>B77/12.5</f>
        <v>8.6111111111111121E-4</v>
      </c>
      <c r="I77" s="9">
        <f>G77/0.93</f>
        <v>8.9783950617283953E-4</v>
      </c>
      <c r="J77" s="9">
        <f>G77/0.92</f>
        <v>9.0759863123993567E-4</v>
      </c>
      <c r="K77" s="9">
        <f>G77/0.88</f>
        <v>9.4885311447811464E-4</v>
      </c>
      <c r="L77" s="9">
        <f>G77/0.84</f>
        <v>9.9403659611992969E-4</v>
      </c>
      <c r="M77" s="11">
        <f>Table25711131525233335373941454951535912141618[[#This Row],[Thresh]]</f>
        <v>9.4885311447811464E-4</v>
      </c>
      <c r="N77" s="9">
        <f>Table25711131525233335373941454951535912141618[[#This Row],[T (400)]]*3</f>
        <v>2.8465593434343437E-3</v>
      </c>
      <c r="O77" s="24">
        <f>Table25711131525233335373941454951535912141618[[#This Row],[R]]/2</f>
        <v>3.7615740740740735E-4</v>
      </c>
      <c r="P77" s="9">
        <f>Table25711131525233335373941454951535912141618[[#This Row],[T (400)]]*2</f>
        <v>1.8977062289562293E-3</v>
      </c>
      <c r="Q77" s="24">
        <f>Table25711131525233335373941454951535912141618[[#This Row],[VO2]]</f>
        <v>8.3499074074074085E-4</v>
      </c>
      <c r="R77" s="9">
        <f>Table25711131525233335373941454951535912141618[[#This Row],[3rd 200]]*2</f>
        <v>1.6699814814814817E-3</v>
      </c>
      <c r="S77" s="12"/>
      <c r="T77" s="25"/>
      <c r="U77" s="28"/>
      <c r="V77" s="23" t="s">
        <v>34</v>
      </c>
      <c r="W77" s="108"/>
    </row>
    <row r="78" spans="1:23" ht="17.149999999999999" customHeight="1" x14ac:dyDescent="0.35">
      <c r="A78" s="8" t="s">
        <v>109</v>
      </c>
      <c r="B78" s="9">
        <v>1.087962962962963E-2</v>
      </c>
      <c r="C78" s="9">
        <v>3.1249999999999997E-3</v>
      </c>
      <c r="D78" s="9">
        <f>B78*E78</f>
        <v>6.3297685185185184E-3</v>
      </c>
      <c r="E78" s="10">
        <v>0.58179999999999998</v>
      </c>
      <c r="F78" s="9">
        <f>C78/4</f>
        <v>7.8124999999999993E-4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Table25711131525233335373941454951535912141618[[#This Row],[Thresh]]</f>
        <v>9.5905583613916951E-4</v>
      </c>
      <c r="N78" s="9">
        <f>Table25711131525233335373941454951535912141618[[#This Row],[T (400)]]*3</f>
        <v>2.8771675084175085E-3</v>
      </c>
      <c r="O78" s="24">
        <f>Table25711131525233335373941454951535912141618[[#This Row],[R]]/2</f>
        <v>3.9062499999999997E-4</v>
      </c>
      <c r="P78" s="9">
        <f>Table25711131525233335373941454951535912141618[[#This Row],[T (400)]]*2</f>
        <v>1.918111672278339E-3</v>
      </c>
      <c r="Q78" s="24">
        <f>Table25711131525233335373941454951535912141618[[#This Row],[VO2]]</f>
        <v>8.4396913580246917E-4</v>
      </c>
      <c r="R78" s="9">
        <f>Table25711131525233335373941454951535912141618[[#This Row],[3rd 200]]*2</f>
        <v>1.6879382716049383E-3</v>
      </c>
      <c r="S78" s="12"/>
      <c r="T78" s="25"/>
      <c r="V78" s="23" t="s">
        <v>34</v>
      </c>
      <c r="W78" s="108"/>
    </row>
    <row r="79" spans="1:23" ht="17.149999999999999" customHeight="1" x14ac:dyDescent="0.35">
      <c r="A79" s="8" t="s">
        <v>111</v>
      </c>
      <c r="B79" s="9">
        <v>1.087962962962963E-2</v>
      </c>
      <c r="C79" s="9">
        <v>3.1828703703703702E-3</v>
      </c>
      <c r="D79" s="9">
        <f t="shared" si="25"/>
        <v>6.3297685185185184E-3</v>
      </c>
      <c r="E79" s="10">
        <v>0.58179999999999998</v>
      </c>
      <c r="F79" s="9">
        <f t="shared" si="26"/>
        <v>7.9571759259259255E-4</v>
      </c>
      <c r="G79" s="9">
        <f t="shared" si="27"/>
        <v>8.4396913580246917E-4</v>
      </c>
      <c r="H79" s="9">
        <f t="shared" si="28"/>
        <v>8.7037037037037042E-4</v>
      </c>
      <c r="I79" s="9">
        <f t="shared" si="29"/>
        <v>9.0749369441125711E-4</v>
      </c>
      <c r="J79" s="9">
        <f t="shared" si="30"/>
        <v>9.173577563070317E-4</v>
      </c>
      <c r="K79" s="9">
        <f t="shared" si="31"/>
        <v>9.5905583613916951E-4</v>
      </c>
      <c r="L79" s="9">
        <f t="shared" si="32"/>
        <v>1.0047251616696062E-3</v>
      </c>
      <c r="M79" s="11">
        <f>Table25711131525233335373941454951535912141618[[#This Row],[Thresh]]</f>
        <v>9.5905583613916951E-4</v>
      </c>
      <c r="N79" s="9">
        <f>Table25711131525233335373941454951535912141618[[#This Row],[T (400)]]*3</f>
        <v>2.8771675084175085E-3</v>
      </c>
      <c r="O79" s="24">
        <f>Table25711131525233335373941454951535912141618[[#This Row],[R]]/2</f>
        <v>3.9785879629629627E-4</v>
      </c>
      <c r="P79" s="9">
        <f>Table25711131525233335373941454951535912141618[[#This Row],[T (400)]]*2</f>
        <v>1.918111672278339E-3</v>
      </c>
      <c r="Q79" s="24">
        <f>Table25711131525233335373941454951535912141618[[#This Row],[VO2]]</f>
        <v>8.4396913580246917E-4</v>
      </c>
      <c r="R79" s="9">
        <f>Table25711131525233335373941454951535912141618[[#This Row],[3rd 200]]*2</f>
        <v>1.6879382716049383E-3</v>
      </c>
      <c r="S79" s="12"/>
      <c r="V79" s="23" t="s">
        <v>34</v>
      </c>
      <c r="W79" s="108"/>
    </row>
    <row r="80" spans="1:23" ht="17.149999999999999" customHeight="1" x14ac:dyDescent="0.35">
      <c r="A80" s="8" t="s">
        <v>110</v>
      </c>
      <c r="B80" s="9">
        <v>1.087962962962963E-2</v>
      </c>
      <c r="C80" s="9">
        <v>3.1828703703703702E-3</v>
      </c>
      <c r="D80" s="9">
        <f>B80*E80</f>
        <v>6.3297685185185184E-3</v>
      </c>
      <c r="E80" s="10">
        <v>0.58179999999999998</v>
      </c>
      <c r="F80" s="9">
        <f>C80/4</f>
        <v>7.9571759259259255E-4</v>
      </c>
      <c r="G80" s="9">
        <f>D80/7.5</f>
        <v>8.4396913580246917E-4</v>
      </c>
      <c r="H80" s="9">
        <f>B80/12.5</f>
        <v>8.7037037037037042E-4</v>
      </c>
      <c r="I80" s="9">
        <f>G80/0.93</f>
        <v>9.0749369441125711E-4</v>
      </c>
      <c r="J80" s="9">
        <f>G80/0.92</f>
        <v>9.173577563070317E-4</v>
      </c>
      <c r="K80" s="9">
        <f>G80/0.88</f>
        <v>9.5905583613916951E-4</v>
      </c>
      <c r="L80" s="9">
        <f>G80/0.84</f>
        <v>1.0047251616696062E-3</v>
      </c>
      <c r="M80" s="11">
        <f>Table25711131525233335373941454951535912141618[[#This Row],[Thresh]]</f>
        <v>9.5905583613916951E-4</v>
      </c>
      <c r="N80" s="9">
        <f>Table25711131525233335373941454951535912141618[[#This Row],[T (400)]]*3</f>
        <v>2.8771675084175085E-3</v>
      </c>
      <c r="O80" s="24">
        <f>Table25711131525233335373941454951535912141618[[#This Row],[R]]/2</f>
        <v>3.9785879629629627E-4</v>
      </c>
      <c r="P80" s="9">
        <f>Table25711131525233335373941454951535912141618[[#This Row],[T (400)]]*2</f>
        <v>1.918111672278339E-3</v>
      </c>
      <c r="Q80" s="24">
        <f>Table25711131525233335373941454951535912141618[[#This Row],[VO2]]</f>
        <v>8.4396913580246917E-4</v>
      </c>
      <c r="R80" s="9">
        <f>Table25711131525233335373941454951535912141618[[#This Row],[3rd 200]]*2</f>
        <v>1.6879382716049383E-3</v>
      </c>
      <c r="S80" s="12"/>
      <c r="T80" s="25"/>
      <c r="V80" s="23" t="s">
        <v>34</v>
      </c>
      <c r="W80" s="108"/>
    </row>
    <row r="81" spans="1:23" ht="17.149999999999999" customHeight="1" x14ac:dyDescent="0.35">
      <c r="A81" s="8" t="s">
        <v>85</v>
      </c>
      <c r="B81" s="9">
        <v>1.0995370370370371E-2</v>
      </c>
      <c r="C81" s="9">
        <v>3.1249999999999997E-3</v>
      </c>
      <c r="D81" s="9">
        <f t="shared" si="25"/>
        <v>6.397106481481481E-3</v>
      </c>
      <c r="E81" s="10">
        <v>0.58179999999999998</v>
      </c>
      <c r="F81" s="9">
        <f t="shared" si="26"/>
        <v>7.8124999999999993E-4</v>
      </c>
      <c r="G81" s="9">
        <f t="shared" si="27"/>
        <v>8.5294753086419749E-4</v>
      </c>
      <c r="H81" s="9">
        <f t="shared" si="28"/>
        <v>8.7962962962962962E-4</v>
      </c>
      <c r="I81" s="9">
        <f t="shared" si="29"/>
        <v>9.171478826496747E-4</v>
      </c>
      <c r="J81" s="9">
        <f t="shared" si="30"/>
        <v>9.2711688137412762E-4</v>
      </c>
      <c r="K81" s="9">
        <f t="shared" si="31"/>
        <v>9.6925855780022438E-4</v>
      </c>
      <c r="L81" s="9">
        <f t="shared" si="32"/>
        <v>1.0154137272192828E-3</v>
      </c>
      <c r="M81" s="11"/>
      <c r="N81" s="9"/>
      <c r="O81" s="24"/>
      <c r="P81" s="9"/>
      <c r="Q81" s="24"/>
      <c r="R81" s="9"/>
      <c r="S81" s="12"/>
      <c r="V81" s="23" t="s">
        <v>53</v>
      </c>
      <c r="W81" s="108"/>
    </row>
    <row r="82" spans="1:23" ht="17.149999999999999" customHeight="1" x14ac:dyDescent="0.35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11"/>
      <c r="N82" s="9"/>
      <c r="O82" s="24"/>
      <c r="P82" s="9"/>
      <c r="Q82" s="24"/>
      <c r="R82" s="9"/>
      <c r="S82" s="12"/>
      <c r="V82" s="23"/>
      <c r="W82" s="108"/>
    </row>
    <row r="83" spans="1:23" ht="17.149999999999999" customHeight="1" x14ac:dyDescent="0.35">
      <c r="A83" s="14"/>
      <c r="B83" s="15" t="s">
        <v>1</v>
      </c>
      <c r="C83" s="15" t="s">
        <v>2</v>
      </c>
      <c r="D83" s="15" t="s">
        <v>3</v>
      </c>
      <c r="E83" s="16" t="s">
        <v>4</v>
      </c>
      <c r="F83" s="15" t="s">
        <v>5</v>
      </c>
      <c r="G83" s="15" t="s">
        <v>6</v>
      </c>
      <c r="H83" s="15" t="s">
        <v>7</v>
      </c>
      <c r="I83" s="15" t="s">
        <v>8</v>
      </c>
      <c r="J83" s="15" t="s">
        <v>9</v>
      </c>
      <c r="K83" s="15" t="s">
        <v>10</v>
      </c>
      <c r="L83" s="15" t="s">
        <v>11</v>
      </c>
      <c r="M83" s="30" t="s">
        <v>12</v>
      </c>
      <c r="N83" s="15" t="s">
        <v>275</v>
      </c>
      <c r="O83" s="15" t="s">
        <v>46</v>
      </c>
      <c r="P83" s="15" t="s">
        <v>136</v>
      </c>
      <c r="Q83" s="15" t="s">
        <v>276</v>
      </c>
      <c r="R83" s="15" t="s">
        <v>277</v>
      </c>
      <c r="S83" s="15" t="s">
        <v>133</v>
      </c>
      <c r="T83" s="15" t="s">
        <v>19</v>
      </c>
      <c r="U83" s="15" t="s">
        <v>20</v>
      </c>
      <c r="V83" s="17" t="s">
        <v>21</v>
      </c>
      <c r="W83" s="108"/>
    </row>
    <row r="84" spans="1:23" ht="17.149999999999999" customHeight="1" x14ac:dyDescent="0.35">
      <c r="A84" s="8" t="s">
        <v>96</v>
      </c>
      <c r="B84" s="9">
        <v>1.0011574074074074E-2</v>
      </c>
      <c r="C84" s="9">
        <v>2.9513888888888888E-3</v>
      </c>
      <c r="D84" s="9">
        <f t="shared" ref="D84:D94" si="33">B84*E84</f>
        <v>5.8247337962962957E-3</v>
      </c>
      <c r="E84" s="10">
        <v>0.58179999999999998</v>
      </c>
      <c r="F84" s="9">
        <f t="shared" ref="F84:F94" si="34">C84/4</f>
        <v>7.378472222222222E-4</v>
      </c>
      <c r="G84" s="9">
        <f t="shared" ref="G84:G94" si="35">D84/7.5</f>
        <v>7.7663117283950612E-4</v>
      </c>
      <c r="H84" s="9">
        <f t="shared" ref="H84:H94" si="36">B84/12.5</f>
        <v>8.0092592592592585E-4</v>
      </c>
      <c r="I84" s="9">
        <f t="shared" ref="I84:I94" si="37">G84/0.93</f>
        <v>8.3508728262312486E-4</v>
      </c>
      <c r="J84" s="9">
        <f t="shared" ref="J84:J94" si="38">G84/0.92</f>
        <v>8.4416431830381094E-4</v>
      </c>
      <c r="K84" s="9">
        <f t="shared" ref="K84:K94" si="39">G84/0.88</f>
        <v>8.825354236812569E-4</v>
      </c>
      <c r="L84" s="9">
        <f t="shared" ref="L84:L94" si="40">G84/0.84</f>
        <v>9.2456092004703113E-4</v>
      </c>
      <c r="M84" s="11">
        <f>Table25711131525233335373941454951535912141618[[#This Row],[Thresh]]</f>
        <v>8.825354236812569E-4</v>
      </c>
      <c r="N84" s="9">
        <f>Table25711131525233335373941454951535912141618[[#This Row],[T (400)]]*3</f>
        <v>2.6476062710437706E-3</v>
      </c>
      <c r="O84" s="24">
        <f>Table25711131525233335373941454951535912141618[[#This Row],[I]]</f>
        <v>8.0092592592592585E-4</v>
      </c>
      <c r="P84" s="9">
        <f>Table25711131525233335373941454951535912141618[[#This Row],[CV]]</f>
        <v>8.4416431830381094E-4</v>
      </c>
      <c r="Q84" s="24">
        <f>Table25711131525233335373941454951535912141618[[#This Row],[2nd 200]]*3</f>
        <v>2.5324929549114328E-3</v>
      </c>
      <c r="R84" s="9">
        <f>Table25711131525233335373941454951535912141618[[#This Row],[1st 200]]*3</f>
        <v>2.4027777777777776E-3</v>
      </c>
      <c r="S84" s="12">
        <f>Table25711131525233335373941454951535912141618[[#This Row],[R]]/2</f>
        <v>3.689236111111111E-4</v>
      </c>
      <c r="V84" s="23" t="s">
        <v>48</v>
      </c>
      <c r="W84" s="108"/>
    </row>
    <row r="85" spans="1:23" ht="17.149999999999999" customHeight="1" x14ac:dyDescent="0.35">
      <c r="A85" s="8" t="s">
        <v>99</v>
      </c>
      <c r="B85" s="9">
        <v>1.0243055555555556E-2</v>
      </c>
      <c r="C85" s="9">
        <v>3.0092592592592588E-3</v>
      </c>
      <c r="D85" s="9">
        <f t="shared" si="33"/>
        <v>5.9594097222222218E-3</v>
      </c>
      <c r="E85" s="10">
        <v>0.58179999999999998</v>
      </c>
      <c r="F85" s="9">
        <f t="shared" si="34"/>
        <v>7.5231481481481471E-4</v>
      </c>
      <c r="G85" s="9">
        <f t="shared" si="35"/>
        <v>7.9458796296296287E-4</v>
      </c>
      <c r="H85" s="9">
        <f t="shared" si="36"/>
        <v>8.1944444444444447E-4</v>
      </c>
      <c r="I85" s="9">
        <f t="shared" si="37"/>
        <v>8.5439565909996003E-4</v>
      </c>
      <c r="J85" s="9">
        <f t="shared" si="38"/>
        <v>8.636825684380031E-4</v>
      </c>
      <c r="K85" s="9">
        <f t="shared" si="39"/>
        <v>9.0294086700336686E-4</v>
      </c>
      <c r="L85" s="9">
        <f t="shared" si="40"/>
        <v>9.4593805114638445E-4</v>
      </c>
      <c r="M85" s="11">
        <f>Table25711131525233335373941454951535912141618[[#This Row],[Thresh]]</f>
        <v>9.0294086700336686E-4</v>
      </c>
      <c r="N85" s="9">
        <f>Table25711131525233335373941454951535912141618[[#This Row],[T (400)]]*3</f>
        <v>2.7088226010101007E-3</v>
      </c>
      <c r="O85" s="24">
        <f>Table25711131525233335373941454951535912141618[[#This Row],[I]]</f>
        <v>8.1944444444444447E-4</v>
      </c>
      <c r="P85" s="9">
        <f>Table25711131525233335373941454951535912141618[[#This Row],[CV]]</f>
        <v>8.636825684380031E-4</v>
      </c>
      <c r="Q85" s="24">
        <f>Table25711131525233335373941454951535912141618[[#This Row],[2nd 200]]*3</f>
        <v>2.5910477053140094E-3</v>
      </c>
      <c r="R85" s="9">
        <f>Table25711131525233335373941454951535912141618[[#This Row],[1st 200]]*3</f>
        <v>2.4583333333333332E-3</v>
      </c>
      <c r="S85" s="12">
        <f>Table25711131525233335373941454951535912141618[[#This Row],[R]]/2</f>
        <v>3.7615740740740735E-4</v>
      </c>
      <c r="V85" s="23" t="s">
        <v>48</v>
      </c>
      <c r="W85" s="115"/>
    </row>
    <row r="86" spans="1:23" ht="17.149999999999999" customHeight="1" x14ac:dyDescent="0.35">
      <c r="A86" s="8" t="s">
        <v>98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>
        <f>Table25711131525233335373941454951535912141618[[#This Row],[Thresh]]</f>
        <v>9.0294086700336686E-4</v>
      </c>
      <c r="N86" s="9">
        <f>Table25711131525233335373941454951535912141618[[#This Row],[T (400)]]*3</f>
        <v>2.7088226010101007E-3</v>
      </c>
      <c r="O86" s="24">
        <f>Table25711131525233335373941454951535912141618[[#This Row],[I]]</f>
        <v>8.1944444444444447E-4</v>
      </c>
      <c r="P86" s="9">
        <f>Table25711131525233335373941454951535912141618[[#This Row],[CV]]</f>
        <v>8.636825684380031E-4</v>
      </c>
      <c r="Q86" s="24">
        <f>Table25711131525233335373941454951535912141618[[#This Row],[2nd 200]]*3</f>
        <v>2.5910477053140094E-3</v>
      </c>
      <c r="R86" s="9">
        <f>Table25711131525233335373941454951535912141618[[#This Row],[1st 200]]*3</f>
        <v>2.4583333333333332E-3</v>
      </c>
      <c r="S86" s="12">
        <f>Table25711131525233335373941454951535912141618[[#This Row],[R]]/2</f>
        <v>3.7615740740740735E-4</v>
      </c>
      <c r="V86" s="23" t="s">
        <v>48</v>
      </c>
      <c r="W86" s="115"/>
    </row>
    <row r="87" spans="1:23" ht="17.149999999999999" customHeight="1" x14ac:dyDescent="0.35">
      <c r="A87" s="8" t="s">
        <v>100</v>
      </c>
      <c r="B87" s="9">
        <v>1.0243055555555556E-2</v>
      </c>
      <c r="C87" s="9">
        <v>2.9745370370370373E-3</v>
      </c>
      <c r="D87" s="9">
        <f t="shared" si="33"/>
        <v>5.9594097222222218E-3</v>
      </c>
      <c r="E87" s="10">
        <v>0.58179999999999998</v>
      </c>
      <c r="F87" s="9">
        <f t="shared" si="34"/>
        <v>7.4363425925925931E-4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>
        <f>Table25711131525233335373941454951535912141618[[#This Row],[Thresh]]</f>
        <v>9.0294086700336686E-4</v>
      </c>
      <c r="N87" s="9">
        <f>Table25711131525233335373941454951535912141618[[#This Row],[T (400)]]*3</f>
        <v>2.7088226010101007E-3</v>
      </c>
      <c r="O87" s="24">
        <f>Table25711131525233335373941454951535912141618[[#This Row],[I]]</f>
        <v>8.1944444444444447E-4</v>
      </c>
      <c r="P87" s="9">
        <f>Table25711131525233335373941454951535912141618[[#This Row],[CV]]</f>
        <v>8.636825684380031E-4</v>
      </c>
      <c r="Q87" s="24">
        <f>Table25711131525233335373941454951535912141618[[#This Row],[2nd 200]]*3</f>
        <v>2.5910477053140094E-3</v>
      </c>
      <c r="R87" s="9">
        <f>Table25711131525233335373941454951535912141618[[#This Row],[1st 200]]*3</f>
        <v>2.4583333333333332E-3</v>
      </c>
      <c r="S87" s="12">
        <f>Table25711131525233335373941454951535912141618[[#This Row],[R]]/2</f>
        <v>3.7181712962962966E-4</v>
      </c>
      <c r="V87" s="23" t="s">
        <v>48</v>
      </c>
      <c r="W87" s="115"/>
    </row>
    <row r="88" spans="1:23" ht="17.149999999999999" customHeight="1" x14ac:dyDescent="0.35">
      <c r="A88" s="8" t="s">
        <v>106</v>
      </c>
      <c r="B88" s="9">
        <v>1.064814814814815E-2</v>
      </c>
      <c r="C88" s="9">
        <v>3.1249999999999997E-3</v>
      </c>
      <c r="D88" s="9">
        <f t="shared" si="33"/>
        <v>6.1950925925925932E-3</v>
      </c>
      <c r="E88" s="10">
        <v>0.58179999999999998</v>
      </c>
      <c r="F88" s="9">
        <f t="shared" si="34"/>
        <v>7.8124999999999993E-4</v>
      </c>
      <c r="G88" s="9">
        <f t="shared" si="35"/>
        <v>8.2601234567901242E-4</v>
      </c>
      <c r="H88" s="9">
        <f t="shared" si="36"/>
        <v>8.5185185185185201E-4</v>
      </c>
      <c r="I88" s="9">
        <f t="shared" si="37"/>
        <v>8.8818531793442195E-4</v>
      </c>
      <c r="J88" s="9">
        <f t="shared" si="38"/>
        <v>8.9783950617283953E-4</v>
      </c>
      <c r="K88" s="9">
        <f t="shared" si="39"/>
        <v>9.3865039281705955E-4</v>
      </c>
      <c r="L88" s="9">
        <f t="shared" si="40"/>
        <v>9.8334803057025292E-4</v>
      </c>
      <c r="M88" s="11">
        <f>Table25711131525233335373941454951535912141618[[#This Row],[Thresh]]</f>
        <v>9.3865039281705955E-4</v>
      </c>
      <c r="N88" s="9">
        <f>Table25711131525233335373941454951535912141618[[#This Row],[T (400)]]*3</f>
        <v>2.8159511784511789E-3</v>
      </c>
      <c r="O88" s="24">
        <f>Table25711131525233335373941454951535912141618[[#This Row],[I]]</f>
        <v>8.5185185185185201E-4</v>
      </c>
      <c r="P88" s="9">
        <f>Table25711131525233335373941454951535912141618[[#This Row],[CV]]</f>
        <v>8.9783950617283953E-4</v>
      </c>
      <c r="Q88" s="24">
        <f>Table25711131525233335373941454951535912141618[[#This Row],[2nd 200]]*3</f>
        <v>2.6935185185185187E-3</v>
      </c>
      <c r="R88" s="9">
        <f>Table25711131525233335373941454951535912141618[[#This Row],[1st 200]]*3</f>
        <v>2.5555555555555561E-3</v>
      </c>
      <c r="S88" s="12">
        <f>Table25711131525233335373941454951535912141618[[#This Row],[R]]/2</f>
        <v>3.9062499999999997E-4</v>
      </c>
      <c r="V88" s="23" t="s">
        <v>48</v>
      </c>
      <c r="W88" s="115"/>
    </row>
    <row r="89" spans="1:23" ht="17.149999999999999" customHeight="1" x14ac:dyDescent="0.35">
      <c r="A89" s="8" t="s">
        <v>103</v>
      </c>
      <c r="B89" s="9">
        <v>1.064814814814815E-2</v>
      </c>
      <c r="C89" s="9">
        <v>3.0671296296296297E-3</v>
      </c>
      <c r="D89" s="9">
        <f t="shared" si="33"/>
        <v>6.1950925925925932E-3</v>
      </c>
      <c r="E89" s="10">
        <v>0.58179999999999998</v>
      </c>
      <c r="F89" s="9">
        <f t="shared" si="34"/>
        <v>7.6678240740740743E-4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>
        <f>Table25711131525233335373941454951535912141618[[#This Row],[Thresh]]</f>
        <v>9.3865039281705955E-4</v>
      </c>
      <c r="N89" s="9">
        <f>Table25711131525233335373941454951535912141618[[#This Row],[T (400)]]*3</f>
        <v>2.8159511784511789E-3</v>
      </c>
      <c r="O89" s="24">
        <f>Table25711131525233335373941454951535912141618[[#This Row],[I]]</f>
        <v>8.5185185185185201E-4</v>
      </c>
      <c r="P89" s="9">
        <f>Table25711131525233335373941454951535912141618[[#This Row],[CV]]</f>
        <v>8.9783950617283953E-4</v>
      </c>
      <c r="Q89" s="24">
        <f>Table25711131525233335373941454951535912141618[[#This Row],[2nd 200]]*3</f>
        <v>2.6935185185185187E-3</v>
      </c>
      <c r="R89" s="9">
        <f>Table25711131525233335373941454951535912141618[[#This Row],[1st 200]]*3</f>
        <v>2.5555555555555561E-3</v>
      </c>
      <c r="S89" s="12">
        <f>Table25711131525233335373941454951535912141618[[#This Row],[R]]/2</f>
        <v>3.8339120370370371E-4</v>
      </c>
      <c r="U89" s="26"/>
      <c r="V89" s="23" t="s">
        <v>48</v>
      </c>
      <c r="W89" s="115"/>
    </row>
    <row r="90" spans="1:23" ht="17.149999999999999" customHeight="1" x14ac:dyDescent="0.35">
      <c r="A90" s="8" t="s">
        <v>105</v>
      </c>
      <c r="B90" s="9">
        <v>1.064814814814815E-2</v>
      </c>
      <c r="C90" s="9">
        <v>3.1249999999999997E-3</v>
      </c>
      <c r="D90" s="9">
        <f t="shared" si="33"/>
        <v>6.1950925925925932E-3</v>
      </c>
      <c r="E90" s="10">
        <v>0.58179999999999998</v>
      </c>
      <c r="F90" s="9">
        <f t="shared" si="34"/>
        <v>7.8124999999999993E-4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>
        <f>Table25711131525233335373941454951535912141618[[#This Row],[Thresh]]</f>
        <v>9.3865039281705955E-4</v>
      </c>
      <c r="N90" s="9">
        <f>Table25711131525233335373941454951535912141618[[#This Row],[T (400)]]*3</f>
        <v>2.8159511784511789E-3</v>
      </c>
      <c r="O90" s="24">
        <f>Table25711131525233335373941454951535912141618[[#This Row],[I]]</f>
        <v>8.5185185185185201E-4</v>
      </c>
      <c r="P90" s="9">
        <f>Table25711131525233335373941454951535912141618[[#This Row],[CV]]</f>
        <v>8.9783950617283953E-4</v>
      </c>
      <c r="Q90" s="24">
        <f>Table25711131525233335373941454951535912141618[[#This Row],[2nd 200]]*3</f>
        <v>2.6935185185185187E-3</v>
      </c>
      <c r="R90" s="9">
        <f>Table25711131525233335373941454951535912141618[[#This Row],[1st 200]]*3</f>
        <v>2.5555555555555561E-3</v>
      </c>
      <c r="S90" s="12">
        <f>Table25711131525233335373941454951535912141618[[#This Row],[R]]/2</f>
        <v>3.9062499999999997E-4</v>
      </c>
      <c r="V90" s="23" t="s">
        <v>48</v>
      </c>
      <c r="W90" s="115"/>
    </row>
    <row r="91" spans="1:23" ht="17.149999999999999" customHeight="1" x14ac:dyDescent="0.35">
      <c r="A91" s="8" t="s">
        <v>104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>
        <f>Table25711131525233335373941454951535912141618[[#This Row],[Thresh]]</f>
        <v>9.3865039281705955E-4</v>
      </c>
      <c r="N91" s="9">
        <f>Table25711131525233335373941454951535912141618[[#This Row],[T (400)]]*3</f>
        <v>2.8159511784511789E-3</v>
      </c>
      <c r="O91" s="24">
        <f>Table25711131525233335373941454951535912141618[[#This Row],[I]]</f>
        <v>8.5185185185185201E-4</v>
      </c>
      <c r="P91" s="9">
        <f>Table25711131525233335373941454951535912141618[[#This Row],[CV]]</f>
        <v>8.9783950617283953E-4</v>
      </c>
      <c r="Q91" s="24">
        <f>Table25711131525233335373941454951535912141618[[#This Row],[2nd 200]]*3</f>
        <v>2.6935185185185187E-3</v>
      </c>
      <c r="R91" s="9">
        <f>Table25711131525233335373941454951535912141618[[#This Row],[1st 200]]*3</f>
        <v>2.5555555555555561E-3</v>
      </c>
      <c r="S91" s="12">
        <f>Table25711131525233335373941454951535912141618[[#This Row],[R]]/2</f>
        <v>3.9062499999999997E-4</v>
      </c>
      <c r="V91" s="23" t="s">
        <v>48</v>
      </c>
      <c r="W91" s="115"/>
    </row>
    <row r="92" spans="1:23" ht="17.149999999999999" customHeight="1" x14ac:dyDescent="0.35">
      <c r="A92" s="8" t="s">
        <v>102</v>
      </c>
      <c r="B92" s="9">
        <v>1.064814814814815E-2</v>
      </c>
      <c r="C92" s="9">
        <v>3.0671296296296297E-3</v>
      </c>
      <c r="D92" s="9">
        <f t="shared" si="33"/>
        <v>6.1950925925925932E-3</v>
      </c>
      <c r="E92" s="10">
        <v>0.58179999999999998</v>
      </c>
      <c r="F92" s="9">
        <f t="shared" si="34"/>
        <v>7.6678240740740743E-4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>
        <f>Table25711131525233335373941454951535912141618[[#This Row],[Thresh]]</f>
        <v>9.3865039281705955E-4</v>
      </c>
      <c r="N92" s="9">
        <f>Table25711131525233335373941454951535912141618[[#This Row],[T (400)]]*3</f>
        <v>2.8159511784511789E-3</v>
      </c>
      <c r="O92" s="24">
        <f>Table25711131525233335373941454951535912141618[[#This Row],[I]]</f>
        <v>8.5185185185185201E-4</v>
      </c>
      <c r="P92" s="9">
        <f>Table25711131525233335373941454951535912141618[[#This Row],[CV]]</f>
        <v>8.9783950617283953E-4</v>
      </c>
      <c r="Q92" s="24">
        <f>Table25711131525233335373941454951535912141618[[#This Row],[2nd 200]]*3</f>
        <v>2.6935185185185187E-3</v>
      </c>
      <c r="R92" s="9">
        <f>Table25711131525233335373941454951535912141618[[#This Row],[1st 200]]*3</f>
        <v>2.5555555555555561E-3</v>
      </c>
      <c r="S92" s="12">
        <f>Table25711131525233335373941454951535912141618[[#This Row],[R]]/2</f>
        <v>3.8339120370370371E-4</v>
      </c>
      <c r="V92" s="23" t="s">
        <v>48</v>
      </c>
      <c r="W92" s="115"/>
    </row>
    <row r="93" spans="1:23" ht="17.149999999999999" customHeight="1" x14ac:dyDescent="0.35">
      <c r="A93" s="8" t="s">
        <v>107</v>
      </c>
      <c r="B93" s="9">
        <v>1.0763888888888891E-2</v>
      </c>
      <c r="C93" s="9">
        <v>3.1249999999999997E-3</v>
      </c>
      <c r="D93" s="9">
        <f t="shared" si="33"/>
        <v>6.2624305555555567E-3</v>
      </c>
      <c r="E93" s="10">
        <v>0.58179999999999998</v>
      </c>
      <c r="F93" s="9">
        <f t="shared" si="34"/>
        <v>7.8124999999999993E-4</v>
      </c>
      <c r="G93" s="9">
        <f t="shared" si="35"/>
        <v>8.3499074074074085E-4</v>
      </c>
      <c r="H93" s="9">
        <f t="shared" si="36"/>
        <v>8.6111111111111121E-4</v>
      </c>
      <c r="I93" s="9">
        <f t="shared" si="37"/>
        <v>8.9783950617283953E-4</v>
      </c>
      <c r="J93" s="9">
        <f t="shared" si="38"/>
        <v>9.0759863123993567E-4</v>
      </c>
      <c r="K93" s="9">
        <f t="shared" si="39"/>
        <v>9.4885311447811464E-4</v>
      </c>
      <c r="L93" s="9">
        <f t="shared" si="40"/>
        <v>9.9403659611992969E-4</v>
      </c>
      <c r="M93" s="11">
        <f>Table25711131525233335373941454951535912141618[[#This Row],[Thresh]]</f>
        <v>9.4885311447811464E-4</v>
      </c>
      <c r="N93" s="9">
        <f>Table25711131525233335373941454951535912141618[[#This Row],[T (400)]]*3</f>
        <v>2.8465593434343437E-3</v>
      </c>
      <c r="O93" s="24">
        <f>Table25711131525233335373941454951535912141618[[#This Row],[I]]</f>
        <v>8.6111111111111121E-4</v>
      </c>
      <c r="P93" s="9">
        <f>Table25711131525233335373941454951535912141618[[#This Row],[CV]]</f>
        <v>9.0759863123993567E-4</v>
      </c>
      <c r="Q93" s="24">
        <f>Table25711131525233335373941454951535912141618[[#This Row],[2nd 200]]*3</f>
        <v>2.722795893719807E-3</v>
      </c>
      <c r="R93" s="9">
        <f>Table25711131525233335373941454951535912141618[[#This Row],[1st 200]]*3</f>
        <v>2.5833333333333337E-3</v>
      </c>
      <c r="S93" s="12">
        <f>Table25711131525233335373941454951535912141618[[#This Row],[R]]/2</f>
        <v>3.9062499999999997E-4</v>
      </c>
      <c r="V93" s="23" t="s">
        <v>48</v>
      </c>
      <c r="W93" s="115"/>
    </row>
    <row r="94" spans="1:23" ht="17.149999999999999" customHeight="1" x14ac:dyDescent="0.35">
      <c r="A94" s="8" t="s">
        <v>94</v>
      </c>
      <c r="B94" s="9">
        <v>1.1574074074074075E-2</v>
      </c>
      <c r="C94" s="9">
        <v>3.472222222222222E-3</v>
      </c>
      <c r="D94" s="9">
        <f t="shared" si="33"/>
        <v>6.7337962962962968E-3</v>
      </c>
      <c r="E94" s="10">
        <v>0.58179999999999998</v>
      </c>
      <c r="F94" s="9">
        <f t="shared" si="34"/>
        <v>8.6805555555555551E-4</v>
      </c>
      <c r="G94" s="9">
        <f t="shared" si="35"/>
        <v>8.9783950617283953E-4</v>
      </c>
      <c r="H94" s="9">
        <f t="shared" si="36"/>
        <v>9.2592592592592596E-4</v>
      </c>
      <c r="I94" s="9">
        <f t="shared" si="37"/>
        <v>9.6541882384176294E-4</v>
      </c>
      <c r="J94" s="9">
        <f t="shared" si="38"/>
        <v>9.759125067096082E-4</v>
      </c>
      <c r="K94" s="9">
        <f t="shared" si="39"/>
        <v>1.0202721661054994E-3</v>
      </c>
      <c r="L94" s="9">
        <f t="shared" si="40"/>
        <v>1.0688565549676662E-3</v>
      </c>
      <c r="M94" s="11">
        <f>Table25711131525233335373941454951535912141618[[#This Row],[Thresh]]</f>
        <v>1.0202721661054994E-3</v>
      </c>
      <c r="N94" s="9">
        <f>Table25711131525233335373941454951535912141618[[#This Row],[T (400)]]*3</f>
        <v>3.0608164983164984E-3</v>
      </c>
      <c r="O94" s="24">
        <f>Table25711131525233335373941454951535912141618[[#This Row],[I]]</f>
        <v>9.2592592592592596E-4</v>
      </c>
      <c r="P94" s="9">
        <f>Table25711131525233335373941454951535912141618[[#This Row],[CV]]</f>
        <v>9.759125067096082E-4</v>
      </c>
      <c r="Q94" s="24">
        <f>Table25711131525233335373941454951535912141618[[#This Row],[2nd 200]]*3</f>
        <v>2.9277375201288247E-3</v>
      </c>
      <c r="R94" s="9">
        <f>Table25711131525233335373941454951535912141618[[#This Row],[1st 200]]*3</f>
        <v>2.7777777777777779E-3</v>
      </c>
      <c r="S94" s="12">
        <f>Table25711131525233335373941454951535912141618[[#This Row],[R]]/2</f>
        <v>4.3402777777777775E-4</v>
      </c>
      <c r="V94" s="23" t="s">
        <v>48</v>
      </c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F4A-D91F-4878-B191-18C42AEEB3E6}">
  <sheetPr>
    <pageSetUpPr fitToPage="1"/>
  </sheetPr>
  <dimension ref="A1:W99"/>
  <sheetViews>
    <sheetView topLeftCell="A60" workbookViewId="0">
      <selection activeCell="B90" sqref="B90"/>
    </sheetView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278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27</v>
      </c>
      <c r="P1" s="6" t="s">
        <v>129</v>
      </c>
      <c r="Q1" s="6" t="s">
        <v>279</v>
      </c>
      <c r="R1" s="6" t="s">
        <v>280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281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28" si="0">C2/4</f>
        <v>8.6805555555555551E-4</v>
      </c>
      <c r="G2" s="9">
        <f t="shared" ref="G2:G28" si="1">D2/7.5</f>
        <v>9.4273148148148146E-4</v>
      </c>
      <c r="H2" s="9">
        <f t="shared" ref="H2:H28" si="2">B2/12.5</f>
        <v>9.7222222222222219E-4</v>
      </c>
      <c r="I2" s="9">
        <f t="shared" ref="I2:I28" si="3">G2/0.93</f>
        <v>1.0136897650338511E-3</v>
      </c>
      <c r="J2" s="9">
        <f t="shared" ref="J2:J28" si="4">G2/0.92</f>
        <v>1.0247081320450884E-3</v>
      </c>
      <c r="K2" s="9">
        <f t="shared" ref="K2:K28" si="5">G2/0.88</f>
        <v>1.0712857744107744E-3</v>
      </c>
      <c r="L2" s="9">
        <f t="shared" ref="L2:L28" si="6">G2/0.84</f>
        <v>1.1222993827160494E-3</v>
      </c>
      <c r="M2" s="11">
        <f>Table146101214242232343638404448505248111315[[#This Row],[Thresh]]</f>
        <v>1.0712857744107744E-3</v>
      </c>
      <c r="N2" s="9">
        <f>Table146101214242232343638404448505248111315[[#This Row],[T (400)]]*2</f>
        <v>2.1425715488215488E-3</v>
      </c>
      <c r="O2" s="12">
        <f>Table146101214242232343638404448505248111315[[#This Row],[R]]</f>
        <v>8.6805555555555551E-4</v>
      </c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Table146101214242232343638404448505248111315[[#This Row],[Thresh]]</f>
        <v>1.1478061868686869E-3</v>
      </c>
      <c r="N3" s="9">
        <f>Table146101214242232343638404448505248111315[[#This Row],[T (400)]]*2</f>
        <v>2.2956123737373738E-3</v>
      </c>
      <c r="O3" s="12">
        <f>Table146101214242232343638404448505248111315[[#This Row],[R]]</f>
        <v>9.4039351851851847E-4</v>
      </c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Table146101214242232343638404448505248111315[[#This Row],[Thresh]]</f>
        <v>1.1937184343434346E-3</v>
      </c>
      <c r="N4" s="9">
        <f>Table146101214242232343638404448505248111315[[#This Row],[T (400)]]*2</f>
        <v>2.3874368686868691E-3</v>
      </c>
      <c r="O4" s="12">
        <f>Table146101214242232343638404448505248111315[[#This Row],[R]]</f>
        <v>9.5486111111111108E-4</v>
      </c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56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27</v>
      </c>
      <c r="P7" s="15"/>
      <c r="Q7" s="15"/>
      <c r="R7" s="15"/>
      <c r="S7" s="15"/>
      <c r="T7" s="15"/>
      <c r="U7" s="15"/>
      <c r="V7" s="17"/>
      <c r="W7" s="104"/>
    </row>
    <row r="8" spans="1:23" ht="17.149999999999999" customHeight="1" x14ac:dyDescent="0.35">
      <c r="A8" s="8" t="s">
        <v>28</v>
      </c>
      <c r="B8" s="9">
        <v>1.1689814814814814E-2</v>
      </c>
      <c r="C8" s="9">
        <v>3.3564814814814811E-3</v>
      </c>
      <c r="D8" s="9">
        <f t="shared" ref="D8:D18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Table146101214242232343638404448505248111315[[#This Row],[Thresh]]</f>
        <v>1.0304748877665545E-3</v>
      </c>
      <c r="N8" s="9">
        <f>Table146101214242232343638404448505248111315[[#This Row],[T (400)]]*2</f>
        <v>2.0609497755331089E-3</v>
      </c>
      <c r="O8" s="12">
        <f>Table146101214242232343638404448505248111315[[#This Row],[R]]</f>
        <v>8.3912037037037028E-4</v>
      </c>
      <c r="P8" s="9"/>
      <c r="Q8" s="12"/>
      <c r="R8" s="9"/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31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Table146101214242232343638404448505248111315[[#This Row],[Thresh]]</f>
        <v>1.0304748877665545E-3</v>
      </c>
      <c r="N9" s="9">
        <f>Table146101214242232343638404448505248111315[[#This Row],[T (400)]]*2</f>
        <v>2.0609497755331089E-3</v>
      </c>
      <c r="O9" s="12">
        <f>Table146101214242232343638404448505248111315[[#This Row],[R]]</f>
        <v>8.3912037037037028E-4</v>
      </c>
      <c r="P9" s="9"/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52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Table146101214242232343638404448505248111315[[#This Row],[Thresh]]</f>
        <v>1.0406776094276093E-3</v>
      </c>
      <c r="N10" s="9">
        <f>Table146101214242232343638404448505248111315[[#This Row],[T (400)]]*2</f>
        <v>2.0813552188552187E-3</v>
      </c>
      <c r="O10" s="12">
        <f>Table146101214242232343638404448505248111315[[#This Row],[R]]</f>
        <v>8.6805555555555551E-4</v>
      </c>
      <c r="P10" s="9"/>
      <c r="Q10" s="12"/>
      <c r="R10" s="9"/>
      <c r="S10" s="12"/>
      <c r="T10" s="9"/>
      <c r="U10" s="9"/>
      <c r="V10" s="13" t="s">
        <v>30</v>
      </c>
      <c r="W10" s="104" t="s">
        <v>282</v>
      </c>
    </row>
    <row r="11" spans="1:23" ht="17.149999999999999" customHeight="1" x14ac:dyDescent="0.35">
      <c r="A11" s="8" t="s">
        <v>32</v>
      </c>
      <c r="B11" s="9">
        <v>1.238425925925926E-2</v>
      </c>
      <c r="C11" s="9">
        <v>3.5879629629629629E-3</v>
      </c>
      <c r="D11" s="9">
        <f t="shared" si="7"/>
        <v>7.2051620370370368E-3</v>
      </c>
      <c r="E11" s="10">
        <v>0.58179999999999998</v>
      </c>
      <c r="F11" s="9">
        <f t="shared" si="0"/>
        <v>8.9699074074074073E-4</v>
      </c>
      <c r="G11" s="9">
        <f t="shared" si="1"/>
        <v>9.6068827160493821E-4</v>
      </c>
      <c r="H11" s="9">
        <f t="shared" si="2"/>
        <v>9.9074074074074082E-4</v>
      </c>
      <c r="I11" s="9">
        <f t="shared" si="3"/>
        <v>1.0329981415106862E-3</v>
      </c>
      <c r="J11" s="9">
        <f t="shared" si="4"/>
        <v>1.0442263821792807E-3</v>
      </c>
      <c r="K11" s="9">
        <f t="shared" si="5"/>
        <v>1.0916912177328843E-3</v>
      </c>
      <c r="L11" s="9">
        <f t="shared" si="6"/>
        <v>1.1436765138154027E-3</v>
      </c>
      <c r="M11" s="11">
        <f>Table146101214242232343638404448505248111315[[#This Row],[Thresh]]</f>
        <v>1.0916912177328843E-3</v>
      </c>
      <c r="N11" s="9">
        <f>Table146101214242232343638404448505248111315[[#This Row],[T (400)]]*2</f>
        <v>2.1833824354657687E-3</v>
      </c>
      <c r="O11" s="12">
        <f>Table146101214242232343638404448505248111315[[#This Row],[R]]</f>
        <v>8.9699074074074073E-4</v>
      </c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36</v>
      </c>
      <c r="B12" s="9">
        <v>1.3020833333333334E-2</v>
      </c>
      <c r="C12" s="9">
        <v>3.7615740740740739E-3</v>
      </c>
      <c r="D12" s="9">
        <f t="shared" si="7"/>
        <v>7.5755208333333334E-3</v>
      </c>
      <c r="E12" s="10">
        <v>0.58179999999999998</v>
      </c>
      <c r="F12" s="9">
        <f t="shared" si="0"/>
        <v>9.4039351851851847E-4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Table146101214242232343638404448505248111315[[#This Row],[Thresh]]</f>
        <v>1.1478061868686869E-3</v>
      </c>
      <c r="N12" s="9">
        <f>Table146101214242232343638404448505248111315[[#This Row],[T (400)]]*2</f>
        <v>2.2956123737373738E-3</v>
      </c>
      <c r="O12" s="12">
        <f>Table146101214242232343638404448505248111315[[#This Row],[R]]</f>
        <v>9.4039351851851847E-4</v>
      </c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40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>
        <f>Table146101214242232343638404448505248111315[[#This Row],[Thresh]]</f>
        <v>1.1478061868686869E-3</v>
      </c>
      <c r="N13" s="9">
        <f>Table146101214242232343638404448505248111315[[#This Row],[T (400)]]*2</f>
        <v>2.2956123737373738E-3</v>
      </c>
      <c r="O13" s="12">
        <f>Table146101214242232343638404448505248111315[[#This Row],[R]]</f>
        <v>9.5486111111111108E-4</v>
      </c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39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Table146101214242232343638404448505248111315[[#This Row],[Thresh]]</f>
        <v>1.1478061868686869E-3</v>
      </c>
      <c r="N14" s="9">
        <f>Table146101214242232343638404448505248111315[[#This Row],[T (400)]]*2</f>
        <v>2.2956123737373738E-3</v>
      </c>
      <c r="O14" s="12">
        <f>Table146101214242232343638404448505248111315[[#This Row],[R]]</f>
        <v>9.5486111111111108E-4</v>
      </c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41</v>
      </c>
      <c r="B15" s="9">
        <v>1.3541666666666667E-2</v>
      </c>
      <c r="C15" s="9">
        <v>4.0509259259259257E-3</v>
      </c>
      <c r="D15" s="9">
        <f t="shared" si="7"/>
        <v>7.8785416666666674E-3</v>
      </c>
      <c r="E15" s="10">
        <v>0.58179999999999998</v>
      </c>
      <c r="F15" s="9">
        <f t="shared" si="0"/>
        <v>1.0127314814814814E-3</v>
      </c>
      <c r="G15" s="9">
        <f t="shared" si="1"/>
        <v>1.0504722222222224E-3</v>
      </c>
      <c r="H15" s="9">
        <f t="shared" si="2"/>
        <v>1.0833333333333333E-3</v>
      </c>
      <c r="I15" s="9">
        <f t="shared" si="3"/>
        <v>1.1295400238948627E-3</v>
      </c>
      <c r="J15" s="9">
        <f t="shared" si="4"/>
        <v>1.1418176328502417E-3</v>
      </c>
      <c r="K15" s="9">
        <f t="shared" si="5"/>
        <v>1.1937184343434346E-3</v>
      </c>
      <c r="L15" s="9">
        <f t="shared" si="6"/>
        <v>1.2505621693121695E-3</v>
      </c>
      <c r="M15" s="11">
        <f>Table146101214242232343638404448505248111315[[#This Row],[Thresh]]</f>
        <v>1.1937184343434346E-3</v>
      </c>
      <c r="N15" s="9">
        <f>Table146101214242232343638404448505248111315[[#This Row],[T (400)]]*2</f>
        <v>2.3874368686868691E-3</v>
      </c>
      <c r="O15" s="12">
        <f>Table146101214242232343638404448505248111315[[#This Row],[R]]</f>
        <v>1.0127314814814814E-3</v>
      </c>
      <c r="P15" s="9"/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43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Table146101214242232343638404448505248111315[[#This Row],[Thresh]]</f>
        <v>1.2549347643097644E-3</v>
      </c>
      <c r="N16" s="9">
        <f>Table146101214242232343638404448505248111315[[#This Row],[T (400)]]*2</f>
        <v>2.5098695286195289E-3</v>
      </c>
      <c r="O16" s="12">
        <f>Table146101214242232343638404448505248111315[[#This Row],[R]]</f>
        <v>1.0416666666666667E-3</v>
      </c>
      <c r="P16" s="9"/>
      <c r="Q16" s="12"/>
      <c r="R16" s="9"/>
      <c r="S16" s="12"/>
      <c r="T16" s="9"/>
      <c r="U16" s="9"/>
      <c r="V16" s="13" t="s">
        <v>30</v>
      </c>
      <c r="W16" s="104"/>
    </row>
    <row r="17" spans="1:23" ht="17.149999999999999" customHeight="1" x14ac:dyDescent="0.35">
      <c r="A17" s="8" t="s">
        <v>44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Table146101214242232343638404448505248111315[[#This Row],[Thresh]]</f>
        <v>1.2549347643097644E-3</v>
      </c>
      <c r="N17" s="9">
        <f>Table146101214242232343638404448505248111315[[#This Row],[T (400)]]*2</f>
        <v>2.5098695286195289E-3</v>
      </c>
      <c r="O17" s="12">
        <f>Table146101214242232343638404448505248111315[[#This Row],[R]]</f>
        <v>1.0416666666666667E-3</v>
      </c>
      <c r="P17" s="9"/>
      <c r="Q17" s="12"/>
      <c r="R17" s="9"/>
      <c r="S17" s="12"/>
      <c r="T17" s="9"/>
      <c r="U17" s="9"/>
      <c r="V17" s="13" t="s">
        <v>30</v>
      </c>
      <c r="W17" s="104"/>
    </row>
    <row r="18" spans="1:23" ht="17.149999999999999" customHeight="1" x14ac:dyDescent="0.35">
      <c r="A18" s="8" t="s">
        <v>42</v>
      </c>
      <c r="B18" s="9">
        <v>1.4236111111111111E-2</v>
      </c>
      <c r="C18" s="9">
        <v>4.1666666666666666E-3</v>
      </c>
      <c r="D18" s="9">
        <f t="shared" si="7"/>
        <v>8.2825694444444448E-3</v>
      </c>
      <c r="E18" s="10">
        <v>0.58179999999999998</v>
      </c>
      <c r="F18" s="9">
        <f t="shared" si="0"/>
        <v>1.0416666666666667E-3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Table146101214242232343638404448505248111315[[#This Row],[Thresh]]</f>
        <v>1.2549347643097644E-3</v>
      </c>
      <c r="N18" s="9">
        <f>Table146101214242232343638404448505248111315[[#This Row],[T (400)]]*2</f>
        <v>2.5098695286195289E-3</v>
      </c>
      <c r="O18" s="12">
        <f>Table146101214242232343638404448505248111315[[#This Row],[R]]</f>
        <v>1.0416666666666667E-3</v>
      </c>
      <c r="P18" s="9"/>
      <c r="Q18" s="12"/>
      <c r="R18" s="9"/>
      <c r="S18" s="12"/>
      <c r="T18" s="9"/>
      <c r="U18" s="9"/>
      <c r="V18" s="13" t="s">
        <v>30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0"/>
        <v>0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11"/>
      <c r="N19" s="9"/>
      <c r="O19" s="9"/>
      <c r="P19" s="9"/>
      <c r="Q19" s="12"/>
      <c r="R19" s="9"/>
      <c r="S19" s="12"/>
      <c r="T19" s="9"/>
      <c r="U19" s="9"/>
      <c r="V19" s="13"/>
      <c r="W19" s="104" t="s">
        <v>283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0"/>
        <v>0</v>
      </c>
      <c r="G20" s="15">
        <f t="shared" si="1"/>
        <v>0</v>
      </c>
      <c r="H20" s="15">
        <f t="shared" si="2"/>
        <v>0</v>
      </c>
      <c r="I20" s="15">
        <f t="shared" si="3"/>
        <v>0</v>
      </c>
      <c r="J20" s="15">
        <f t="shared" si="4"/>
        <v>0</v>
      </c>
      <c r="K20" s="15">
        <f t="shared" si="5"/>
        <v>0</v>
      </c>
      <c r="L20" s="15">
        <f t="shared" si="6"/>
        <v>0</v>
      </c>
      <c r="M20" s="30" t="s">
        <v>12</v>
      </c>
      <c r="N20" s="15" t="s">
        <v>275</v>
      </c>
      <c r="O20" s="15" t="s">
        <v>136</v>
      </c>
      <c r="P20" s="15" t="s">
        <v>137</v>
      </c>
      <c r="Q20" s="15" t="s">
        <v>139</v>
      </c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55</v>
      </c>
      <c r="B21" s="9">
        <v>1.1689814814814814E-2</v>
      </c>
      <c r="C21" s="9">
        <v>3.5879629629629629E-3</v>
      </c>
      <c r="D21" s="9">
        <f t="shared" ref="D21:D28" si="8">B21*E21</f>
        <v>6.8011342592592585E-3</v>
      </c>
      <c r="E21" s="10">
        <v>0.58179999999999998</v>
      </c>
      <c r="F21" s="9">
        <f t="shared" si="0"/>
        <v>8.9699074074074073E-4</v>
      </c>
      <c r="G21" s="9">
        <f t="shared" si="1"/>
        <v>9.0681790123456785E-4</v>
      </c>
      <c r="H21" s="9">
        <f t="shared" si="2"/>
        <v>9.3518518518518516E-4</v>
      </c>
      <c r="I21" s="9">
        <f t="shared" si="3"/>
        <v>9.7507301208018041E-4</v>
      </c>
      <c r="J21" s="9">
        <f t="shared" si="4"/>
        <v>9.8567163177670412E-4</v>
      </c>
      <c r="K21" s="9">
        <f t="shared" si="5"/>
        <v>1.0304748877665545E-3</v>
      </c>
      <c r="L21" s="9">
        <f t="shared" si="6"/>
        <v>1.0795451205173427E-3</v>
      </c>
      <c r="M21" s="11">
        <f>Table146101214242232343638404448505248111315[[#This Row],[Thresh]]</f>
        <v>1.0304748877665545E-3</v>
      </c>
      <c r="N21" s="9">
        <f>Table146101214242232343638404448505248111315[[#This Row],[T (400)]]*3</f>
        <v>3.0914246632996632E-3</v>
      </c>
      <c r="O21" s="12">
        <f>Table146101214242232343638404448505248111315[[#This Row],[CV]]</f>
        <v>9.8567163177670412E-4</v>
      </c>
      <c r="P21" s="9">
        <f>Table146101214242232343638404448505248111315[[#This Row],[400 R]]*1.5</f>
        <v>1.4785074476650561E-3</v>
      </c>
      <c r="Q21" s="12">
        <f>Table146101214242232343638404448505248111315[[#This Row],[VO2]]</f>
        <v>9.0681790123456785E-4</v>
      </c>
      <c r="R21" s="9"/>
      <c r="S21" s="12"/>
      <c r="T21" s="9"/>
      <c r="U21" s="9"/>
      <c r="V21" s="13" t="s">
        <v>48</v>
      </c>
      <c r="W21" s="104"/>
    </row>
    <row r="22" spans="1:23" ht="17.149999999999999" customHeight="1" x14ac:dyDescent="0.35">
      <c r="A22" s="8" t="s">
        <v>33</v>
      </c>
      <c r="B22" s="9">
        <v>1.2268518518518519E-2</v>
      </c>
      <c r="C22" s="9">
        <v>3.645833333333333E-3</v>
      </c>
      <c r="D22" s="9">
        <f>B22*E22</f>
        <v>7.1378240740740742E-3</v>
      </c>
      <c r="E22" s="10">
        <v>0.58179999999999998</v>
      </c>
      <c r="F22" s="9">
        <f>C22/4</f>
        <v>9.1145833333333324E-4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Table146101214242232343638404448505248111315[[#This Row],[Thresh]]</f>
        <v>1.0814884960718295E-3</v>
      </c>
      <c r="N22" s="9">
        <f>Table146101214242232343638404448505248111315[[#This Row],[T (400)]]*3</f>
        <v>3.2444654882154882E-3</v>
      </c>
      <c r="O22" s="12">
        <f>Table146101214242232343638404448505248111315[[#This Row],[CV]]</f>
        <v>1.0344672571121847E-3</v>
      </c>
      <c r="P22" s="9">
        <f>Table146101214242232343638404448505248111315[[#This Row],[400 R]]*1.5</f>
        <v>1.551700885668277E-3</v>
      </c>
      <c r="Q22" s="12">
        <f>Table146101214242232343638404448505248111315[[#This Row],[VO2]]</f>
        <v>9.5170987654320989E-4</v>
      </c>
      <c r="R22" s="9"/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 t="s">
        <v>49</v>
      </c>
      <c r="B23" s="9">
        <v>1.2268518518518519E-2</v>
      </c>
      <c r="C23" s="9">
        <v>3.7037037037037034E-3</v>
      </c>
      <c r="D23" s="9">
        <f>B23*E23</f>
        <v>7.1378240740740742E-3</v>
      </c>
      <c r="E23" s="10">
        <v>0.58179999999999998</v>
      </c>
      <c r="F23" s="9">
        <f>C23/4</f>
        <v>9.2592592592592585E-4</v>
      </c>
      <c r="G23" s="9">
        <f>D23/7.5</f>
        <v>9.5170987654320989E-4</v>
      </c>
      <c r="H23" s="9">
        <f>B23/12.5</f>
        <v>9.8148148148148161E-4</v>
      </c>
      <c r="I23" s="9">
        <f>G23/0.93</f>
        <v>1.0233439532722685E-3</v>
      </c>
      <c r="J23" s="9">
        <f>G23/0.92</f>
        <v>1.0344672571121847E-3</v>
      </c>
      <c r="K23" s="9">
        <f>G23/0.88</f>
        <v>1.0814884960718295E-3</v>
      </c>
      <c r="L23" s="9">
        <f>G23/0.84</f>
        <v>1.1329879482657262E-3</v>
      </c>
      <c r="M23" s="11">
        <f>Table146101214242232343638404448505248111315[[#This Row],[Thresh]]</f>
        <v>1.0814884960718295E-3</v>
      </c>
      <c r="N23" s="9">
        <f>Table146101214242232343638404448505248111315[[#This Row],[T (400)]]*3</f>
        <v>3.2444654882154882E-3</v>
      </c>
      <c r="O23" s="12">
        <f>Table146101214242232343638404448505248111315[[#This Row],[CV]]</f>
        <v>1.0344672571121847E-3</v>
      </c>
      <c r="P23" s="9">
        <f>Table146101214242232343638404448505248111315[[#This Row],[400 R]]*1.5</f>
        <v>1.551700885668277E-3</v>
      </c>
      <c r="Q23" s="12">
        <f>Table146101214242232343638404448505248111315[[#This Row],[VO2]]</f>
        <v>9.5170987654320989E-4</v>
      </c>
      <c r="R23" s="9"/>
      <c r="S23" s="12"/>
      <c r="T23" s="9"/>
      <c r="U23" s="9"/>
      <c r="V23" s="13" t="s">
        <v>48</v>
      </c>
      <c r="W23" s="104"/>
    </row>
    <row r="24" spans="1:23" ht="17.149999999999999" customHeight="1" x14ac:dyDescent="0.35">
      <c r="A24" s="8" t="s">
        <v>37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Table146101214242232343638404448505248111315[[#This Row],[Thresh]]</f>
        <v>1.0916912177328843E-3</v>
      </c>
      <c r="N24" s="9">
        <f>Table146101214242232343638404448505248111315[[#This Row],[T (400)]]*3</f>
        <v>3.275073653198653E-3</v>
      </c>
      <c r="O24" s="12">
        <f>Table146101214242232343638404448505248111315[[#This Row],[CV]]</f>
        <v>1.0442263821792807E-3</v>
      </c>
      <c r="P24" s="9">
        <f>Table146101214242232343638404448505248111315[[#This Row],[400 R]]*1.5</f>
        <v>1.566339573268921E-3</v>
      </c>
      <c r="Q24" s="12">
        <f>Table146101214242232343638404448505248111315[[#This Row],[VO2]]</f>
        <v>9.6068827160493821E-4</v>
      </c>
      <c r="R24" s="9"/>
      <c r="S24" s="12"/>
      <c r="T24" s="9"/>
      <c r="U24" s="9"/>
      <c r="V24" s="13" t="s">
        <v>34</v>
      </c>
      <c r="W24" s="104"/>
    </row>
    <row r="25" spans="1:23" ht="17.149999999999999" customHeight="1" x14ac:dyDescent="0.35">
      <c r="A25" s="8" t="s">
        <v>38</v>
      </c>
      <c r="B25" s="9">
        <v>1.238425925925926E-2</v>
      </c>
      <c r="C25" s="9">
        <v>3.8194444444444443E-3</v>
      </c>
      <c r="D25" s="9">
        <f t="shared" si="8"/>
        <v>7.2051620370370368E-3</v>
      </c>
      <c r="E25" s="10">
        <v>0.58179999999999998</v>
      </c>
      <c r="F25" s="9">
        <f t="shared" si="0"/>
        <v>9.5486111111111108E-4</v>
      </c>
      <c r="G25" s="9">
        <f t="shared" si="1"/>
        <v>9.6068827160493821E-4</v>
      </c>
      <c r="H25" s="9">
        <f t="shared" si="2"/>
        <v>9.9074074074074082E-4</v>
      </c>
      <c r="I25" s="9">
        <f t="shared" si="3"/>
        <v>1.0329981415106862E-3</v>
      </c>
      <c r="J25" s="9">
        <f t="shared" si="4"/>
        <v>1.0442263821792807E-3</v>
      </c>
      <c r="K25" s="9">
        <f t="shared" si="5"/>
        <v>1.0916912177328843E-3</v>
      </c>
      <c r="L25" s="9">
        <f t="shared" si="6"/>
        <v>1.1436765138154027E-3</v>
      </c>
      <c r="M25" s="11">
        <f>Table146101214242232343638404448505248111315[[#This Row],[Thresh]]</f>
        <v>1.0916912177328843E-3</v>
      </c>
      <c r="N25" s="9">
        <f>Table146101214242232343638404448505248111315[[#This Row],[T (400)]]*3</f>
        <v>3.275073653198653E-3</v>
      </c>
      <c r="O25" s="12">
        <f>Table146101214242232343638404448505248111315[[#This Row],[CV]]</f>
        <v>1.0442263821792807E-3</v>
      </c>
      <c r="P25" s="9">
        <f>Table146101214242232343638404448505248111315[[#This Row],[400 R]]*1.5</f>
        <v>1.566339573268921E-3</v>
      </c>
      <c r="Q25" s="12">
        <f>Table146101214242232343638404448505248111315[[#This Row],[VO2]]</f>
        <v>9.6068827160493821E-4</v>
      </c>
      <c r="R25" s="9"/>
      <c r="S25" s="12"/>
      <c r="T25" s="9"/>
      <c r="U25" s="9"/>
      <c r="V25" s="13" t="s">
        <v>34</v>
      </c>
      <c r="W25" s="104"/>
    </row>
    <row r="26" spans="1:23" ht="17.149999999999999" customHeight="1" x14ac:dyDescent="0.35">
      <c r="A26" s="8" t="s">
        <v>50</v>
      </c>
      <c r="B26" s="9">
        <v>1.2499999999999999E-2</v>
      </c>
      <c r="C26" s="9">
        <v>3.8194444444444443E-3</v>
      </c>
      <c r="D26" s="9">
        <f t="shared" si="8"/>
        <v>7.2724999999999995E-3</v>
      </c>
      <c r="E26" s="10">
        <v>0.58179999999999998</v>
      </c>
      <c r="F26" s="9">
        <f t="shared" si="0"/>
        <v>9.5486111111111108E-4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Table146101214242232343638404448505248111315[[#This Row],[Thresh]]</f>
        <v>1.1018939393939394E-3</v>
      </c>
      <c r="N26" s="9">
        <f>Table146101214242232343638404448505248111315[[#This Row],[T (400)]]*3</f>
        <v>3.3056818181818183E-3</v>
      </c>
      <c r="O26" s="12">
        <f>Table146101214242232343638404448505248111315[[#This Row],[CV]]</f>
        <v>1.0539855072463768E-3</v>
      </c>
      <c r="P26" s="9">
        <f>Table146101214242232343638404448505248111315[[#This Row],[400 R]]*1.5</f>
        <v>1.5809782608695651E-3</v>
      </c>
      <c r="Q26" s="12">
        <f>Table146101214242232343638404448505248111315[[#This Row],[VO2]]</f>
        <v>9.6966666666666664E-4</v>
      </c>
      <c r="R26" s="9"/>
      <c r="S26" s="12"/>
      <c r="T26" s="9"/>
      <c r="U26" s="9"/>
      <c r="V26" s="13" t="s">
        <v>34</v>
      </c>
      <c r="W26" s="104"/>
    </row>
    <row r="27" spans="1:23" ht="17.149999999999999" customHeight="1" x14ac:dyDescent="0.35">
      <c r="A27" s="8" t="s">
        <v>51</v>
      </c>
      <c r="B27" s="9">
        <v>1.2499999999999999E-2</v>
      </c>
      <c r="C27" s="9">
        <v>3.7037037037037034E-3</v>
      </c>
      <c r="D27" s="9">
        <f t="shared" si="8"/>
        <v>7.2724999999999995E-3</v>
      </c>
      <c r="E27" s="10">
        <v>0.58179999999999998</v>
      </c>
      <c r="F27" s="9">
        <f t="shared" si="0"/>
        <v>9.2592592592592585E-4</v>
      </c>
      <c r="G27" s="9">
        <f t="shared" si="1"/>
        <v>9.6966666666666664E-4</v>
      </c>
      <c r="H27" s="9">
        <f t="shared" si="2"/>
        <v>1E-3</v>
      </c>
      <c r="I27" s="9">
        <f t="shared" si="3"/>
        <v>1.0426523297491039E-3</v>
      </c>
      <c r="J27" s="9">
        <f t="shared" si="4"/>
        <v>1.0539855072463768E-3</v>
      </c>
      <c r="K27" s="9">
        <f t="shared" si="5"/>
        <v>1.1018939393939394E-3</v>
      </c>
      <c r="L27" s="9">
        <f t="shared" si="6"/>
        <v>1.1543650793650795E-3</v>
      </c>
      <c r="M27" s="11">
        <f>Table146101214242232343638404448505248111315[[#This Row],[Thresh]]</f>
        <v>1.1018939393939394E-3</v>
      </c>
      <c r="N27" s="9">
        <f>Table146101214242232343638404448505248111315[[#This Row],[T (400)]]*3</f>
        <v>3.3056818181818183E-3</v>
      </c>
      <c r="O27" s="12">
        <f>Table146101214242232343638404448505248111315[[#This Row],[CV]]</f>
        <v>1.0539855072463768E-3</v>
      </c>
      <c r="P27" s="9">
        <f>Table146101214242232343638404448505248111315[[#This Row],[400 R]]*1.5</f>
        <v>1.5809782608695651E-3</v>
      </c>
      <c r="Q27" s="12">
        <f>Table146101214242232343638404448505248111315[[#This Row],[VO2]]</f>
        <v>9.6966666666666664E-4</v>
      </c>
      <c r="R27" s="9"/>
      <c r="S27" s="12"/>
      <c r="T27" s="9"/>
      <c r="U27" s="9"/>
      <c r="V27" s="13" t="s">
        <v>48</v>
      </c>
      <c r="W27" s="104"/>
    </row>
    <row r="28" spans="1:23" ht="17.149999999999999" customHeight="1" x14ac:dyDescent="0.35">
      <c r="A28" s="8" t="s">
        <v>124</v>
      </c>
      <c r="B28" s="9">
        <v>1.238425925925926E-2</v>
      </c>
      <c r="C28" s="9">
        <v>3.7037037037037034E-3</v>
      </c>
      <c r="D28" s="9">
        <f t="shared" si="8"/>
        <v>7.2051620370370368E-3</v>
      </c>
      <c r="E28" s="10">
        <v>0.58179999999999998</v>
      </c>
      <c r="F28" s="9">
        <f t="shared" si="0"/>
        <v>9.2592592592592585E-4</v>
      </c>
      <c r="G28" s="9">
        <f t="shared" si="1"/>
        <v>9.6068827160493821E-4</v>
      </c>
      <c r="H28" s="9">
        <f t="shared" si="2"/>
        <v>9.9074074074074082E-4</v>
      </c>
      <c r="I28" s="9">
        <f t="shared" si="3"/>
        <v>1.0329981415106862E-3</v>
      </c>
      <c r="J28" s="9">
        <f t="shared" si="4"/>
        <v>1.0442263821792807E-3</v>
      </c>
      <c r="K28" s="9">
        <f t="shared" si="5"/>
        <v>1.0916912177328843E-3</v>
      </c>
      <c r="L28" s="9">
        <f t="shared" si="6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53</v>
      </c>
      <c r="W28" s="104" t="s">
        <v>284</v>
      </c>
    </row>
    <row r="29" spans="1:23" ht="17.149999999999999" customHeight="1" x14ac:dyDescent="0.35">
      <c r="A29" s="8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11"/>
      <c r="N29" s="9"/>
      <c r="O29" s="12"/>
      <c r="P29" s="9"/>
      <c r="Q29" s="12"/>
      <c r="R29" s="9"/>
      <c r="S29" s="12"/>
      <c r="T29" s="9"/>
      <c r="U29" s="9"/>
      <c r="V29" s="13"/>
      <c r="W29" s="104"/>
    </row>
    <row r="30" spans="1:23" ht="17.149999999999999" customHeight="1" x14ac:dyDescent="0.35">
      <c r="A30" s="8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11"/>
      <c r="N30" s="9"/>
      <c r="O30" s="12"/>
      <c r="P30" s="9"/>
      <c r="Q30" s="12"/>
      <c r="R30" s="9"/>
      <c r="S30" s="12"/>
      <c r="T30" s="9"/>
      <c r="U30" s="9"/>
      <c r="V30" s="13"/>
      <c r="W30" s="104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278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30" t="s">
        <v>12</v>
      </c>
      <c r="N34" s="15" t="s">
        <v>13</v>
      </c>
      <c r="O34" s="15" t="s">
        <v>27</v>
      </c>
      <c r="P34" s="6" t="s">
        <v>129</v>
      </c>
      <c r="Q34" s="6" t="s">
        <v>280</v>
      </c>
      <c r="R34" s="6" t="s">
        <v>209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285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Table257111315252333353739414549515359121416[[#This Row],[Thresh]]</f>
        <v>9.1824494949494938E-4</v>
      </c>
      <c r="N35" s="9">
        <f>Table257111315252333353739414549515359121416[[#This Row],[T (400)]]*2</f>
        <v>1.8364898989898988E-3</v>
      </c>
      <c r="O35" s="24">
        <f>Table257111315252333353739414549515359121416[[#This Row],[R]]</f>
        <v>7.233796296296297E-4</v>
      </c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ref="D36:D44" si="9">B36*E36</f>
        <v>6.0604166666666662E-3</v>
      </c>
      <c r="E36" s="10">
        <v>0.58179999999999998</v>
      </c>
      <c r="F36" s="9">
        <f t="shared" ref="F36:F65" si="10">C36/4</f>
        <v>7.378472222222222E-4</v>
      </c>
      <c r="G36" s="9">
        <f t="shared" ref="G36:G65" si="11">D36/7.5</f>
        <v>8.0805555555555546E-4</v>
      </c>
      <c r="H36" s="9">
        <f t="shared" ref="H36:H65" si="12">B36/12.5</f>
        <v>8.3333333333333328E-4</v>
      </c>
      <c r="I36" s="9">
        <f t="shared" ref="I36:I65" si="13">G36/0.93</f>
        <v>8.6887694145758646E-4</v>
      </c>
      <c r="J36" s="9">
        <f t="shared" ref="J36:J65" si="14">G36/0.92</f>
        <v>8.7832125603864715E-4</v>
      </c>
      <c r="K36" s="9">
        <f t="shared" ref="K36:K65" si="15">G36/0.88</f>
        <v>9.1824494949494938E-4</v>
      </c>
      <c r="L36" s="9">
        <f t="shared" ref="L36:L65" si="16">G36/0.84</f>
        <v>9.6197089947089938E-4</v>
      </c>
      <c r="M36" s="11">
        <f>Table257111315252333353739414549515359121416[[#This Row],[Thresh]]</f>
        <v>9.1824494949494938E-4</v>
      </c>
      <c r="N36" s="9">
        <f>Table257111315252333353739414549515359121416[[#This Row],[T (400)]]*2</f>
        <v>1.8364898989898988E-3</v>
      </c>
      <c r="O36" s="24">
        <f>Table257111315252333353739414549515359121416[[#This Row],[R]]</f>
        <v>7.378472222222222E-4</v>
      </c>
      <c r="P36" s="9"/>
      <c r="Q36" s="24"/>
      <c r="R36" s="9"/>
      <c r="S36" s="12"/>
      <c r="U36" s="26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2.9513888888888888E-3</v>
      </c>
      <c r="D37" s="9">
        <f t="shared" si="9"/>
        <v>6.0604166666666662E-3</v>
      </c>
      <c r="E37" s="10">
        <v>0.58179999999999998</v>
      </c>
      <c r="F37" s="9">
        <f t="shared" si="10"/>
        <v>7.378472222222222E-4</v>
      </c>
      <c r="G37" s="9">
        <f t="shared" si="11"/>
        <v>8.0805555555555546E-4</v>
      </c>
      <c r="H37" s="9">
        <f t="shared" si="12"/>
        <v>8.3333333333333328E-4</v>
      </c>
      <c r="I37" s="9">
        <f t="shared" si="13"/>
        <v>8.6887694145758646E-4</v>
      </c>
      <c r="J37" s="9">
        <f t="shared" si="14"/>
        <v>8.7832125603864715E-4</v>
      </c>
      <c r="K37" s="9">
        <f t="shared" si="15"/>
        <v>9.1824494949494938E-4</v>
      </c>
      <c r="L37" s="9">
        <f t="shared" si="16"/>
        <v>9.6197089947089938E-4</v>
      </c>
      <c r="M37" s="11">
        <f>Table257111315252333353739414549515359121416[[#This Row],[Thresh]]</f>
        <v>9.1824494949494938E-4</v>
      </c>
      <c r="N37" s="9">
        <f>Table257111315252333353739414549515359121416[[#This Row],[T (400)]]*2</f>
        <v>1.8364898989898988E-3</v>
      </c>
      <c r="O37" s="24">
        <f>Table257111315252333353739414549515359121416[[#This Row],[R]]</f>
        <v>7.378472222222222E-4</v>
      </c>
      <c r="P37" s="9"/>
      <c r="Q37" s="24"/>
      <c r="R37" s="9"/>
      <c r="S37" s="12"/>
      <c r="T37" s="25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Table257111315252333353739414549515359121416[[#This Row],[Thresh]]</f>
        <v>9.5905583613916951E-4</v>
      </c>
      <c r="N38" s="9">
        <f>Table257111315252333353739414549515359121416[[#This Row],[T (400)]]*2</f>
        <v>1.918111672278339E-3</v>
      </c>
      <c r="O38" s="24">
        <f>Table257111315252333353739414549515359121416[[#This Row],[R]]</f>
        <v>7.5231481481481471E-4</v>
      </c>
      <c r="P38" s="9"/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Table257111315252333353739414549515359121416[[#This Row],[Thresh]]</f>
        <v>9.5905583613916951E-4</v>
      </c>
      <c r="N39" s="9">
        <f>Table257111315252333353739414549515359121416[[#This Row],[T (400)]]*2</f>
        <v>1.918111672278339E-3</v>
      </c>
      <c r="O39" s="24">
        <f>Table257111315252333353739414549515359121416[[#This Row],[R]]</f>
        <v>7.5231481481481471E-4</v>
      </c>
      <c r="P39" s="9"/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115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Table257111315252333353739414549515359121416[[#This Row],[Thresh]]</f>
        <v>9.7946127946127947E-4</v>
      </c>
      <c r="N40" s="9">
        <f>Table257111315252333353739414549515359121416[[#This Row],[T (400)]]*2</f>
        <v>1.9589225589225589E-3</v>
      </c>
      <c r="O40" s="24">
        <f>Table257111315252333353739414549515359121416[[#This Row],[R]]</f>
        <v>7.6678240740740743E-4</v>
      </c>
      <c r="P40" s="9"/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112</v>
      </c>
      <c r="B41" s="9">
        <v>1.1458333333333334E-2</v>
      </c>
      <c r="C41" s="9">
        <v>3.0671296296296297E-3</v>
      </c>
      <c r="D41" s="9">
        <f t="shared" si="9"/>
        <v>6.6664583333333333E-3</v>
      </c>
      <c r="E41" s="10">
        <v>0.58179999999999998</v>
      </c>
      <c r="F41" s="9">
        <f t="shared" si="10"/>
        <v>7.6678240740740743E-4</v>
      </c>
      <c r="G41" s="9">
        <f t="shared" si="11"/>
        <v>8.888611111111111E-4</v>
      </c>
      <c r="H41" s="9">
        <f t="shared" si="12"/>
        <v>9.1666666666666676E-4</v>
      </c>
      <c r="I41" s="9">
        <f t="shared" si="13"/>
        <v>9.5576463560334524E-4</v>
      </c>
      <c r="J41" s="9">
        <f t="shared" si="14"/>
        <v>9.6615338164251206E-4</v>
      </c>
      <c r="K41" s="9">
        <f t="shared" si="15"/>
        <v>1.0100694444444445E-3</v>
      </c>
      <c r="L41" s="9">
        <f t="shared" si="16"/>
        <v>1.0581679894179894E-3</v>
      </c>
      <c r="M41" s="11">
        <f>Table257111315252333353739414549515359121416[[#This Row],[Thresh]]</f>
        <v>1.0100694444444445E-3</v>
      </c>
      <c r="N41" s="9">
        <f>Table257111315252333353739414549515359121416[[#This Row],[T (400)]]*2</f>
        <v>2.020138888888889E-3</v>
      </c>
      <c r="O41" s="24">
        <f>Table257111315252333353739414549515359121416[[#This Row],[R]]</f>
        <v>7.6678240740740743E-4</v>
      </c>
      <c r="P41" s="9"/>
      <c r="Q41" s="24"/>
      <c r="R41" s="9"/>
      <c r="S41" s="12"/>
      <c r="V41" s="23" t="s">
        <v>24</v>
      </c>
      <c r="W41" s="104"/>
    </row>
    <row r="42" spans="1:23" ht="17.149999999999999" customHeight="1" x14ac:dyDescent="0.35">
      <c r="A42" s="8" t="s">
        <v>67</v>
      </c>
      <c r="B42" s="9">
        <v>1.1226851851851854E-2</v>
      </c>
      <c r="C42" s="9">
        <v>3.1249999999999997E-3</v>
      </c>
      <c r="D42" s="9">
        <f t="shared" si="9"/>
        <v>6.5317824074074089E-3</v>
      </c>
      <c r="E42" s="10">
        <v>0.58179999999999998</v>
      </c>
      <c r="F42" s="9">
        <f t="shared" si="10"/>
        <v>7.8124999999999993E-4</v>
      </c>
      <c r="G42" s="9">
        <f t="shared" si="11"/>
        <v>8.7090432098765457E-4</v>
      </c>
      <c r="H42" s="9">
        <f t="shared" si="12"/>
        <v>8.9814814814814835E-4</v>
      </c>
      <c r="I42" s="9">
        <f t="shared" si="13"/>
        <v>9.3645625912651019E-4</v>
      </c>
      <c r="J42" s="9">
        <f t="shared" si="14"/>
        <v>9.4663513150832011E-4</v>
      </c>
      <c r="K42" s="9">
        <f t="shared" si="15"/>
        <v>9.8966400112233477E-4</v>
      </c>
      <c r="L42" s="9">
        <f t="shared" si="16"/>
        <v>1.0367908583186363E-3</v>
      </c>
      <c r="M42" s="11">
        <f>Table257111315252333353739414549515359121416[[#This Row],[Thresh]]</f>
        <v>9.8966400112233477E-4</v>
      </c>
      <c r="N42" s="9">
        <f>Table257111315252333353739414549515359121416[[#This Row],[T (400)]]*2</f>
        <v>1.9793280022446695E-3</v>
      </c>
      <c r="O42" s="24">
        <f>Table257111315252333353739414549515359121416[[#This Row],[R]]</f>
        <v>7.8124999999999993E-4</v>
      </c>
      <c r="P42" s="9"/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66</v>
      </c>
      <c r="B43" s="9">
        <v>1.1226851851851854E-2</v>
      </c>
      <c r="C43" s="9">
        <v>3.1249999999999997E-3</v>
      </c>
      <c r="D43" s="9">
        <f t="shared" si="9"/>
        <v>6.5317824074074089E-3</v>
      </c>
      <c r="E43" s="10">
        <v>0.58179999999999998</v>
      </c>
      <c r="F43" s="9">
        <f t="shared" si="10"/>
        <v>7.8124999999999993E-4</v>
      </c>
      <c r="G43" s="9">
        <f t="shared" si="11"/>
        <v>8.7090432098765457E-4</v>
      </c>
      <c r="H43" s="9">
        <f t="shared" si="12"/>
        <v>8.9814814814814835E-4</v>
      </c>
      <c r="I43" s="9">
        <f t="shared" si="13"/>
        <v>9.3645625912651019E-4</v>
      </c>
      <c r="J43" s="9">
        <f t="shared" si="14"/>
        <v>9.4663513150832011E-4</v>
      </c>
      <c r="K43" s="9">
        <f t="shared" si="15"/>
        <v>9.8966400112233477E-4</v>
      </c>
      <c r="L43" s="9">
        <f t="shared" si="16"/>
        <v>1.0367908583186363E-3</v>
      </c>
      <c r="M43" s="11">
        <f>Table257111315252333353739414549515359121416[[#This Row],[Thresh]]</f>
        <v>9.8966400112233477E-4</v>
      </c>
      <c r="N43" s="9">
        <f>Table257111315252333353739414549515359121416[[#This Row],[T (400)]]*2</f>
        <v>1.9793280022446695E-3</v>
      </c>
      <c r="O43" s="24">
        <f>Table257111315252333353739414549515359121416[[#This Row],[R]]</f>
        <v>7.8124999999999993E-4</v>
      </c>
      <c r="P43" s="9"/>
      <c r="Q43" s="24"/>
      <c r="R43" s="9"/>
      <c r="S43" s="12"/>
      <c r="V43" s="23" t="s">
        <v>24</v>
      </c>
      <c r="W43" s="104" t="s">
        <v>286</v>
      </c>
    </row>
    <row r="44" spans="1:23" ht="17.149999999999999" customHeight="1" x14ac:dyDescent="0.35">
      <c r="A44" s="8" t="s">
        <v>113</v>
      </c>
      <c r="B44" s="9">
        <v>1.1574074074074075E-2</v>
      </c>
      <c r="C44" s="9">
        <v>3.2986111111111111E-3</v>
      </c>
      <c r="D44" s="9">
        <f t="shared" si="9"/>
        <v>6.7337962962962968E-3</v>
      </c>
      <c r="E44" s="10">
        <v>0.58179999999999998</v>
      </c>
      <c r="F44" s="9">
        <f t="shared" si="10"/>
        <v>8.2465277777777778E-4</v>
      </c>
      <c r="G44" s="9">
        <f t="shared" si="11"/>
        <v>8.9783950617283953E-4</v>
      </c>
      <c r="H44" s="9">
        <f t="shared" si="12"/>
        <v>9.2592592592592596E-4</v>
      </c>
      <c r="I44" s="9">
        <f t="shared" si="13"/>
        <v>9.6541882384176294E-4</v>
      </c>
      <c r="J44" s="9">
        <f t="shared" si="14"/>
        <v>9.759125067096082E-4</v>
      </c>
      <c r="K44" s="9">
        <f t="shared" si="15"/>
        <v>1.0202721661054994E-3</v>
      </c>
      <c r="L44" s="9">
        <f t="shared" si="16"/>
        <v>1.0688565549676662E-3</v>
      </c>
      <c r="M44" s="11"/>
      <c r="N44" s="9"/>
      <c r="O44" s="24"/>
      <c r="P44" s="9"/>
      <c r="Q44" s="24"/>
      <c r="R44" s="9"/>
      <c r="S44" s="12"/>
      <c r="T44" s="25"/>
      <c r="V44" s="23" t="s">
        <v>53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0"/>
        <v>0</v>
      </c>
      <c r="G45" s="9">
        <f t="shared" si="11"/>
        <v>0</v>
      </c>
      <c r="H45" s="9">
        <f t="shared" si="12"/>
        <v>0</v>
      </c>
      <c r="I45" s="9">
        <f t="shared" si="13"/>
        <v>0</v>
      </c>
      <c r="J45" s="9">
        <f t="shared" si="14"/>
        <v>0</v>
      </c>
      <c r="K45" s="9">
        <f t="shared" si="15"/>
        <v>0</v>
      </c>
      <c r="L45" s="9">
        <f t="shared" si="16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0"/>
        <v>0</v>
      </c>
      <c r="G46" s="15">
        <f t="shared" si="11"/>
        <v>0</v>
      </c>
      <c r="H46" s="15">
        <f t="shared" si="12"/>
        <v>0</v>
      </c>
      <c r="I46" s="15">
        <f t="shared" si="13"/>
        <v>0</v>
      </c>
      <c r="J46" s="15">
        <f t="shared" si="14"/>
        <v>0</v>
      </c>
      <c r="K46" s="15">
        <f t="shared" si="15"/>
        <v>0</v>
      </c>
      <c r="L46" s="15">
        <f t="shared" si="16"/>
        <v>0</v>
      </c>
      <c r="M46" s="30" t="s">
        <v>12</v>
      </c>
      <c r="N46" s="15" t="s">
        <v>13</v>
      </c>
      <c r="O46" s="15" t="s">
        <v>27</v>
      </c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70</v>
      </c>
      <c r="B47" s="9">
        <v>9.780092592592592E-3</v>
      </c>
      <c r="C47" s="9">
        <v>2.8124999999999995E-3</v>
      </c>
      <c r="D47" s="9">
        <f t="shared" ref="D47:D62" si="17">B47*E47</f>
        <v>5.6900578703703696E-3</v>
      </c>
      <c r="E47" s="10">
        <v>0.58179999999999998</v>
      </c>
      <c r="F47" s="9">
        <f t="shared" si="10"/>
        <v>7.0312499999999987E-4</v>
      </c>
      <c r="G47" s="9">
        <f t="shared" si="11"/>
        <v>7.5867438271604926E-4</v>
      </c>
      <c r="H47" s="9">
        <f t="shared" si="12"/>
        <v>7.8240740740740734E-4</v>
      </c>
      <c r="I47" s="9">
        <f t="shared" si="13"/>
        <v>8.1577890614628948E-4</v>
      </c>
      <c r="J47" s="9">
        <f t="shared" si="14"/>
        <v>8.2464606816961877E-4</v>
      </c>
      <c r="K47" s="9">
        <f t="shared" si="15"/>
        <v>8.6212998035914683E-4</v>
      </c>
      <c r="L47" s="9">
        <f t="shared" si="16"/>
        <v>9.031837889476777E-4</v>
      </c>
      <c r="M47" s="11">
        <f>Table257111315252333353739414549515359121416[[#This Row],[Thresh]]</f>
        <v>8.6212998035914683E-4</v>
      </c>
      <c r="N47" s="9">
        <f>Table257111315252333353739414549515359121416[[#This Row],[T (400)]]*2</f>
        <v>1.7242599607182937E-3</v>
      </c>
      <c r="O47" s="24">
        <f>Table257111315252333353739414549515359121416[[#This Row],[R]]</f>
        <v>7.0312499999999987E-4</v>
      </c>
      <c r="P47" s="9"/>
      <c r="Q47" s="24"/>
      <c r="R47" s="9"/>
      <c r="S47" s="12"/>
      <c r="T47" s="25"/>
      <c r="V47" s="23" t="s">
        <v>30</v>
      </c>
      <c r="W47" s="104"/>
    </row>
    <row r="48" spans="1:23" ht="17.149999999999999" customHeight="1" x14ac:dyDescent="0.35">
      <c r="A48" s="8" t="s">
        <v>71</v>
      </c>
      <c r="B48" s="9">
        <v>1.0011574074074074E-2</v>
      </c>
      <c r="C48" s="9">
        <v>2.8935185185185188E-3</v>
      </c>
      <c r="D48" s="9">
        <f t="shared" si="17"/>
        <v>5.8247337962962957E-3</v>
      </c>
      <c r="E48" s="10">
        <v>0.58179999999999998</v>
      </c>
      <c r="F48" s="9">
        <f t="shared" si="10"/>
        <v>7.233796296296297E-4</v>
      </c>
      <c r="G48" s="9">
        <f t="shared" si="11"/>
        <v>7.7663117283950612E-4</v>
      </c>
      <c r="H48" s="9">
        <f t="shared" si="12"/>
        <v>8.0092592592592585E-4</v>
      </c>
      <c r="I48" s="9">
        <f t="shared" si="13"/>
        <v>8.3508728262312486E-4</v>
      </c>
      <c r="J48" s="9">
        <f t="shared" si="14"/>
        <v>8.4416431830381094E-4</v>
      </c>
      <c r="K48" s="9">
        <f t="shared" si="15"/>
        <v>8.825354236812569E-4</v>
      </c>
      <c r="L48" s="9">
        <f t="shared" si="16"/>
        <v>9.2456092004703113E-4</v>
      </c>
      <c r="M48" s="11">
        <f>Table257111315252333353739414549515359121416[[#This Row],[Thresh]]</f>
        <v>8.825354236812569E-4</v>
      </c>
      <c r="N48" s="9">
        <f>Table257111315252333353739414549515359121416[[#This Row],[T (400)]]*2</f>
        <v>1.7650708473625138E-3</v>
      </c>
      <c r="O48" s="24">
        <f>Table257111315252333353739414549515359121416[[#This Row],[R]]</f>
        <v>7.233796296296297E-4</v>
      </c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72</v>
      </c>
      <c r="B49" s="9">
        <v>1.0127314814814815E-2</v>
      </c>
      <c r="C49" s="9">
        <v>2.8935185185185188E-3</v>
      </c>
      <c r="D49" s="9">
        <f t="shared" si="17"/>
        <v>5.8920717592592592E-3</v>
      </c>
      <c r="E49" s="10">
        <v>0.58179999999999998</v>
      </c>
      <c r="F49" s="9">
        <f t="shared" si="10"/>
        <v>7.233796296296297E-4</v>
      </c>
      <c r="G49" s="9">
        <f t="shared" si="11"/>
        <v>7.8560956790123455E-4</v>
      </c>
      <c r="H49" s="9">
        <f t="shared" si="12"/>
        <v>8.1018518518518516E-4</v>
      </c>
      <c r="I49" s="9">
        <f t="shared" si="13"/>
        <v>8.4474147086154245E-4</v>
      </c>
      <c r="J49" s="9">
        <f t="shared" si="14"/>
        <v>8.5392344337090708E-4</v>
      </c>
      <c r="K49" s="9">
        <f t="shared" si="15"/>
        <v>8.9273814534231199E-4</v>
      </c>
      <c r="L49" s="9">
        <f t="shared" si="16"/>
        <v>9.3524948559670779E-4</v>
      </c>
      <c r="M49" s="11">
        <f>Table257111315252333353739414549515359121416[[#This Row],[Thresh]]</f>
        <v>8.9273814534231199E-4</v>
      </c>
      <c r="N49" s="9">
        <f>Table257111315252333353739414549515359121416[[#This Row],[T (400)]]*2</f>
        <v>1.785476290684624E-3</v>
      </c>
      <c r="O49" s="24">
        <f>Table257111315252333353739414549515359121416[[#This Row],[R]]</f>
        <v>7.233796296296297E-4</v>
      </c>
      <c r="P49" s="9"/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75</v>
      </c>
      <c r="B50" s="9">
        <v>1.087962962962963E-2</v>
      </c>
      <c r="C50" s="9">
        <v>2.9745370370370373E-3</v>
      </c>
      <c r="D50" s="9">
        <f>B50*E50</f>
        <v>6.3297685185185184E-3</v>
      </c>
      <c r="E50" s="10">
        <v>0.58179999999999998</v>
      </c>
      <c r="F50" s="9">
        <f>C50/4</f>
        <v>7.4363425925925931E-4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>
        <f>Table257111315252333353739414549515359121416[[#This Row],[Thresh]]</f>
        <v>9.5905583613916951E-4</v>
      </c>
      <c r="N50" s="9">
        <f>Table257111315252333353739414549515359121416[[#This Row],[T (400)]]*2</f>
        <v>1.918111672278339E-3</v>
      </c>
      <c r="O50" s="24">
        <f>Table257111315252333353739414549515359121416[[#This Row],[R]]</f>
        <v>7.4363425925925931E-4</v>
      </c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74</v>
      </c>
      <c r="B51" s="9">
        <v>1.0243055555555556E-2</v>
      </c>
      <c r="C51" s="9">
        <v>2.9745370370370373E-3</v>
      </c>
      <c r="D51" s="9">
        <f>B51*E51</f>
        <v>5.9594097222222218E-3</v>
      </c>
      <c r="E51" s="10">
        <v>0.58179999999999998</v>
      </c>
      <c r="F51" s="9">
        <f>C51/4</f>
        <v>7.4363425925925931E-4</v>
      </c>
      <c r="G51" s="9">
        <f>D51/7.5</f>
        <v>7.9458796296296287E-4</v>
      </c>
      <c r="H51" s="9">
        <f>B51/12.5</f>
        <v>8.1944444444444447E-4</v>
      </c>
      <c r="I51" s="9">
        <f>G51/0.93</f>
        <v>8.5439565909996003E-4</v>
      </c>
      <c r="J51" s="9">
        <f>G51/0.92</f>
        <v>8.636825684380031E-4</v>
      </c>
      <c r="K51" s="9">
        <f>G51/0.88</f>
        <v>9.0294086700336686E-4</v>
      </c>
      <c r="L51" s="9">
        <f>G51/0.84</f>
        <v>9.4593805114638445E-4</v>
      </c>
      <c r="M51" s="11">
        <f>Table257111315252333353739414549515359121416[[#This Row],[Thresh]]</f>
        <v>9.0294086700336686E-4</v>
      </c>
      <c r="N51" s="9">
        <f>Table257111315252333353739414549515359121416[[#This Row],[T (400)]]*2</f>
        <v>1.8058817340067337E-3</v>
      </c>
      <c r="O51" s="24">
        <f>Table257111315252333353739414549515359121416[[#This Row],[R]]</f>
        <v>7.4363425925925931E-4</v>
      </c>
      <c r="P51" s="9"/>
      <c r="Q51" s="24"/>
      <c r="R51" s="9"/>
      <c r="S51" s="12"/>
      <c r="T51" s="25"/>
      <c r="V51" s="23" t="s">
        <v>30</v>
      </c>
      <c r="W51" s="104"/>
    </row>
    <row r="52" spans="1:23" ht="17.149999999999999" customHeight="1" x14ac:dyDescent="0.35">
      <c r="A52" s="8" t="s">
        <v>82</v>
      </c>
      <c r="B52" s="9">
        <v>1.0763888888888891E-2</v>
      </c>
      <c r="C52" s="9">
        <v>3.0092592592592588E-3</v>
      </c>
      <c r="D52" s="9">
        <f t="shared" si="17"/>
        <v>6.2624305555555567E-3</v>
      </c>
      <c r="E52" s="10">
        <v>0.58179999999999998</v>
      </c>
      <c r="F52" s="9">
        <f t="shared" si="10"/>
        <v>7.5231481481481471E-4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Table257111315252333353739414549515359121416[[#This Row],[Thresh]]</f>
        <v>9.4885311447811464E-4</v>
      </c>
      <c r="N52" s="9">
        <f>Table257111315252333353739414549515359121416[[#This Row],[T (400)]]*2</f>
        <v>1.8977062289562293E-3</v>
      </c>
      <c r="O52" s="24">
        <f>Table257111315252333353739414549515359121416[[#This Row],[R]]</f>
        <v>7.5231481481481471E-4</v>
      </c>
      <c r="P52" s="9"/>
      <c r="Q52" s="24"/>
      <c r="R52" s="9"/>
      <c r="S52" s="12"/>
      <c r="T52" s="25"/>
      <c r="U52" s="28"/>
      <c r="V52" s="23" t="s">
        <v>30</v>
      </c>
      <c r="W52" s="104" t="s">
        <v>287</v>
      </c>
    </row>
    <row r="53" spans="1:23" ht="17.149999999999999" customHeight="1" x14ac:dyDescent="0.35">
      <c r="A53" s="8" t="s">
        <v>83</v>
      </c>
      <c r="B53" s="9">
        <v>1.0995370370370371E-2</v>
      </c>
      <c r="C53" s="9">
        <v>3.0092592592592588E-3</v>
      </c>
      <c r="D53" s="9">
        <f t="shared" si="17"/>
        <v>6.397106481481481E-3</v>
      </c>
      <c r="E53" s="10">
        <v>0.58179999999999998</v>
      </c>
      <c r="F53" s="9">
        <f t="shared" si="10"/>
        <v>7.5231481481481471E-4</v>
      </c>
      <c r="G53" s="9">
        <f t="shared" si="11"/>
        <v>8.5294753086419749E-4</v>
      </c>
      <c r="H53" s="9">
        <f t="shared" si="12"/>
        <v>8.7962962962962962E-4</v>
      </c>
      <c r="I53" s="9">
        <f t="shared" si="13"/>
        <v>9.171478826496747E-4</v>
      </c>
      <c r="J53" s="9">
        <f t="shared" si="14"/>
        <v>9.2711688137412762E-4</v>
      </c>
      <c r="K53" s="9">
        <f t="shared" si="15"/>
        <v>9.6925855780022438E-4</v>
      </c>
      <c r="L53" s="9">
        <f t="shared" si="16"/>
        <v>1.0154137272192828E-3</v>
      </c>
      <c r="M53" s="11">
        <f>Table257111315252333353739414549515359121416[[#This Row],[Thresh]]</f>
        <v>9.6925855780022438E-4</v>
      </c>
      <c r="N53" s="9">
        <f>Table257111315252333353739414549515359121416[[#This Row],[T (400)]]*2</f>
        <v>1.9385171156004488E-3</v>
      </c>
      <c r="O53" s="24">
        <f>Table257111315252333353739414549515359121416[[#This Row],[R]]</f>
        <v>7.5231481481481471E-4</v>
      </c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81</v>
      </c>
      <c r="B54" s="9">
        <v>1.0763888888888891E-2</v>
      </c>
      <c r="C54" s="9">
        <v>3.0671296296296297E-3</v>
      </c>
      <c r="D54" s="9">
        <f t="shared" si="17"/>
        <v>6.2624305555555567E-3</v>
      </c>
      <c r="E54" s="10">
        <v>0.58179999999999998</v>
      </c>
      <c r="F54" s="9">
        <f t="shared" si="10"/>
        <v>7.6678240740740743E-4</v>
      </c>
      <c r="G54" s="9">
        <f t="shared" si="11"/>
        <v>8.3499074074074085E-4</v>
      </c>
      <c r="H54" s="9">
        <f t="shared" si="12"/>
        <v>8.6111111111111121E-4</v>
      </c>
      <c r="I54" s="9">
        <f t="shared" si="13"/>
        <v>8.9783950617283953E-4</v>
      </c>
      <c r="J54" s="9">
        <f t="shared" si="14"/>
        <v>9.0759863123993567E-4</v>
      </c>
      <c r="K54" s="9">
        <f t="shared" si="15"/>
        <v>9.4885311447811464E-4</v>
      </c>
      <c r="L54" s="9">
        <f t="shared" si="16"/>
        <v>9.9403659611992969E-4</v>
      </c>
      <c r="M54" s="11">
        <f>Table257111315252333353739414549515359121416[[#This Row],[Thresh]]</f>
        <v>9.4885311447811464E-4</v>
      </c>
      <c r="N54" s="9">
        <f>Table257111315252333353739414549515359121416[[#This Row],[T (400)]]*2</f>
        <v>1.8977062289562293E-3</v>
      </c>
      <c r="O54" s="24">
        <f>Table257111315252333353739414549515359121416[[#This Row],[R]]</f>
        <v>7.6678240740740743E-4</v>
      </c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109</v>
      </c>
      <c r="B55" s="9">
        <v>1.087962962962963E-2</v>
      </c>
      <c r="C55" s="9">
        <v>3.0671296296296297E-3</v>
      </c>
      <c r="D55" s="9">
        <f t="shared" si="17"/>
        <v>6.3297685185185184E-3</v>
      </c>
      <c r="E55" s="10">
        <v>0.58179999999999998</v>
      </c>
      <c r="F55" s="9">
        <f t="shared" si="10"/>
        <v>7.6678240740740743E-4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Table257111315252333353739414549515359121416[[#This Row],[Thresh]]</f>
        <v>9.5905583613916951E-4</v>
      </c>
      <c r="N55" s="9">
        <f>Table257111315252333353739414549515359121416[[#This Row],[T (400)]]*2</f>
        <v>1.918111672278339E-3</v>
      </c>
      <c r="O55" s="24">
        <f>Table257111315252333353739414549515359121416[[#This Row],[R]]</f>
        <v>7.6678240740740743E-4</v>
      </c>
      <c r="P55" s="9"/>
      <c r="Q55" s="24"/>
      <c r="R55" s="9"/>
      <c r="S55" s="12"/>
      <c r="T55" s="25"/>
      <c r="V55" s="23" t="s">
        <v>30</v>
      </c>
      <c r="W55" s="104"/>
    </row>
    <row r="56" spans="1:23" ht="17.149999999999999" customHeight="1" x14ac:dyDescent="0.35">
      <c r="A56" s="8" t="s">
        <v>88</v>
      </c>
      <c r="B56" s="9">
        <v>1.0763888888888891E-2</v>
      </c>
      <c r="C56" s="9">
        <v>3.1249999999999997E-3</v>
      </c>
      <c r="D56" s="9">
        <f>B56*E56</f>
        <v>6.2624305555555567E-3</v>
      </c>
      <c r="E56" s="10">
        <v>0.58179999999999998</v>
      </c>
      <c r="F56" s="9">
        <f>C56/4</f>
        <v>7.8124999999999993E-4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Table257111315252333353739414549515359121416[[#This Row],[Thresh]]</f>
        <v>9.4885311447811464E-4</v>
      </c>
      <c r="N56" s="9">
        <f>Table257111315252333353739414549515359121416[[#This Row],[T (400)]]*2</f>
        <v>1.8977062289562293E-3</v>
      </c>
      <c r="O56" s="24">
        <f>Table257111315252333353739414549515359121416[[#This Row],[R]]</f>
        <v>7.8124999999999993E-4</v>
      </c>
      <c r="P56" s="9"/>
      <c r="Q56" s="24"/>
      <c r="R56" s="9"/>
      <c r="S56" s="12"/>
      <c r="V56" s="23" t="s">
        <v>30</v>
      </c>
      <c r="W56" s="104"/>
    </row>
    <row r="57" spans="1:23" ht="17.149999999999999" customHeight="1" x14ac:dyDescent="0.35">
      <c r="A57" s="8" t="s">
        <v>90</v>
      </c>
      <c r="B57" s="9">
        <v>1.0995370370370371E-2</v>
      </c>
      <c r="C57" s="9">
        <v>3.1249999999999997E-3</v>
      </c>
      <c r="D57" s="9">
        <f t="shared" si="17"/>
        <v>6.397106481481481E-3</v>
      </c>
      <c r="E57" s="10">
        <v>0.58179999999999998</v>
      </c>
      <c r="F57" s="9">
        <f t="shared" si="10"/>
        <v>7.8124999999999993E-4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Table257111315252333353739414549515359121416[[#This Row],[Thresh]]</f>
        <v>9.6925855780022438E-4</v>
      </c>
      <c r="N57" s="9">
        <f>Table257111315252333353739414549515359121416[[#This Row],[T (400)]]*2</f>
        <v>1.9385171156004488E-3</v>
      </c>
      <c r="O57" s="24">
        <f>Table257111315252333353739414549515359121416[[#This Row],[R]]</f>
        <v>7.8124999999999993E-4</v>
      </c>
      <c r="P57" s="9"/>
      <c r="Q57" s="24"/>
      <c r="R57" s="9"/>
      <c r="S57" s="12"/>
      <c r="T57" s="25"/>
      <c r="U57" s="28"/>
      <c r="V57" s="23" t="s">
        <v>30</v>
      </c>
      <c r="W57" s="104"/>
    </row>
    <row r="58" spans="1:23" ht="17.149999999999999" customHeight="1" x14ac:dyDescent="0.35">
      <c r="A58" s="8" t="s">
        <v>86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Table257111315252333353739414549515359121416[[#This Row],[Thresh]]</f>
        <v>9.7946127946127947E-4</v>
      </c>
      <c r="N58" s="9">
        <f>Table257111315252333353739414549515359121416[[#This Row],[T (400)]]*2</f>
        <v>1.9589225589225589E-3</v>
      </c>
      <c r="O58" s="24">
        <f>Table257111315252333353739414549515359121416[[#This Row],[R]]</f>
        <v>7.8124999999999993E-4</v>
      </c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68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0"/>
        <v>8.1018518518518516E-4</v>
      </c>
      <c r="G59" s="9">
        <f t="shared" si="11"/>
        <v>8.7090432098765457E-4</v>
      </c>
      <c r="H59" s="9">
        <f t="shared" si="12"/>
        <v>8.9814814814814835E-4</v>
      </c>
      <c r="I59" s="9">
        <f t="shared" si="13"/>
        <v>9.3645625912651019E-4</v>
      </c>
      <c r="J59" s="9">
        <f t="shared" si="14"/>
        <v>9.4663513150832011E-4</v>
      </c>
      <c r="K59" s="9">
        <f t="shared" si="15"/>
        <v>9.8966400112233477E-4</v>
      </c>
      <c r="L59" s="9">
        <f t="shared" si="16"/>
        <v>1.0367908583186363E-3</v>
      </c>
      <c r="M59" s="11">
        <f>Table257111315252333353739414549515359121416[[#This Row],[Thresh]]</f>
        <v>9.8966400112233477E-4</v>
      </c>
      <c r="N59" s="9">
        <f>Table257111315252333353739414549515359121416[[#This Row],[T (400)]]*2</f>
        <v>1.9793280022446695E-3</v>
      </c>
      <c r="O59" s="24">
        <f>Table257111315252333353739414549515359121416[[#This Row],[R]]</f>
        <v>8.1018518518518516E-4</v>
      </c>
      <c r="P59" s="9"/>
      <c r="Q59" s="24"/>
      <c r="R59" s="9"/>
      <c r="S59" s="12"/>
      <c r="T59" s="25"/>
      <c r="V59" s="23" t="s">
        <v>30</v>
      </c>
      <c r="W59" s="104"/>
    </row>
    <row r="60" spans="1:23" ht="17.149999999999999" customHeight="1" x14ac:dyDescent="0.35">
      <c r="A60" s="8" t="s">
        <v>92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0"/>
        <v>8.1018518518518516E-4</v>
      </c>
      <c r="G60" s="9">
        <f t="shared" si="11"/>
        <v>8.888611111111111E-4</v>
      </c>
      <c r="H60" s="9">
        <f t="shared" si="12"/>
        <v>9.1666666666666676E-4</v>
      </c>
      <c r="I60" s="9">
        <f t="shared" si="13"/>
        <v>9.5576463560334524E-4</v>
      </c>
      <c r="J60" s="9">
        <f t="shared" si="14"/>
        <v>9.6615338164251206E-4</v>
      </c>
      <c r="K60" s="9">
        <f t="shared" si="15"/>
        <v>1.0100694444444445E-3</v>
      </c>
      <c r="L60" s="9">
        <f t="shared" si="16"/>
        <v>1.0581679894179894E-3</v>
      </c>
      <c r="M60" s="11">
        <f>Table257111315252333353739414549515359121416[[#This Row],[Thresh]]</f>
        <v>1.0100694444444445E-3</v>
      </c>
      <c r="N60" s="9">
        <f>Table257111315252333353739414549515359121416[[#This Row],[T (400)]]*2</f>
        <v>2.020138888888889E-3</v>
      </c>
      <c r="O60" s="24">
        <f>Table257111315252333353739414549515359121416[[#This Row],[R]]</f>
        <v>8.1018518518518516E-4</v>
      </c>
      <c r="P60" s="9"/>
      <c r="Q60" s="24"/>
      <c r="R60" s="9"/>
      <c r="S60" s="12"/>
      <c r="T60" s="25"/>
      <c r="V60" s="23" t="s">
        <v>30</v>
      </c>
      <c r="W60" s="104"/>
    </row>
    <row r="61" spans="1:23" ht="17.149999999999999" customHeight="1" x14ac:dyDescent="0.35">
      <c r="A61" s="8" t="s">
        <v>91</v>
      </c>
      <c r="B61" s="9">
        <v>1.1458333333333334E-2</v>
      </c>
      <c r="C61" s="9">
        <v>3.2986111111111111E-3</v>
      </c>
      <c r="D61" s="9">
        <f t="shared" si="17"/>
        <v>6.6664583333333333E-3</v>
      </c>
      <c r="E61" s="10">
        <v>0.58179999999999998</v>
      </c>
      <c r="F61" s="9">
        <f t="shared" si="10"/>
        <v>8.2465277777777778E-4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Table257111315252333353739414549515359121416[[#This Row],[Thresh]]</f>
        <v>1.0100694444444445E-3</v>
      </c>
      <c r="N61" s="9">
        <f>Table257111315252333353739414549515359121416[[#This Row],[T (400)]]*2</f>
        <v>2.020138888888889E-3</v>
      </c>
      <c r="O61" s="24">
        <f>Table257111315252333353739414549515359121416[[#This Row],[R]]</f>
        <v>8.2465277777777778E-4</v>
      </c>
      <c r="P61" s="9"/>
      <c r="Q61" s="24"/>
      <c r="R61" s="9"/>
      <c r="S61" s="12"/>
      <c r="V61" s="23" t="s">
        <v>30</v>
      </c>
      <c r="W61" s="104" t="s">
        <v>284</v>
      </c>
    </row>
    <row r="62" spans="1:23" ht="17.149999999999999" customHeight="1" x14ac:dyDescent="0.35">
      <c r="A62" s="8" t="s">
        <v>93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Table257111315252333353739414549515359121416[[#This Row],[Thresh]]</f>
        <v>1.0508803310886646E-3</v>
      </c>
      <c r="N62" s="9">
        <f>Table257111315252333353739414549515359121416[[#This Row],[T (400)]]*2</f>
        <v>2.1017606621773293E-3</v>
      </c>
      <c r="O62" s="24">
        <f>Table257111315252333353739414549515359121416[[#This Row],[R]]</f>
        <v>8.6805555555555551E-4</v>
      </c>
      <c r="P62" s="9"/>
      <c r="Q62" s="24"/>
      <c r="R62" s="9"/>
      <c r="S62" s="12"/>
      <c r="T62" s="25"/>
      <c r="V62" s="23" t="s">
        <v>30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278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200</v>
      </c>
      <c r="O67" s="15" t="s">
        <v>136</v>
      </c>
      <c r="P67" s="15" t="s">
        <v>137</v>
      </c>
      <c r="Q67" s="15" t="s">
        <v>139</v>
      </c>
      <c r="R67" s="15" t="s">
        <v>280</v>
      </c>
      <c r="S67" s="15" t="s">
        <v>209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97</v>
      </c>
      <c r="B68" s="9">
        <v>1.0011574074074074E-2</v>
      </c>
      <c r="C68" s="9">
        <v>3.1249999999999997E-3</v>
      </c>
      <c r="D68" s="9">
        <f t="shared" ref="D68:D91" si="18">B68*E68</f>
        <v>5.8247337962962957E-3</v>
      </c>
      <c r="E68" s="10">
        <v>0.58179999999999998</v>
      </c>
      <c r="F68" s="9">
        <f t="shared" ref="F68:F91" si="19">C68/4</f>
        <v>7.8124999999999993E-4</v>
      </c>
      <c r="G68" s="9">
        <f t="shared" ref="G68:G91" si="20">D68/7.5</f>
        <v>7.7663117283950612E-4</v>
      </c>
      <c r="H68" s="9">
        <f t="shared" ref="H68:H91" si="21">B68/12.5</f>
        <v>8.0092592592592585E-4</v>
      </c>
      <c r="I68" s="9">
        <f t="shared" ref="I68:I91" si="22">G68/0.93</f>
        <v>8.3508728262312486E-4</v>
      </c>
      <c r="J68" s="9">
        <f t="shared" ref="J68:J91" si="23">G68/0.92</f>
        <v>8.4416431830381094E-4</v>
      </c>
      <c r="K68" s="9">
        <f t="shared" ref="K68:K91" si="24">G68/0.88</f>
        <v>8.825354236812569E-4</v>
      </c>
      <c r="L68" s="9">
        <f t="shared" ref="L68:L91" si="25">G68/0.84</f>
        <v>9.2456092004703113E-4</v>
      </c>
      <c r="M68" s="11">
        <f>Table257111315252333353739414549515359121416[[#This Row],[Thresh]]</f>
        <v>8.825354236812569E-4</v>
      </c>
      <c r="N68" s="9">
        <f>Table257111315252333353739414549515359121416[[#This Row],[T (400)]]*4</f>
        <v>3.5301416947250276E-3</v>
      </c>
      <c r="O68" s="24">
        <f>Table257111315252333353739414549515359121416[[#This Row],[CV]]</f>
        <v>8.4416431830381094E-4</v>
      </c>
      <c r="P68" s="9">
        <f>Table257111315252333353739414549515359121416[[#This Row],[400 R]]*1.5</f>
        <v>1.2662464774557164E-3</v>
      </c>
      <c r="Q68" s="24">
        <f>Table257111315252333353739414549515359121416[[#This Row],[VO2]]</f>
        <v>7.7663117283950612E-4</v>
      </c>
      <c r="R68" s="9"/>
      <c r="S68" s="12"/>
      <c r="V68" s="23" t="s">
        <v>34</v>
      </c>
      <c r="W68" s="104"/>
    </row>
    <row r="69" spans="1:23" ht="17.149999999999999" customHeight="1" x14ac:dyDescent="0.35">
      <c r="A69" s="8" t="s">
        <v>96</v>
      </c>
      <c r="B69" s="9">
        <v>1.0011574074074074E-2</v>
      </c>
      <c r="C69" s="9">
        <v>2.9513888888888888E-3</v>
      </c>
      <c r="D69" s="9">
        <f t="shared" si="18"/>
        <v>5.8247337962962957E-3</v>
      </c>
      <c r="E69" s="10">
        <v>0.58179999999999998</v>
      </c>
      <c r="F69" s="9">
        <f t="shared" si="19"/>
        <v>7.378472222222222E-4</v>
      </c>
      <c r="G69" s="9">
        <f t="shared" si="20"/>
        <v>7.7663117283950612E-4</v>
      </c>
      <c r="H69" s="9">
        <f t="shared" si="21"/>
        <v>8.0092592592592585E-4</v>
      </c>
      <c r="I69" s="9">
        <f t="shared" si="22"/>
        <v>8.3508728262312486E-4</v>
      </c>
      <c r="J69" s="9">
        <f t="shared" si="23"/>
        <v>8.4416431830381094E-4</v>
      </c>
      <c r="K69" s="9">
        <f t="shared" si="24"/>
        <v>8.825354236812569E-4</v>
      </c>
      <c r="L69" s="9">
        <f t="shared" si="25"/>
        <v>9.2456092004703113E-4</v>
      </c>
      <c r="M69" s="11">
        <f>Table257111315252333353739414549515359121416[[#This Row],[Thresh]]</f>
        <v>8.825354236812569E-4</v>
      </c>
      <c r="N69" s="9">
        <f>Table257111315252333353739414549515359121416[[#This Row],[T (400)]]*4</f>
        <v>3.5301416947250276E-3</v>
      </c>
      <c r="O69" s="24">
        <f>Table257111315252333353739414549515359121416[[#This Row],[CV]]</f>
        <v>8.4416431830381094E-4</v>
      </c>
      <c r="P69" s="9">
        <f>Table257111315252333353739414549515359121416[[#This Row],[400 R]]*1.5</f>
        <v>1.2662464774557164E-3</v>
      </c>
      <c r="Q69" s="24">
        <f>Table257111315252333353739414549515359121416[[#This Row],[VO2]]</f>
        <v>7.7663117283950612E-4</v>
      </c>
      <c r="R69" s="9"/>
      <c r="S69" s="12"/>
      <c r="V69" s="23" t="s">
        <v>48</v>
      </c>
      <c r="W69" s="104"/>
    </row>
    <row r="70" spans="1:23" ht="17.149999999999999" customHeight="1" x14ac:dyDescent="0.35">
      <c r="A70" s="8" t="s">
        <v>73</v>
      </c>
      <c r="B70" s="9">
        <v>1.0011574074074074E-2</v>
      </c>
      <c r="C70" s="9">
        <v>2.9513888888888888E-3</v>
      </c>
      <c r="D70" s="9">
        <f t="shared" si="18"/>
        <v>5.8247337962962957E-3</v>
      </c>
      <c r="E70" s="10">
        <v>0.58179999999999998</v>
      </c>
      <c r="F70" s="9">
        <f t="shared" si="19"/>
        <v>7.378472222222222E-4</v>
      </c>
      <c r="G70" s="9">
        <f t="shared" si="20"/>
        <v>7.7663117283950612E-4</v>
      </c>
      <c r="H70" s="9">
        <f t="shared" si="21"/>
        <v>8.0092592592592585E-4</v>
      </c>
      <c r="I70" s="9">
        <f t="shared" si="22"/>
        <v>8.3508728262312486E-4</v>
      </c>
      <c r="J70" s="9">
        <f t="shared" si="23"/>
        <v>8.4416431830381094E-4</v>
      </c>
      <c r="K70" s="9">
        <f t="shared" si="24"/>
        <v>8.825354236812569E-4</v>
      </c>
      <c r="L70" s="9">
        <f t="shared" si="25"/>
        <v>9.2456092004703113E-4</v>
      </c>
      <c r="M70" s="11">
        <f>Table257111315252333353739414549515359121416[[#This Row],[Thresh]]</f>
        <v>8.825354236812569E-4</v>
      </c>
      <c r="N70" s="9">
        <f>Table257111315252333353739414549515359121416[[#This Row],[T (400)]]*4</f>
        <v>3.5301416947250276E-3</v>
      </c>
      <c r="O70" s="24">
        <f>Table257111315252333353739414549515359121416[[#This Row],[CV]]</f>
        <v>8.4416431830381094E-4</v>
      </c>
      <c r="P70" s="9">
        <f>Table257111315252333353739414549515359121416[[#This Row],[400 R]]*1.5</f>
        <v>1.2662464774557164E-3</v>
      </c>
      <c r="Q70" s="24">
        <f>Table257111315252333353739414549515359121416[[#This Row],[VO2]]</f>
        <v>7.7663117283950612E-4</v>
      </c>
      <c r="R70" s="9"/>
      <c r="S70" s="12"/>
      <c r="V70" s="23" t="s">
        <v>34</v>
      </c>
      <c r="W70" s="104"/>
    </row>
    <row r="71" spans="1:23" ht="17.149999999999999" customHeight="1" x14ac:dyDescent="0.35">
      <c r="A71" s="8" t="s">
        <v>76</v>
      </c>
      <c r="B71" s="9">
        <v>1.0011574074074074E-2</v>
      </c>
      <c r="C71" s="9">
        <v>2.9513888888888888E-3</v>
      </c>
      <c r="D71" s="9">
        <f t="shared" si="18"/>
        <v>5.8247337962962957E-3</v>
      </c>
      <c r="E71" s="10">
        <v>0.58179999999999998</v>
      </c>
      <c r="F71" s="9">
        <f t="shared" si="19"/>
        <v>7.378472222222222E-4</v>
      </c>
      <c r="G71" s="9">
        <f t="shared" si="20"/>
        <v>7.7663117283950612E-4</v>
      </c>
      <c r="H71" s="9">
        <f t="shared" si="21"/>
        <v>8.0092592592592585E-4</v>
      </c>
      <c r="I71" s="9">
        <f t="shared" si="22"/>
        <v>8.3508728262312486E-4</v>
      </c>
      <c r="J71" s="9">
        <f t="shared" si="23"/>
        <v>8.4416431830381094E-4</v>
      </c>
      <c r="K71" s="9">
        <f t="shared" si="24"/>
        <v>8.825354236812569E-4</v>
      </c>
      <c r="L71" s="9">
        <f t="shared" si="25"/>
        <v>9.2456092004703113E-4</v>
      </c>
      <c r="M71" s="11">
        <f>Table257111315252333353739414549515359121416[[#This Row],[Thresh]]</f>
        <v>8.825354236812569E-4</v>
      </c>
      <c r="N71" s="9">
        <f>Table257111315252333353739414549515359121416[[#This Row],[T (400)]]*4</f>
        <v>3.5301416947250276E-3</v>
      </c>
      <c r="O71" s="24">
        <f>Table257111315252333353739414549515359121416[[#This Row],[CV]]</f>
        <v>8.4416431830381094E-4</v>
      </c>
      <c r="P71" s="9">
        <f>Table257111315252333353739414549515359121416[[#This Row],[400 R]]*1.5</f>
        <v>1.2662464774557164E-3</v>
      </c>
      <c r="Q71" s="24">
        <f>Table257111315252333353739414549515359121416[[#This Row],[VO2]]</f>
        <v>7.7663117283950612E-4</v>
      </c>
      <c r="R71" s="9"/>
      <c r="S71" s="12"/>
      <c r="V71" s="23" t="s">
        <v>34</v>
      </c>
      <c r="W71" s="104"/>
    </row>
    <row r="72" spans="1:23" ht="17.149999999999999" customHeight="1" x14ac:dyDescent="0.35">
      <c r="A72" s="8" t="s">
        <v>99</v>
      </c>
      <c r="B72" s="9">
        <v>1.0243055555555556E-2</v>
      </c>
      <c r="C72" s="9">
        <v>3.1249999999999997E-3</v>
      </c>
      <c r="D72" s="9">
        <f t="shared" si="18"/>
        <v>5.9594097222222218E-3</v>
      </c>
      <c r="E72" s="10">
        <v>0.58179999999999998</v>
      </c>
      <c r="F72" s="9">
        <f t="shared" si="19"/>
        <v>7.8124999999999993E-4</v>
      </c>
      <c r="G72" s="9">
        <f t="shared" si="20"/>
        <v>7.9458796296296287E-4</v>
      </c>
      <c r="H72" s="9">
        <f t="shared" si="21"/>
        <v>8.1944444444444447E-4</v>
      </c>
      <c r="I72" s="9">
        <f t="shared" si="22"/>
        <v>8.5439565909996003E-4</v>
      </c>
      <c r="J72" s="9">
        <f t="shared" si="23"/>
        <v>8.636825684380031E-4</v>
      </c>
      <c r="K72" s="9">
        <f t="shared" si="24"/>
        <v>9.0294086700336686E-4</v>
      </c>
      <c r="L72" s="9">
        <f t="shared" si="25"/>
        <v>9.4593805114638445E-4</v>
      </c>
      <c r="M72" s="11">
        <f>Table257111315252333353739414549515359121416[[#This Row],[Thresh]]</f>
        <v>9.0294086700336686E-4</v>
      </c>
      <c r="N72" s="9">
        <f>Table257111315252333353739414549515359121416[[#This Row],[T (400)]]*4</f>
        <v>3.6117634680134674E-3</v>
      </c>
      <c r="O72" s="24">
        <f>Table257111315252333353739414549515359121416[[#This Row],[CV]]</f>
        <v>8.636825684380031E-4</v>
      </c>
      <c r="P72" s="9">
        <f>Table257111315252333353739414549515359121416[[#This Row],[400 R]]*1.5</f>
        <v>1.2955238526570047E-3</v>
      </c>
      <c r="Q72" s="24">
        <f>Table257111315252333353739414549515359121416[[#This Row],[VO2]]</f>
        <v>7.9458796296296287E-4</v>
      </c>
      <c r="R72" s="9"/>
      <c r="S72" s="12"/>
      <c r="V72" s="23" t="s">
        <v>34</v>
      </c>
      <c r="W72" s="104"/>
    </row>
    <row r="73" spans="1:23" ht="17.149999999999999" customHeight="1" x14ac:dyDescent="0.35">
      <c r="A73" s="8" t="s">
        <v>98</v>
      </c>
      <c r="B73" s="9">
        <v>1.0243055555555556E-2</v>
      </c>
      <c r="C73" s="9">
        <v>3.0092592592592588E-3</v>
      </c>
      <c r="D73" s="9">
        <f t="shared" si="18"/>
        <v>5.9594097222222218E-3</v>
      </c>
      <c r="E73" s="10">
        <v>0.58179999999999998</v>
      </c>
      <c r="F73" s="9">
        <f t="shared" si="19"/>
        <v>7.5231481481481471E-4</v>
      </c>
      <c r="G73" s="9">
        <f t="shared" si="20"/>
        <v>7.9458796296296287E-4</v>
      </c>
      <c r="H73" s="9">
        <f t="shared" si="21"/>
        <v>8.1944444444444447E-4</v>
      </c>
      <c r="I73" s="9">
        <f t="shared" si="22"/>
        <v>8.5439565909996003E-4</v>
      </c>
      <c r="J73" s="9">
        <f t="shared" si="23"/>
        <v>8.636825684380031E-4</v>
      </c>
      <c r="K73" s="9">
        <f t="shared" si="24"/>
        <v>9.0294086700336686E-4</v>
      </c>
      <c r="L73" s="9">
        <f t="shared" si="25"/>
        <v>9.4593805114638445E-4</v>
      </c>
      <c r="M73" s="11">
        <f>Table257111315252333353739414549515359121416[[#This Row],[Thresh]]</f>
        <v>9.0294086700336686E-4</v>
      </c>
      <c r="N73" s="9">
        <f>Table257111315252333353739414549515359121416[[#This Row],[T (400)]]*4</f>
        <v>3.6117634680134674E-3</v>
      </c>
      <c r="O73" s="24">
        <f>Table257111315252333353739414549515359121416[[#This Row],[CV]]</f>
        <v>8.636825684380031E-4</v>
      </c>
      <c r="P73" s="9">
        <f>Table257111315252333353739414549515359121416[[#This Row],[400 R]]*1.5</f>
        <v>1.2955238526570047E-3</v>
      </c>
      <c r="Q73" s="24">
        <f>Table257111315252333353739414549515359121416[[#This Row],[VO2]]</f>
        <v>7.9458796296296287E-4</v>
      </c>
      <c r="R73" s="9"/>
      <c r="S73" s="12"/>
      <c r="V73" s="23" t="s">
        <v>48</v>
      </c>
      <c r="W73" s="104"/>
    </row>
    <row r="74" spans="1:23" ht="17.149999999999999" customHeight="1" x14ac:dyDescent="0.35">
      <c r="A74" s="8" t="s">
        <v>100</v>
      </c>
      <c r="B74" s="9">
        <v>1.0243055555555556E-2</v>
      </c>
      <c r="C74" s="9">
        <v>2.9513888888888888E-3</v>
      </c>
      <c r="D74" s="9">
        <f t="shared" si="18"/>
        <v>5.9594097222222218E-3</v>
      </c>
      <c r="E74" s="10">
        <v>0.58179999999999998</v>
      </c>
      <c r="F74" s="9">
        <f t="shared" si="19"/>
        <v>7.378472222222222E-4</v>
      </c>
      <c r="G74" s="9">
        <f t="shared" si="20"/>
        <v>7.9458796296296287E-4</v>
      </c>
      <c r="H74" s="9">
        <f t="shared" si="21"/>
        <v>8.1944444444444447E-4</v>
      </c>
      <c r="I74" s="9">
        <f t="shared" si="22"/>
        <v>8.5439565909996003E-4</v>
      </c>
      <c r="J74" s="9">
        <f t="shared" si="23"/>
        <v>8.636825684380031E-4</v>
      </c>
      <c r="K74" s="9">
        <f t="shared" si="24"/>
        <v>9.0294086700336686E-4</v>
      </c>
      <c r="L74" s="9">
        <f t="shared" si="25"/>
        <v>9.4593805114638445E-4</v>
      </c>
      <c r="M74" s="11">
        <f>Table257111315252333353739414549515359121416[[#This Row],[Thresh]]</f>
        <v>9.0294086700336686E-4</v>
      </c>
      <c r="N74" s="9">
        <f>Table257111315252333353739414549515359121416[[#This Row],[T (400)]]*4</f>
        <v>3.6117634680134674E-3</v>
      </c>
      <c r="O74" s="24">
        <f>Table257111315252333353739414549515359121416[[#This Row],[CV]]</f>
        <v>8.636825684380031E-4</v>
      </c>
      <c r="P74" s="9">
        <f>Table257111315252333353739414549515359121416[[#This Row],[400 R]]*1.5</f>
        <v>1.2955238526570047E-3</v>
      </c>
      <c r="Q74" s="24">
        <f>Table257111315252333353739414549515359121416[[#This Row],[VO2]]</f>
        <v>7.9458796296296287E-4</v>
      </c>
      <c r="R74" s="9"/>
      <c r="S74" s="12"/>
      <c r="V74" s="23" t="s">
        <v>48</v>
      </c>
      <c r="W74" s="104"/>
    </row>
    <row r="75" spans="1:23" ht="17.149999999999999" customHeight="1" x14ac:dyDescent="0.35">
      <c r="A75" s="8" t="s">
        <v>78</v>
      </c>
      <c r="B75" s="9">
        <v>1.0416666666666666E-2</v>
      </c>
      <c r="C75" s="9">
        <v>2.9513888888888888E-3</v>
      </c>
      <c r="D75" s="9">
        <f t="shared" si="18"/>
        <v>6.0604166666666662E-3</v>
      </c>
      <c r="E75" s="10">
        <v>0.58179999999999998</v>
      </c>
      <c r="F75" s="9">
        <f t="shared" si="19"/>
        <v>7.378472222222222E-4</v>
      </c>
      <c r="G75" s="9">
        <f t="shared" si="20"/>
        <v>8.0805555555555546E-4</v>
      </c>
      <c r="H75" s="9">
        <f t="shared" si="21"/>
        <v>8.3333333333333328E-4</v>
      </c>
      <c r="I75" s="9">
        <f t="shared" si="22"/>
        <v>8.6887694145758646E-4</v>
      </c>
      <c r="J75" s="9">
        <f t="shared" si="23"/>
        <v>8.7832125603864715E-4</v>
      </c>
      <c r="K75" s="9">
        <f t="shared" si="24"/>
        <v>9.1824494949494938E-4</v>
      </c>
      <c r="L75" s="9">
        <f t="shared" si="25"/>
        <v>9.6197089947089938E-4</v>
      </c>
      <c r="M75" s="11">
        <f>Table257111315252333353739414549515359121416[[#This Row],[Thresh]]</f>
        <v>9.1824494949494938E-4</v>
      </c>
      <c r="N75" s="9">
        <f>Table257111315252333353739414549515359121416[[#This Row],[T (400)]]*4</f>
        <v>3.6729797979797975E-3</v>
      </c>
      <c r="O75" s="24">
        <f>Table257111315252333353739414549515359121416[[#This Row],[CV]]</f>
        <v>8.7832125603864715E-4</v>
      </c>
      <c r="P75" s="9">
        <f>Table257111315252333353739414549515359121416[[#This Row],[400 R]]*1.5</f>
        <v>1.3174818840579706E-3</v>
      </c>
      <c r="Q75" s="24">
        <f>Table257111315252333353739414549515359121416[[#This Row],[VO2]]</f>
        <v>8.0805555555555546E-4</v>
      </c>
      <c r="R75" s="9"/>
      <c r="S75" s="12"/>
      <c r="V75" s="23" t="s">
        <v>34</v>
      </c>
      <c r="W75" s="104"/>
    </row>
    <row r="76" spans="1:23" ht="17.149999999999999" customHeight="1" x14ac:dyDescent="0.35">
      <c r="A76" s="8" t="s">
        <v>80</v>
      </c>
      <c r="B76" s="9">
        <v>1.0416666666666666E-2</v>
      </c>
      <c r="C76" s="9">
        <v>2.9513888888888888E-3</v>
      </c>
      <c r="D76" s="9">
        <f t="shared" si="18"/>
        <v>6.0604166666666662E-3</v>
      </c>
      <c r="E76" s="10">
        <v>0.58179999999999998</v>
      </c>
      <c r="F76" s="9">
        <f t="shared" si="19"/>
        <v>7.378472222222222E-4</v>
      </c>
      <c r="G76" s="9">
        <f t="shared" si="20"/>
        <v>8.0805555555555546E-4</v>
      </c>
      <c r="H76" s="9">
        <f t="shared" si="21"/>
        <v>8.3333333333333328E-4</v>
      </c>
      <c r="I76" s="9">
        <f t="shared" si="22"/>
        <v>8.6887694145758646E-4</v>
      </c>
      <c r="J76" s="9">
        <f t="shared" si="23"/>
        <v>8.7832125603864715E-4</v>
      </c>
      <c r="K76" s="9">
        <f t="shared" si="24"/>
        <v>9.1824494949494938E-4</v>
      </c>
      <c r="L76" s="9">
        <f t="shared" si="25"/>
        <v>9.6197089947089938E-4</v>
      </c>
      <c r="M76" s="11">
        <f>Table257111315252333353739414549515359121416[[#This Row],[Thresh]]</f>
        <v>9.1824494949494938E-4</v>
      </c>
      <c r="N76" s="9">
        <f>Table257111315252333353739414549515359121416[[#This Row],[T (400)]]*4</f>
        <v>3.6729797979797975E-3</v>
      </c>
      <c r="O76" s="24">
        <f>Table257111315252333353739414549515359121416[[#This Row],[CV]]</f>
        <v>8.7832125603864715E-4</v>
      </c>
      <c r="P76" s="9">
        <f>Table257111315252333353739414549515359121416[[#This Row],[400 R]]*1.5</f>
        <v>1.3174818840579706E-3</v>
      </c>
      <c r="Q76" s="24">
        <f>Table257111315252333353739414549515359121416[[#This Row],[VO2]]</f>
        <v>8.0805555555555546E-4</v>
      </c>
      <c r="R76" s="9"/>
      <c r="S76" s="12"/>
      <c r="U76" s="28"/>
      <c r="V76" s="23" t="s">
        <v>34</v>
      </c>
      <c r="W76" s="111"/>
    </row>
    <row r="77" spans="1:23" ht="17.149999999999999" customHeight="1" x14ac:dyDescent="0.35">
      <c r="A77" s="8" t="s">
        <v>101</v>
      </c>
      <c r="B77" s="9">
        <v>1.0416666666666666E-2</v>
      </c>
      <c r="C77" s="9">
        <v>3.0092592592592588E-3</v>
      </c>
      <c r="D77" s="9">
        <f>B77*E77</f>
        <v>6.0604166666666662E-3</v>
      </c>
      <c r="E77" s="10">
        <v>0.58179999999999998</v>
      </c>
      <c r="F77" s="9">
        <f>C77/4</f>
        <v>7.5231481481481471E-4</v>
      </c>
      <c r="G77" s="9">
        <f>D77/7.5</f>
        <v>8.0805555555555546E-4</v>
      </c>
      <c r="H77" s="9">
        <f>B77/12.5</f>
        <v>8.3333333333333328E-4</v>
      </c>
      <c r="I77" s="9">
        <f>G77/0.93</f>
        <v>8.6887694145758646E-4</v>
      </c>
      <c r="J77" s="9">
        <f>G77/0.92</f>
        <v>8.7832125603864715E-4</v>
      </c>
      <c r="K77" s="9">
        <f>G77/0.88</f>
        <v>9.1824494949494938E-4</v>
      </c>
      <c r="L77" s="9">
        <f>G77/0.84</f>
        <v>9.6197089947089938E-4</v>
      </c>
      <c r="M77" s="11">
        <f>Table257111315252333353739414549515359121416[[#This Row],[Thresh]]</f>
        <v>9.1824494949494938E-4</v>
      </c>
      <c r="N77" s="9">
        <f>Table257111315252333353739414549515359121416[[#This Row],[T (400)]]*4</f>
        <v>3.6729797979797975E-3</v>
      </c>
      <c r="O77" s="24">
        <f>Table257111315252333353739414549515359121416[[#This Row],[CV]]</f>
        <v>8.7832125603864715E-4</v>
      </c>
      <c r="P77" s="9">
        <f>Table257111315252333353739414549515359121416[[#This Row],[400 R]]*1.5</f>
        <v>1.3174818840579706E-3</v>
      </c>
      <c r="Q77" s="24">
        <f>Table257111315252333353739414549515359121416[[#This Row],[VO2]]</f>
        <v>8.0805555555555546E-4</v>
      </c>
      <c r="R77" s="9"/>
      <c r="S77" s="12"/>
      <c r="V77" s="23" t="s">
        <v>34</v>
      </c>
      <c r="W77" s="111"/>
    </row>
    <row r="78" spans="1:23" ht="17.149999999999999" customHeight="1" x14ac:dyDescent="0.35">
      <c r="A78" s="8" t="s">
        <v>77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Table257111315252333353739414549515359121416[[#This Row],[Thresh]]</f>
        <v>9.3865039281705955E-4</v>
      </c>
      <c r="N78" s="9">
        <f>Table257111315252333353739414549515359121416[[#This Row],[T (400)]]*4</f>
        <v>3.7546015712682382E-3</v>
      </c>
      <c r="O78" s="24">
        <f>Table257111315252333353739414549515359121416[[#This Row],[CV]]</f>
        <v>8.9783950617283953E-4</v>
      </c>
      <c r="P78" s="9">
        <f>Table257111315252333353739414549515359121416[[#This Row],[400 R]]*1.5</f>
        <v>1.3467592592592594E-3</v>
      </c>
      <c r="Q78" s="24">
        <f>Table257111315252333353739414549515359121416[[#This Row],[VO2]]</f>
        <v>8.2601234567901242E-4</v>
      </c>
      <c r="R78" s="9"/>
      <c r="S78" s="12"/>
      <c r="V78" s="23" t="s">
        <v>34</v>
      </c>
      <c r="W78" s="111"/>
    </row>
    <row r="79" spans="1:23" ht="17.149999999999999" customHeight="1" x14ac:dyDescent="0.35">
      <c r="A79" s="8" t="s">
        <v>106</v>
      </c>
      <c r="B79" s="9">
        <v>1.064814814814815E-2</v>
      </c>
      <c r="C79" s="9">
        <v>3.1249999999999997E-3</v>
      </c>
      <c r="D79" s="9">
        <f t="shared" si="18"/>
        <v>6.1950925925925932E-3</v>
      </c>
      <c r="E79" s="10">
        <v>0.58179999999999998</v>
      </c>
      <c r="F79" s="9">
        <f t="shared" si="19"/>
        <v>7.8124999999999993E-4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Table257111315252333353739414549515359121416[[#This Row],[Thresh]]</f>
        <v>9.3865039281705955E-4</v>
      </c>
      <c r="N79" s="9">
        <f>Table257111315252333353739414549515359121416[[#This Row],[T (400)]]*4</f>
        <v>3.7546015712682382E-3</v>
      </c>
      <c r="O79" s="24">
        <f>Table257111315252333353739414549515359121416[[#This Row],[CV]]</f>
        <v>8.9783950617283953E-4</v>
      </c>
      <c r="P79" s="9">
        <f>Table257111315252333353739414549515359121416[[#This Row],[400 R]]*1.5</f>
        <v>1.3467592592592594E-3</v>
      </c>
      <c r="Q79" s="24">
        <f>Table257111315252333353739414549515359121416[[#This Row],[VO2]]</f>
        <v>8.2601234567901242E-4</v>
      </c>
      <c r="R79" s="9"/>
      <c r="S79" s="12"/>
      <c r="V79" s="23" t="s">
        <v>48</v>
      </c>
      <c r="W79" s="111"/>
    </row>
    <row r="80" spans="1:23" ht="17.149999999999999" customHeight="1" x14ac:dyDescent="0.35">
      <c r="A80" s="8" t="s">
        <v>103</v>
      </c>
      <c r="B80" s="9">
        <v>1.064814814814815E-2</v>
      </c>
      <c r="C80" s="9">
        <v>3.0671296296296297E-3</v>
      </c>
      <c r="D80" s="9">
        <f t="shared" si="18"/>
        <v>6.1950925925925932E-3</v>
      </c>
      <c r="E80" s="10">
        <v>0.58179999999999998</v>
      </c>
      <c r="F80" s="9">
        <f t="shared" si="19"/>
        <v>7.6678240740740743E-4</v>
      </c>
      <c r="G80" s="9">
        <f t="shared" si="20"/>
        <v>8.2601234567901242E-4</v>
      </c>
      <c r="H80" s="9">
        <f t="shared" si="21"/>
        <v>8.5185185185185201E-4</v>
      </c>
      <c r="I80" s="9">
        <f t="shared" si="22"/>
        <v>8.8818531793442195E-4</v>
      </c>
      <c r="J80" s="9">
        <f t="shared" si="23"/>
        <v>8.9783950617283953E-4</v>
      </c>
      <c r="K80" s="9">
        <f t="shared" si="24"/>
        <v>9.3865039281705955E-4</v>
      </c>
      <c r="L80" s="9">
        <f t="shared" si="25"/>
        <v>9.8334803057025292E-4</v>
      </c>
      <c r="M80" s="11">
        <f>Table257111315252333353739414549515359121416[[#This Row],[Thresh]]</f>
        <v>9.3865039281705955E-4</v>
      </c>
      <c r="N80" s="9">
        <f>Table257111315252333353739414549515359121416[[#This Row],[T (400)]]*4</f>
        <v>3.7546015712682382E-3</v>
      </c>
      <c r="O80" s="24">
        <f>Table257111315252333353739414549515359121416[[#This Row],[CV]]</f>
        <v>8.9783950617283953E-4</v>
      </c>
      <c r="P80" s="9">
        <f>Table257111315252333353739414549515359121416[[#This Row],[400 R]]*1.5</f>
        <v>1.3467592592592594E-3</v>
      </c>
      <c r="Q80" s="24">
        <f>Table257111315252333353739414549515359121416[[#This Row],[VO2]]</f>
        <v>8.2601234567901242E-4</v>
      </c>
      <c r="R80" s="9"/>
      <c r="S80" s="12"/>
      <c r="U80" s="26"/>
      <c r="V80" s="23" t="s">
        <v>48</v>
      </c>
      <c r="W80" s="111"/>
    </row>
    <row r="81" spans="1:23" ht="17.149999999999999" customHeight="1" x14ac:dyDescent="0.35">
      <c r="A81" s="8" t="s">
        <v>105</v>
      </c>
      <c r="B81" s="9">
        <v>1.064814814814815E-2</v>
      </c>
      <c r="C81" s="9">
        <v>3.1249999999999997E-3</v>
      </c>
      <c r="D81" s="9">
        <f t="shared" si="18"/>
        <v>6.1950925925925932E-3</v>
      </c>
      <c r="E81" s="10">
        <v>0.58179999999999998</v>
      </c>
      <c r="F81" s="9">
        <f t="shared" si="19"/>
        <v>7.8124999999999993E-4</v>
      </c>
      <c r="G81" s="9">
        <f t="shared" si="20"/>
        <v>8.2601234567901242E-4</v>
      </c>
      <c r="H81" s="9">
        <f t="shared" si="21"/>
        <v>8.5185185185185201E-4</v>
      </c>
      <c r="I81" s="9">
        <f t="shared" si="22"/>
        <v>8.8818531793442195E-4</v>
      </c>
      <c r="J81" s="9">
        <f t="shared" si="23"/>
        <v>8.9783950617283953E-4</v>
      </c>
      <c r="K81" s="9">
        <f t="shared" si="24"/>
        <v>9.3865039281705955E-4</v>
      </c>
      <c r="L81" s="9">
        <f t="shared" si="25"/>
        <v>9.8334803057025292E-4</v>
      </c>
      <c r="M81" s="11">
        <f>Table257111315252333353739414549515359121416[[#This Row],[Thresh]]</f>
        <v>9.3865039281705955E-4</v>
      </c>
      <c r="N81" s="9">
        <f>Table257111315252333353739414549515359121416[[#This Row],[T (400)]]*4</f>
        <v>3.7546015712682382E-3</v>
      </c>
      <c r="O81" s="24">
        <f>Table257111315252333353739414549515359121416[[#This Row],[CV]]</f>
        <v>8.9783950617283953E-4</v>
      </c>
      <c r="P81" s="9">
        <f>Table257111315252333353739414549515359121416[[#This Row],[400 R]]*1.5</f>
        <v>1.3467592592592594E-3</v>
      </c>
      <c r="Q81" s="24">
        <f>Table257111315252333353739414549515359121416[[#This Row],[VO2]]</f>
        <v>8.2601234567901242E-4</v>
      </c>
      <c r="R81" s="9"/>
      <c r="S81" s="12"/>
      <c r="V81" s="23" t="s">
        <v>48</v>
      </c>
      <c r="W81" s="111"/>
    </row>
    <row r="82" spans="1:23" ht="17.149999999999999" customHeight="1" x14ac:dyDescent="0.35">
      <c r="A82" s="8" t="s">
        <v>104</v>
      </c>
      <c r="B82" s="9">
        <v>1.064814814814815E-2</v>
      </c>
      <c r="C82" s="9">
        <v>3.1828703703703702E-3</v>
      </c>
      <c r="D82" s="9">
        <f t="shared" si="18"/>
        <v>6.1950925925925932E-3</v>
      </c>
      <c r="E82" s="10">
        <v>0.58179999999999998</v>
      </c>
      <c r="F82" s="9">
        <f t="shared" si="19"/>
        <v>7.9571759259259255E-4</v>
      </c>
      <c r="G82" s="9">
        <f t="shared" si="20"/>
        <v>8.2601234567901242E-4</v>
      </c>
      <c r="H82" s="9">
        <f t="shared" si="21"/>
        <v>8.5185185185185201E-4</v>
      </c>
      <c r="I82" s="9">
        <f t="shared" si="22"/>
        <v>8.8818531793442195E-4</v>
      </c>
      <c r="J82" s="9">
        <f t="shared" si="23"/>
        <v>8.9783950617283953E-4</v>
      </c>
      <c r="K82" s="9">
        <f t="shared" si="24"/>
        <v>9.3865039281705955E-4</v>
      </c>
      <c r="L82" s="9">
        <f t="shared" si="25"/>
        <v>9.8334803057025292E-4</v>
      </c>
      <c r="M82" s="11">
        <f>Table257111315252333353739414549515359121416[[#This Row],[Thresh]]</f>
        <v>9.3865039281705955E-4</v>
      </c>
      <c r="N82" s="9">
        <f>Table257111315252333353739414549515359121416[[#This Row],[T (400)]]*4</f>
        <v>3.7546015712682382E-3</v>
      </c>
      <c r="O82" s="24">
        <f>Table257111315252333353739414549515359121416[[#This Row],[CV]]</f>
        <v>8.9783950617283953E-4</v>
      </c>
      <c r="P82" s="9">
        <f>Table257111315252333353739414549515359121416[[#This Row],[400 R]]*1.5</f>
        <v>1.3467592592592594E-3</v>
      </c>
      <c r="Q82" s="24">
        <f>Table257111315252333353739414549515359121416[[#This Row],[VO2]]</f>
        <v>8.2601234567901242E-4</v>
      </c>
      <c r="R82" s="9"/>
      <c r="S82" s="12"/>
      <c r="V82" s="23" t="s">
        <v>48</v>
      </c>
      <c r="W82" s="111"/>
    </row>
    <row r="83" spans="1:23" ht="17.149999999999999" customHeight="1" x14ac:dyDescent="0.35">
      <c r="A83" s="8" t="s">
        <v>102</v>
      </c>
      <c r="B83" s="9">
        <v>1.064814814814815E-2</v>
      </c>
      <c r="C83" s="9">
        <v>3.1249999999999997E-3</v>
      </c>
      <c r="D83" s="9">
        <f t="shared" si="18"/>
        <v>6.1950925925925932E-3</v>
      </c>
      <c r="E83" s="10">
        <v>0.58179999999999998</v>
      </c>
      <c r="F83" s="9">
        <f t="shared" si="19"/>
        <v>7.8124999999999993E-4</v>
      </c>
      <c r="G83" s="9">
        <f t="shared" si="20"/>
        <v>8.2601234567901242E-4</v>
      </c>
      <c r="H83" s="9">
        <f t="shared" si="21"/>
        <v>8.5185185185185201E-4</v>
      </c>
      <c r="I83" s="9">
        <f t="shared" si="22"/>
        <v>8.8818531793442195E-4</v>
      </c>
      <c r="J83" s="9">
        <f t="shared" si="23"/>
        <v>8.9783950617283953E-4</v>
      </c>
      <c r="K83" s="9">
        <f t="shared" si="24"/>
        <v>9.3865039281705955E-4</v>
      </c>
      <c r="L83" s="9">
        <f t="shared" si="25"/>
        <v>9.8334803057025292E-4</v>
      </c>
      <c r="M83" s="11">
        <f>Table257111315252333353739414549515359121416[[#This Row],[Thresh]]</f>
        <v>9.3865039281705955E-4</v>
      </c>
      <c r="N83" s="9">
        <f>Table257111315252333353739414549515359121416[[#This Row],[T (400)]]*4</f>
        <v>3.7546015712682382E-3</v>
      </c>
      <c r="O83" s="24">
        <f>Table257111315252333353739414549515359121416[[#This Row],[CV]]</f>
        <v>8.9783950617283953E-4</v>
      </c>
      <c r="P83" s="9">
        <f>Table257111315252333353739414549515359121416[[#This Row],[400 R]]*1.5</f>
        <v>1.3467592592592594E-3</v>
      </c>
      <c r="Q83" s="24">
        <f>Table257111315252333353739414549515359121416[[#This Row],[VO2]]</f>
        <v>8.2601234567901242E-4</v>
      </c>
      <c r="R83" s="9"/>
      <c r="S83" s="12"/>
      <c r="V83" s="23" t="s">
        <v>48</v>
      </c>
      <c r="W83" s="111"/>
    </row>
    <row r="84" spans="1:23" ht="17.149999999999999" customHeight="1" x14ac:dyDescent="0.35">
      <c r="A84" s="8" t="s">
        <v>84</v>
      </c>
      <c r="B84" s="9">
        <v>1.064814814814815E-2</v>
      </c>
      <c r="C84" s="9">
        <v>3.0092592592592588E-3</v>
      </c>
      <c r="D84" s="9">
        <f>B84*E84</f>
        <v>6.1950925925925932E-3</v>
      </c>
      <c r="E84" s="10">
        <v>0.58179999999999998</v>
      </c>
      <c r="F84" s="9">
        <f>C84/4</f>
        <v>7.5231481481481471E-4</v>
      </c>
      <c r="G84" s="9">
        <f>D84/7.5</f>
        <v>8.2601234567901242E-4</v>
      </c>
      <c r="H84" s="9">
        <f>B84/12.5</f>
        <v>8.5185185185185201E-4</v>
      </c>
      <c r="I84" s="9">
        <f>G84/0.93</f>
        <v>8.8818531793442195E-4</v>
      </c>
      <c r="J84" s="9">
        <f>G84/0.92</f>
        <v>8.9783950617283953E-4</v>
      </c>
      <c r="K84" s="9">
        <f>G84/0.88</f>
        <v>9.3865039281705955E-4</v>
      </c>
      <c r="L84" s="9">
        <f>G84/0.84</f>
        <v>9.8334803057025292E-4</v>
      </c>
      <c r="M84" s="11">
        <f>Table257111315252333353739414549515359121416[[#This Row],[Thresh]]</f>
        <v>9.3865039281705955E-4</v>
      </c>
      <c r="N84" s="9">
        <f>Table257111315252333353739414549515359121416[[#This Row],[T (400)]]*4</f>
        <v>3.7546015712682382E-3</v>
      </c>
      <c r="O84" s="24">
        <f>Table257111315252333353739414549515359121416[[#This Row],[CV]]</f>
        <v>8.9783950617283953E-4</v>
      </c>
      <c r="P84" s="9">
        <f>Table257111315252333353739414549515359121416[[#This Row],[400 R]]*1.5</f>
        <v>1.3467592592592594E-3</v>
      </c>
      <c r="Q84" s="24">
        <f>Table257111315252333353739414549515359121416[[#This Row],[VO2]]</f>
        <v>8.2601234567901242E-4</v>
      </c>
      <c r="R84" s="9"/>
      <c r="S84" s="12"/>
      <c r="T84" s="25"/>
      <c r="V84" s="23" t="s">
        <v>34</v>
      </c>
      <c r="W84" s="111"/>
    </row>
    <row r="85" spans="1:23" ht="17.149999999999999" customHeight="1" x14ac:dyDescent="0.35">
      <c r="A85" s="8" t="s">
        <v>107</v>
      </c>
      <c r="B85" s="9">
        <v>1.0763888888888891E-2</v>
      </c>
      <c r="C85" s="9">
        <v>3.1828703703703702E-3</v>
      </c>
      <c r="D85" s="9">
        <f t="shared" si="18"/>
        <v>6.2624305555555567E-3</v>
      </c>
      <c r="E85" s="10">
        <v>0.58179999999999998</v>
      </c>
      <c r="F85" s="9">
        <f t="shared" si="19"/>
        <v>7.9571759259259255E-4</v>
      </c>
      <c r="G85" s="9">
        <f t="shared" si="20"/>
        <v>8.3499074074074085E-4</v>
      </c>
      <c r="H85" s="9">
        <f t="shared" si="21"/>
        <v>8.6111111111111121E-4</v>
      </c>
      <c r="I85" s="9">
        <f t="shared" si="22"/>
        <v>8.9783950617283953E-4</v>
      </c>
      <c r="J85" s="9">
        <f t="shared" si="23"/>
        <v>9.0759863123993567E-4</v>
      </c>
      <c r="K85" s="9">
        <f t="shared" si="24"/>
        <v>9.4885311447811464E-4</v>
      </c>
      <c r="L85" s="9">
        <f t="shared" si="25"/>
        <v>9.9403659611992969E-4</v>
      </c>
      <c r="M85" s="11">
        <f>Table257111315252333353739414549515359121416[[#This Row],[Thresh]]</f>
        <v>9.4885311447811464E-4</v>
      </c>
      <c r="N85" s="9">
        <f>Table257111315252333353739414549515359121416[[#This Row],[T (400)]]*4</f>
        <v>3.7954124579124586E-3</v>
      </c>
      <c r="O85" s="24">
        <f>Table257111315252333353739414549515359121416[[#This Row],[CV]]</f>
        <v>9.0759863123993567E-4</v>
      </c>
      <c r="P85" s="9">
        <f>Table257111315252333353739414549515359121416[[#This Row],[400 R]]*1.5</f>
        <v>1.3613979468599035E-3</v>
      </c>
      <c r="Q85" s="24">
        <f>Table257111315252333353739414549515359121416[[#This Row],[VO2]]</f>
        <v>8.3499074074074085E-4</v>
      </c>
      <c r="R85" s="9"/>
      <c r="S85" s="12"/>
      <c r="V85" s="23" t="s">
        <v>48</v>
      </c>
      <c r="W85" s="115"/>
    </row>
    <row r="86" spans="1:23" ht="17.149999999999999" customHeight="1" x14ac:dyDescent="0.35">
      <c r="A86" s="8" t="s">
        <v>87</v>
      </c>
      <c r="B86" s="9">
        <v>1.0763888888888891E-2</v>
      </c>
      <c r="C86" s="9">
        <v>3.1249999999999997E-3</v>
      </c>
      <c r="D86" s="9">
        <f t="shared" si="18"/>
        <v>6.2624305555555567E-3</v>
      </c>
      <c r="E86" s="10">
        <v>0.58179999999999998</v>
      </c>
      <c r="F86" s="9">
        <f t="shared" si="19"/>
        <v>7.8124999999999993E-4</v>
      </c>
      <c r="G86" s="9">
        <f t="shared" si="20"/>
        <v>8.3499074074074085E-4</v>
      </c>
      <c r="H86" s="9">
        <f t="shared" si="21"/>
        <v>8.6111111111111121E-4</v>
      </c>
      <c r="I86" s="9">
        <f t="shared" si="22"/>
        <v>8.9783950617283953E-4</v>
      </c>
      <c r="J86" s="9">
        <f t="shared" si="23"/>
        <v>9.0759863123993567E-4</v>
      </c>
      <c r="K86" s="9">
        <f t="shared" si="24"/>
        <v>9.4885311447811464E-4</v>
      </c>
      <c r="L86" s="9">
        <f t="shared" si="25"/>
        <v>9.9403659611992969E-4</v>
      </c>
      <c r="M86" s="11">
        <f>Table257111315252333353739414549515359121416[[#This Row],[Thresh]]</f>
        <v>9.4885311447811464E-4</v>
      </c>
      <c r="N86" s="9">
        <f>Table257111315252333353739414549515359121416[[#This Row],[T (400)]]*4</f>
        <v>3.7954124579124586E-3</v>
      </c>
      <c r="O86" s="24">
        <f>Table257111315252333353739414549515359121416[[#This Row],[CV]]</f>
        <v>9.0759863123993567E-4</v>
      </c>
      <c r="P86" s="9">
        <f>Table257111315252333353739414549515359121416[[#This Row],[400 R]]*1.5</f>
        <v>1.3613979468599035E-3</v>
      </c>
      <c r="Q86" s="24">
        <f>Table257111315252333353739414549515359121416[[#This Row],[VO2]]</f>
        <v>8.3499074074074085E-4</v>
      </c>
      <c r="R86" s="9"/>
      <c r="S86" s="12"/>
      <c r="V86" s="23" t="s">
        <v>34</v>
      </c>
      <c r="W86" s="115"/>
    </row>
    <row r="87" spans="1:23" ht="17.149999999999999" customHeight="1" x14ac:dyDescent="0.35">
      <c r="A87" s="8" t="s">
        <v>108</v>
      </c>
      <c r="B87" s="9">
        <v>1.0763888888888891E-2</v>
      </c>
      <c r="C87" s="9">
        <v>3.2986111111111111E-3</v>
      </c>
      <c r="D87" s="9">
        <f t="shared" si="18"/>
        <v>6.2624305555555567E-3</v>
      </c>
      <c r="E87" s="10">
        <v>0.58179999999999998</v>
      </c>
      <c r="F87" s="9">
        <f t="shared" si="19"/>
        <v>8.2465277777777778E-4</v>
      </c>
      <c r="G87" s="9">
        <f t="shared" si="20"/>
        <v>8.3499074074074085E-4</v>
      </c>
      <c r="H87" s="9">
        <f t="shared" si="21"/>
        <v>8.6111111111111121E-4</v>
      </c>
      <c r="I87" s="9">
        <f t="shared" si="22"/>
        <v>8.9783950617283953E-4</v>
      </c>
      <c r="J87" s="9">
        <f t="shared" si="23"/>
        <v>9.0759863123993567E-4</v>
      </c>
      <c r="K87" s="9">
        <f t="shared" si="24"/>
        <v>9.4885311447811464E-4</v>
      </c>
      <c r="L87" s="9">
        <f t="shared" si="25"/>
        <v>9.9403659611992969E-4</v>
      </c>
      <c r="M87" s="11">
        <f>Table257111315252333353739414549515359121416[[#This Row],[Thresh]]</f>
        <v>9.4885311447811464E-4</v>
      </c>
      <c r="N87" s="9">
        <f>Table257111315252333353739414549515359121416[[#This Row],[T (400)]]*4</f>
        <v>3.7954124579124586E-3</v>
      </c>
      <c r="O87" s="24">
        <f>Table257111315252333353739414549515359121416[[#This Row],[CV]]</f>
        <v>9.0759863123993567E-4</v>
      </c>
      <c r="P87" s="9">
        <f>Table257111315252333353739414549515359121416[[#This Row],[400 R]]*1.5</f>
        <v>1.3613979468599035E-3</v>
      </c>
      <c r="Q87" s="24">
        <f>Table257111315252333353739414549515359121416[[#This Row],[VO2]]</f>
        <v>8.3499074074074085E-4</v>
      </c>
      <c r="R87" s="9"/>
      <c r="S87" s="12"/>
      <c r="V87" s="23" t="s">
        <v>34</v>
      </c>
      <c r="W87" s="115"/>
    </row>
    <row r="88" spans="1:23" ht="17.149999999999999" customHeight="1" x14ac:dyDescent="0.35">
      <c r="A88" s="8" t="s">
        <v>111</v>
      </c>
      <c r="B88" s="9">
        <v>1.087962962962963E-2</v>
      </c>
      <c r="C88" s="9">
        <v>3.1828703703703702E-3</v>
      </c>
      <c r="D88" s="9">
        <f t="shared" si="18"/>
        <v>6.3297685185185184E-3</v>
      </c>
      <c r="E88" s="10">
        <v>0.58179999999999998</v>
      </c>
      <c r="F88" s="9">
        <f t="shared" si="19"/>
        <v>7.9571759259259255E-4</v>
      </c>
      <c r="G88" s="9">
        <f t="shared" si="20"/>
        <v>8.4396913580246917E-4</v>
      </c>
      <c r="H88" s="9">
        <f t="shared" si="21"/>
        <v>8.7037037037037042E-4</v>
      </c>
      <c r="I88" s="9">
        <f t="shared" si="22"/>
        <v>9.0749369441125711E-4</v>
      </c>
      <c r="J88" s="9">
        <f t="shared" si="23"/>
        <v>9.173577563070317E-4</v>
      </c>
      <c r="K88" s="9">
        <f t="shared" si="24"/>
        <v>9.5905583613916951E-4</v>
      </c>
      <c r="L88" s="9">
        <f t="shared" si="25"/>
        <v>1.0047251616696062E-3</v>
      </c>
      <c r="M88" s="11">
        <f>Table257111315252333353739414549515359121416[[#This Row],[Thresh]]</f>
        <v>9.5905583613916951E-4</v>
      </c>
      <c r="N88" s="9">
        <f>Table257111315252333353739414549515359121416[[#This Row],[T (400)]]*4</f>
        <v>3.836223344556678E-3</v>
      </c>
      <c r="O88" s="24">
        <f>Table257111315252333353739414549515359121416[[#This Row],[CV]]</f>
        <v>9.173577563070317E-4</v>
      </c>
      <c r="P88" s="9">
        <f>Table257111315252333353739414549515359121416[[#This Row],[400 R]]*1.5</f>
        <v>1.3760366344605477E-3</v>
      </c>
      <c r="Q88" s="24">
        <f>Table257111315252333353739414549515359121416[[#This Row],[VO2]]</f>
        <v>8.4396913580246917E-4</v>
      </c>
      <c r="R88" s="9"/>
      <c r="S88" s="12"/>
      <c r="V88" s="23" t="s">
        <v>48</v>
      </c>
      <c r="W88" s="115"/>
    </row>
    <row r="89" spans="1:23" ht="17.149999999999999" customHeight="1" x14ac:dyDescent="0.35">
      <c r="A89" s="8" t="s">
        <v>110</v>
      </c>
      <c r="B89" s="9">
        <v>1.087962962962963E-2</v>
      </c>
      <c r="C89" s="9">
        <v>3.1249999999999997E-3</v>
      </c>
      <c r="D89" s="9">
        <f>B89*E89</f>
        <v>6.3297685185185184E-3</v>
      </c>
      <c r="E89" s="10">
        <v>0.58179999999999998</v>
      </c>
      <c r="F89" s="9">
        <f>C89/4</f>
        <v>7.8124999999999993E-4</v>
      </c>
      <c r="G89" s="9">
        <f>D89/7.5</f>
        <v>8.4396913580246917E-4</v>
      </c>
      <c r="H89" s="9">
        <f>B89/12.5</f>
        <v>8.7037037037037042E-4</v>
      </c>
      <c r="I89" s="9">
        <f>G89/0.93</f>
        <v>9.0749369441125711E-4</v>
      </c>
      <c r="J89" s="9">
        <f>G89/0.92</f>
        <v>9.173577563070317E-4</v>
      </c>
      <c r="K89" s="9">
        <f>G89/0.88</f>
        <v>9.5905583613916951E-4</v>
      </c>
      <c r="L89" s="9">
        <f>G89/0.84</f>
        <v>1.0047251616696062E-3</v>
      </c>
      <c r="M89" s="11">
        <f>Table257111315252333353739414549515359121416[[#This Row],[Thresh]]</f>
        <v>9.5905583613916951E-4</v>
      </c>
      <c r="N89" s="9">
        <f>Table257111315252333353739414549515359121416[[#This Row],[T (400)]]*4</f>
        <v>3.836223344556678E-3</v>
      </c>
      <c r="O89" s="24">
        <f>Table257111315252333353739414549515359121416[[#This Row],[CV]]</f>
        <v>9.173577563070317E-4</v>
      </c>
      <c r="P89" s="9">
        <f>Table257111315252333353739414549515359121416[[#This Row],[400 R]]*1.5</f>
        <v>1.3760366344605477E-3</v>
      </c>
      <c r="Q89" s="24">
        <f>Table257111315252333353739414549515359121416[[#This Row],[VO2]]</f>
        <v>8.4396913580246917E-4</v>
      </c>
      <c r="R89" s="9"/>
      <c r="S89" s="12"/>
      <c r="T89" s="25"/>
      <c r="V89" s="23" t="s">
        <v>30</v>
      </c>
      <c r="W89" s="115"/>
    </row>
    <row r="90" spans="1:23" ht="17.149999999999999" customHeight="1" x14ac:dyDescent="0.35">
      <c r="A90" s="8" t="s">
        <v>94</v>
      </c>
      <c r="B90" s="9">
        <v>1.1574074074074075E-2</v>
      </c>
      <c r="C90" s="9">
        <v>3.5879629629629629E-3</v>
      </c>
      <c r="D90" s="9">
        <f t="shared" si="18"/>
        <v>6.7337962962962968E-3</v>
      </c>
      <c r="E90" s="10">
        <v>0.58179999999999998</v>
      </c>
      <c r="F90" s="9">
        <f t="shared" si="19"/>
        <v>8.9699074074074073E-4</v>
      </c>
      <c r="G90" s="9">
        <f t="shared" si="20"/>
        <v>8.9783950617283953E-4</v>
      </c>
      <c r="H90" s="9">
        <f t="shared" si="21"/>
        <v>9.2592592592592596E-4</v>
      </c>
      <c r="I90" s="9">
        <f t="shared" si="22"/>
        <v>9.6541882384176294E-4</v>
      </c>
      <c r="J90" s="9">
        <f t="shared" si="23"/>
        <v>9.759125067096082E-4</v>
      </c>
      <c r="K90" s="9">
        <f t="shared" si="24"/>
        <v>1.0202721661054994E-3</v>
      </c>
      <c r="L90" s="9">
        <f t="shared" si="25"/>
        <v>1.0688565549676662E-3</v>
      </c>
      <c r="M90" s="11">
        <f>Table257111315252333353739414549515359121416[[#This Row],[Thresh]]</f>
        <v>1.0202721661054994E-3</v>
      </c>
      <c r="N90" s="9">
        <f>Table257111315252333353739414549515359121416[[#This Row],[T (400)]]*4</f>
        <v>4.0810886644219975E-3</v>
      </c>
      <c r="O90" s="24">
        <f>Table257111315252333353739414549515359121416[[#This Row],[CV]]</f>
        <v>9.759125067096082E-4</v>
      </c>
      <c r="P90" s="9">
        <f>Table257111315252333353739414549515359121416[[#This Row],[400 R]]*1.5</f>
        <v>1.4638687600644123E-3</v>
      </c>
      <c r="Q90" s="24">
        <f>Table257111315252333353739414549515359121416[[#This Row],[VO2]]</f>
        <v>8.9783950617283953E-4</v>
      </c>
      <c r="R90" s="9"/>
      <c r="S90" s="12"/>
      <c r="V90" s="23" t="s">
        <v>48</v>
      </c>
      <c r="W90" s="115"/>
    </row>
    <row r="91" spans="1:23" ht="17.149999999999999" customHeight="1" x14ac:dyDescent="0.35">
      <c r="A91" s="8" t="s">
        <v>85</v>
      </c>
      <c r="B91" s="9">
        <v>1.0995370370370371E-2</v>
      </c>
      <c r="C91" s="9">
        <v>3.2986111111111111E-3</v>
      </c>
      <c r="D91" s="9">
        <f t="shared" si="18"/>
        <v>6.397106481481481E-3</v>
      </c>
      <c r="E91" s="10">
        <v>0.58179999999999998</v>
      </c>
      <c r="F91" s="9">
        <f t="shared" si="19"/>
        <v>8.2465277777777778E-4</v>
      </c>
      <c r="G91" s="9">
        <f t="shared" si="20"/>
        <v>8.5294753086419749E-4</v>
      </c>
      <c r="H91" s="9">
        <f t="shared" si="21"/>
        <v>8.7962962962962962E-4</v>
      </c>
      <c r="I91" s="9">
        <f t="shared" si="22"/>
        <v>9.171478826496747E-4</v>
      </c>
      <c r="J91" s="9">
        <f t="shared" si="23"/>
        <v>9.2711688137412762E-4</v>
      </c>
      <c r="K91" s="9">
        <f t="shared" si="24"/>
        <v>9.6925855780022438E-4</v>
      </c>
      <c r="L91" s="9">
        <f t="shared" si="25"/>
        <v>1.0154137272192828E-3</v>
      </c>
      <c r="M91" s="11"/>
      <c r="N91" s="9"/>
      <c r="O91" s="24"/>
      <c r="P91" s="9"/>
      <c r="Q91" s="24"/>
      <c r="R91" s="9"/>
      <c r="S91" s="12"/>
      <c r="V91" s="23" t="s">
        <v>53</v>
      </c>
      <c r="W91" s="115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49999999999999" customHeight="1" x14ac:dyDescent="0.35">
      <c r="A93" s="8"/>
      <c r="B93" s="9"/>
      <c r="C93" s="9"/>
      <c r="D93" s="9"/>
      <c r="E93" s="10">
        <v>0.58179999999999998</v>
      </c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topLeftCell="A28" workbookViewId="0">
      <selection activeCell="C28" sqref="C28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288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231</v>
      </c>
      <c r="O1" s="6" t="s">
        <v>139</v>
      </c>
      <c r="P1" s="6" t="s">
        <v>133</v>
      </c>
      <c r="Q1" s="6" t="s">
        <v>279</v>
      </c>
      <c r="R1" s="6" t="s">
        <v>280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289</v>
      </c>
    </row>
    <row r="2" spans="1:23" ht="17.149999999999999" customHeight="1" x14ac:dyDescent="0.35">
      <c r="A2" s="8" t="s">
        <v>49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48</v>
      </c>
      <c r="W2" s="104"/>
    </row>
    <row r="3" spans="1:23" ht="17.149999999999999" customHeight="1" x14ac:dyDescent="0.35">
      <c r="A3" s="8" t="s">
        <v>37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34</v>
      </c>
      <c r="W3" s="104"/>
    </row>
    <row r="4" spans="1:23" ht="17.149999999999999" customHeight="1" x14ac:dyDescent="0.35">
      <c r="A4" s="8" t="s">
        <v>38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34</v>
      </c>
      <c r="W4" s="104"/>
    </row>
    <row r="5" spans="1:23" ht="17.149999999999999" customHeight="1" x14ac:dyDescent="0.35">
      <c r="A5" s="8" t="s">
        <v>25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50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290</v>
      </c>
      <c r="R6" s="9"/>
      <c r="S6" s="12"/>
      <c r="T6" s="9"/>
      <c r="U6" s="9"/>
      <c r="V6" s="13" t="s">
        <v>34</v>
      </c>
      <c r="W6" s="104"/>
    </row>
    <row r="7" spans="1:23" ht="17.149999999999999" customHeight="1" x14ac:dyDescent="0.35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4"/>
    </row>
    <row r="8" spans="1:23" ht="17.149999999999999" customHeight="1" x14ac:dyDescent="0.35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104"/>
    </row>
    <row r="9" spans="1:23" ht="17.149999999999999" customHeight="1" x14ac:dyDescent="0.35">
      <c r="A9" s="8" t="s">
        <v>23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24</v>
      </c>
      <c r="W9" s="104"/>
    </row>
    <row r="10" spans="1:23" ht="17.149999999999999" customHeight="1" x14ac:dyDescent="0.35">
      <c r="A10" s="8" t="s">
        <v>32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30</v>
      </c>
      <c r="W10" s="104" t="s">
        <v>291</v>
      </c>
    </row>
    <row r="11" spans="1:23" ht="17.149999999999999" customHeight="1" x14ac:dyDescent="0.35">
      <c r="A11" s="8" t="s">
        <v>36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33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34</v>
      </c>
      <c r="W12" s="104"/>
    </row>
    <row r="13" spans="1:23" ht="17.149999999999999" customHeight="1" x14ac:dyDescent="0.35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104"/>
    </row>
    <row r="14" spans="1:23" ht="17.149999999999999" customHeight="1" x14ac:dyDescent="0.35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4"/>
    </row>
    <row r="15" spans="1:23" ht="17.149999999999999" customHeight="1" x14ac:dyDescent="0.35">
      <c r="A15" s="8" t="s">
        <v>31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28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104"/>
    </row>
    <row r="17" spans="1:23" ht="17.149999999999999" customHeight="1" x14ac:dyDescent="0.35">
      <c r="A17" s="8" t="s">
        <v>26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30</v>
      </c>
      <c r="W17" s="104"/>
    </row>
    <row r="18" spans="1:23" ht="17.149999999999999" customHeight="1" x14ac:dyDescent="0.35">
      <c r="A18" s="8" t="s">
        <v>40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30</v>
      </c>
      <c r="W18" s="104"/>
    </row>
    <row r="19" spans="1:23" ht="17.149999999999999" customHeight="1" x14ac:dyDescent="0.35">
      <c r="A19" s="8" t="s">
        <v>39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30</v>
      </c>
      <c r="W19" s="104" t="s">
        <v>292</v>
      </c>
    </row>
    <row r="20" spans="1:23" ht="17.149999999999999" customHeight="1" x14ac:dyDescent="0.35">
      <c r="A20" s="8" t="s">
        <v>43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30</v>
      </c>
      <c r="W20" s="104"/>
    </row>
    <row r="21" spans="1:23" ht="17.149999999999999" customHeight="1" x14ac:dyDescent="0.35">
      <c r="A21" s="8" t="s">
        <v>44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30</v>
      </c>
      <c r="W21" s="104"/>
    </row>
    <row r="22" spans="1:23" ht="17.149999999999999" customHeight="1" x14ac:dyDescent="0.35">
      <c r="A22" s="8" t="s">
        <v>55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48</v>
      </c>
      <c r="W22" s="104"/>
    </row>
    <row r="23" spans="1:23" ht="17.149999999999999" customHeight="1" x14ac:dyDescent="0.35">
      <c r="A23" s="8" t="s">
        <v>51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48</v>
      </c>
      <c r="W23" s="104"/>
    </row>
    <row r="24" spans="1:23" ht="17.149999999999999" customHeight="1" x14ac:dyDescent="0.35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4"/>
    </row>
    <row r="25" spans="1:23" ht="17.149999999999999" customHeight="1" x14ac:dyDescent="0.35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293</v>
      </c>
      <c r="N25" s="15"/>
      <c r="O25" s="15"/>
      <c r="P25" s="15"/>
      <c r="Q25" s="15"/>
      <c r="R25" s="15"/>
      <c r="S25" s="15"/>
      <c r="T25" s="15"/>
      <c r="U25" s="15"/>
      <c r="V25" s="17"/>
      <c r="W25" s="104"/>
    </row>
    <row r="26" spans="1:23" ht="17.149999999999999" customHeight="1" x14ac:dyDescent="0.35">
      <c r="A26" s="8" t="s">
        <v>124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34</v>
      </c>
      <c r="W26" s="104"/>
    </row>
    <row r="27" spans="1:23" ht="17.149999999999999" customHeight="1" x14ac:dyDescent="0.35">
      <c r="A27" s="8" t="s">
        <v>42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30</v>
      </c>
      <c r="W27" s="104"/>
    </row>
    <row r="28" spans="1:23" ht="17.149999999999999" customHeight="1" x14ac:dyDescent="0.35">
      <c r="A28" s="8" t="s">
        <v>41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30</v>
      </c>
      <c r="W28" s="104"/>
    </row>
    <row r="29" spans="1:23" ht="17.149999999999999" customHeight="1" x14ac:dyDescent="0.35">
      <c r="A29" s="8" t="s">
        <v>56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104"/>
    </row>
    <row r="30" spans="1:23" ht="17.149999999999999" customHeight="1" x14ac:dyDescent="0.35">
      <c r="A30" s="8" t="s">
        <v>52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30</v>
      </c>
      <c r="W30" s="104"/>
    </row>
    <row r="31" spans="1:23" ht="17.149999999999999" customHeight="1" x14ac:dyDescent="0.35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288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231</v>
      </c>
      <c r="O34" s="6" t="s">
        <v>139</v>
      </c>
      <c r="P34" s="6" t="s">
        <v>133</v>
      </c>
      <c r="Q34" s="6" t="s">
        <v>280</v>
      </c>
      <c r="R34" s="6" t="s">
        <v>209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294</v>
      </c>
    </row>
    <row r="35" spans="1:23" ht="17.149999999999999" customHeight="1" x14ac:dyDescent="0.35">
      <c r="A35" s="8" t="s">
        <v>99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34</v>
      </c>
      <c r="W35" s="104"/>
    </row>
    <row r="36" spans="1:23" ht="17.149999999999999" customHeight="1" x14ac:dyDescent="0.35">
      <c r="A36" s="8" t="s">
        <v>101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34</v>
      </c>
      <c r="W36" s="104"/>
    </row>
    <row r="37" spans="1:23" ht="17.149999999999999" customHeight="1" x14ac:dyDescent="0.35">
      <c r="A37" s="8" t="s">
        <v>106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48</v>
      </c>
      <c r="W37" s="104"/>
    </row>
    <row r="38" spans="1:23" ht="17.149999999999999" customHeight="1" x14ac:dyDescent="0.35">
      <c r="A38" s="8" t="s">
        <v>103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48</v>
      </c>
      <c r="W38" s="104"/>
    </row>
    <row r="39" spans="1:23" ht="17.149999999999999" customHeight="1" x14ac:dyDescent="0.35">
      <c r="A39" s="8" t="s">
        <v>88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34</v>
      </c>
      <c r="W39" s="104"/>
    </row>
    <row r="40" spans="1:23" ht="17.149999999999999" customHeight="1" x14ac:dyDescent="0.35">
      <c r="A40" s="8" t="s">
        <v>82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30</v>
      </c>
      <c r="W40" s="104"/>
    </row>
    <row r="41" spans="1:23" ht="17.149999999999999" customHeight="1" x14ac:dyDescent="0.35">
      <c r="A41" s="8" t="s">
        <v>111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48</v>
      </c>
      <c r="W41" s="104"/>
    </row>
    <row r="42" spans="1:23" ht="17.149999999999999" customHeight="1" x14ac:dyDescent="0.35">
      <c r="A42" s="8" t="s">
        <v>90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30</v>
      </c>
      <c r="W42" s="104"/>
    </row>
    <row r="43" spans="1:23" ht="17.149999999999999" customHeight="1" x14ac:dyDescent="0.35">
      <c r="A43" s="8" t="s">
        <v>67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24</v>
      </c>
      <c r="W43" s="104" t="s">
        <v>295</v>
      </c>
    </row>
    <row r="44" spans="1:23" ht="17.149999999999999" customHeight="1" x14ac:dyDescent="0.35">
      <c r="A44" s="8" t="s">
        <v>66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231</v>
      </c>
      <c r="O46" s="15" t="s">
        <v>139</v>
      </c>
      <c r="P46" s="15" t="s">
        <v>133</v>
      </c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98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48</v>
      </c>
      <c r="W47" s="104"/>
    </row>
    <row r="48" spans="1:23" ht="17.149999999999999" customHeight="1" x14ac:dyDescent="0.35">
      <c r="A48" s="8" t="s">
        <v>81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84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62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24</v>
      </c>
      <c r="W50" s="104"/>
    </row>
    <row r="51" spans="1:23" ht="17.149999999999999" customHeight="1" x14ac:dyDescent="0.35">
      <c r="A51" s="8" t="s">
        <v>63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24</v>
      </c>
      <c r="W51" s="104"/>
    </row>
    <row r="52" spans="1:23" ht="17.149999999999999" customHeight="1" x14ac:dyDescent="0.35">
      <c r="A52" s="8" t="s">
        <v>75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30</v>
      </c>
      <c r="W52" s="104" t="s">
        <v>292</v>
      </c>
    </row>
    <row r="53" spans="1:23" ht="17.149999999999999" customHeight="1" x14ac:dyDescent="0.35">
      <c r="A53" s="8" t="s">
        <v>83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115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24</v>
      </c>
      <c r="W54" s="104"/>
    </row>
    <row r="55" spans="1:23" ht="17.149999999999999" customHeight="1" x14ac:dyDescent="0.35">
      <c r="A55" s="8" t="s">
        <v>112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24</v>
      </c>
      <c r="W55" s="104"/>
    </row>
    <row r="56" spans="1:23" ht="17.149999999999999" customHeight="1" x14ac:dyDescent="0.35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104"/>
    </row>
    <row r="57" spans="1:23" ht="17.149999999999999" customHeight="1" x14ac:dyDescent="0.35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293</v>
      </c>
      <c r="N57" s="15"/>
      <c r="O57" s="15"/>
      <c r="P57" s="15"/>
      <c r="Q57" s="15"/>
      <c r="R57" s="15"/>
      <c r="S57" s="15"/>
      <c r="T57" s="15"/>
      <c r="U57" s="15"/>
      <c r="V57" s="17"/>
      <c r="W57" s="104"/>
    </row>
    <row r="58" spans="1:23" ht="17.149999999999999" customHeight="1" x14ac:dyDescent="0.35">
      <c r="A58" s="8" t="s">
        <v>94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48</v>
      </c>
      <c r="W58" s="104"/>
    </row>
    <row r="59" spans="1:23" ht="17.149999999999999" customHeight="1" x14ac:dyDescent="0.35">
      <c r="A59" s="8" t="s">
        <v>78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34</v>
      </c>
      <c r="W59" s="104"/>
    </row>
    <row r="60" spans="1:23" ht="17.149999999999999" customHeight="1" x14ac:dyDescent="0.35">
      <c r="A60" s="8" t="s">
        <v>113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24</v>
      </c>
      <c r="W60" s="104"/>
    </row>
    <row r="61" spans="1:23" ht="17.149999999999999" customHeight="1" x14ac:dyDescent="0.35">
      <c r="A61" s="8" t="s">
        <v>91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24</v>
      </c>
      <c r="W61" s="104"/>
    </row>
    <row r="62" spans="1:23" ht="17.149999999999999" customHeight="1" x14ac:dyDescent="0.35">
      <c r="A62" s="8" t="s">
        <v>72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30</v>
      </c>
      <c r="W62" s="104"/>
    </row>
    <row r="63" spans="1:23" ht="17.149999999999999" customHeight="1" x14ac:dyDescent="0.35">
      <c r="A63" s="8" t="s">
        <v>110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30</v>
      </c>
      <c r="W63" s="104"/>
    </row>
    <row r="64" spans="1:23" ht="17.149999999999999" customHeight="1" x14ac:dyDescent="0.35">
      <c r="A64" s="8" t="s">
        <v>68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30</v>
      </c>
      <c r="W64" s="104"/>
    </row>
    <row r="65" spans="1:23" ht="17.149999999999999" customHeight="1" x14ac:dyDescent="0.35">
      <c r="A65" s="8" t="s">
        <v>93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30</v>
      </c>
      <c r="W65" s="104"/>
    </row>
    <row r="66" spans="1:23" ht="17.149999999999999" customHeight="1" thickBot="1" x14ac:dyDescent="0.4">
      <c r="A66" s="8" t="s">
        <v>71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30</v>
      </c>
      <c r="W66" s="109"/>
    </row>
    <row r="67" spans="1:23" ht="17.149999999999999" customHeight="1" x14ac:dyDescent="0.35">
      <c r="A67" s="14" t="s">
        <v>288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177</v>
      </c>
      <c r="N67" s="15" t="s">
        <v>178</v>
      </c>
      <c r="O67" s="15" t="s">
        <v>128</v>
      </c>
      <c r="P67" s="15" t="s">
        <v>296</v>
      </c>
      <c r="Q67" s="15" t="s">
        <v>279</v>
      </c>
      <c r="R67" s="15" t="s">
        <v>280</v>
      </c>
      <c r="S67" s="15" t="s">
        <v>209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80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168</v>
      </c>
      <c r="W68" s="104"/>
    </row>
    <row r="69" spans="1:23" ht="17.149999999999999" customHeight="1" x14ac:dyDescent="0.35">
      <c r="A69" s="8" t="s">
        <v>87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34</v>
      </c>
      <c r="W69" s="104"/>
    </row>
    <row r="70" spans="1:23" ht="17.149999999999999" customHeight="1" x14ac:dyDescent="0.35">
      <c r="A70" s="8" t="s">
        <v>77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34</v>
      </c>
      <c r="W70" s="104"/>
    </row>
    <row r="71" spans="1:23" ht="17.149999999999999" customHeight="1" x14ac:dyDescent="0.35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104"/>
    </row>
    <row r="72" spans="1:23" ht="17.149999999999999" customHeight="1" x14ac:dyDescent="0.35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4"/>
    </row>
    <row r="73" spans="1:23" ht="17.149999999999999" customHeight="1" x14ac:dyDescent="0.35">
      <c r="A73" s="8" t="s">
        <v>64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24</v>
      </c>
      <c r="W73" s="104"/>
    </row>
    <row r="74" spans="1:23" ht="17.149999999999999" customHeight="1" x14ac:dyDescent="0.35">
      <c r="A74" s="8" t="s">
        <v>61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24</v>
      </c>
      <c r="W74" s="104"/>
    </row>
    <row r="75" spans="1:23" ht="17.149999999999999" customHeight="1" x14ac:dyDescent="0.35">
      <c r="A75" s="8" t="s">
        <v>65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24</v>
      </c>
      <c r="W75" s="104"/>
    </row>
    <row r="76" spans="1:23" ht="17.149999999999999" customHeight="1" x14ac:dyDescent="0.35">
      <c r="A76" s="8" t="s">
        <v>74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30</v>
      </c>
      <c r="W76" s="111"/>
    </row>
    <row r="77" spans="1:23" ht="17.149999999999999" customHeight="1" x14ac:dyDescent="0.35">
      <c r="A77" s="8" t="s">
        <v>109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30</v>
      </c>
      <c r="W77" s="111"/>
    </row>
    <row r="78" spans="1:23" ht="17.149999999999999" customHeight="1" x14ac:dyDescent="0.35">
      <c r="A78" s="8" t="s">
        <v>86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30</v>
      </c>
      <c r="W78" s="111"/>
    </row>
    <row r="79" spans="1:23" ht="17.149999999999999" customHeight="1" x14ac:dyDescent="0.35">
      <c r="A79" s="8" t="s">
        <v>92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30</v>
      </c>
      <c r="W79" s="111"/>
    </row>
    <row r="80" spans="1:23" ht="17.149999999999999" customHeight="1" x14ac:dyDescent="0.35">
      <c r="A80" s="8" t="s">
        <v>70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30</v>
      </c>
      <c r="W80" s="111"/>
    </row>
    <row r="81" spans="1:23" ht="17.149999999999999" customHeight="1" x14ac:dyDescent="0.35">
      <c r="A81" s="8" t="s">
        <v>73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34</v>
      </c>
      <c r="W81" s="111"/>
    </row>
    <row r="82" spans="1:23" ht="17.149999999999999" customHeight="1" x14ac:dyDescent="0.35">
      <c r="A82" s="8" t="s">
        <v>76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34</v>
      </c>
      <c r="W82" s="111"/>
    </row>
    <row r="83" spans="1:23" ht="17.149999999999999" customHeight="1" x14ac:dyDescent="0.35">
      <c r="A83" s="8" t="s">
        <v>105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48</v>
      </c>
      <c r="W83" s="111"/>
    </row>
    <row r="84" spans="1:23" ht="17.149999999999999" customHeight="1" x14ac:dyDescent="0.35">
      <c r="A84" s="8" t="s">
        <v>104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48</v>
      </c>
      <c r="W84" s="111"/>
    </row>
    <row r="85" spans="1:23" ht="17.149999999999999" customHeight="1" x14ac:dyDescent="0.35">
      <c r="A85" s="8" t="s">
        <v>102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48</v>
      </c>
      <c r="W85" s="115"/>
    </row>
    <row r="86" spans="1:23" ht="17.149999999999999" customHeight="1" x14ac:dyDescent="0.35">
      <c r="A86" s="8" t="s">
        <v>107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48</v>
      </c>
      <c r="W86" s="115"/>
    </row>
    <row r="87" spans="1:23" ht="17.149999999999999" customHeight="1" x14ac:dyDescent="0.35">
      <c r="A87" s="8" t="s">
        <v>85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34</v>
      </c>
      <c r="W87" s="115"/>
    </row>
    <row r="88" spans="1:23" ht="17.149999999999999" customHeight="1" x14ac:dyDescent="0.35">
      <c r="A88" s="8" t="s">
        <v>108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34</v>
      </c>
      <c r="W88" s="115"/>
    </row>
    <row r="89" spans="1:23" ht="17.149999999999999" customHeight="1" x14ac:dyDescent="0.35">
      <c r="A89" s="8" t="s">
        <v>97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34</v>
      </c>
      <c r="W89" s="115"/>
    </row>
    <row r="90" spans="1:23" ht="17.149999999999999" customHeight="1" x14ac:dyDescent="0.35">
      <c r="A90" s="8" t="s">
        <v>96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48</v>
      </c>
      <c r="W90" s="115"/>
    </row>
    <row r="91" spans="1:23" ht="17.149999999999999" customHeight="1" x14ac:dyDescent="0.35">
      <c r="A91" s="8" t="s">
        <v>100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297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117</v>
      </c>
      <c r="P1" s="6" t="s">
        <v>118</v>
      </c>
      <c r="Q1" s="6" t="s">
        <v>279</v>
      </c>
      <c r="R1" s="6" t="s">
        <v>280</v>
      </c>
      <c r="S1" s="6" t="s">
        <v>209</v>
      </c>
      <c r="T1" s="6" t="s">
        <v>19</v>
      </c>
      <c r="U1" s="6" t="s">
        <v>20</v>
      </c>
      <c r="V1" s="7" t="s">
        <v>21</v>
      </c>
      <c r="W1" s="110"/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56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4"/>
    </row>
    <row r="7" spans="1:23" ht="17.149999999999999" customHeight="1" x14ac:dyDescent="0.35">
      <c r="A7" s="8" t="s">
        <v>31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30</v>
      </c>
      <c r="W7" s="104"/>
    </row>
    <row r="8" spans="1:23" ht="17.149999999999999" customHeight="1" x14ac:dyDescent="0.35">
      <c r="A8" s="8" t="s">
        <v>52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298</v>
      </c>
      <c r="N8" s="9"/>
      <c r="O8" s="12"/>
      <c r="P8" s="9"/>
      <c r="Q8" s="12"/>
      <c r="R8" s="9"/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26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30</v>
      </c>
      <c r="W10" s="104"/>
    </row>
    <row r="11" spans="1:23" ht="17.149999999999999" customHeight="1" x14ac:dyDescent="0.35">
      <c r="A11" s="8" t="s">
        <v>40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299</v>
      </c>
      <c r="N13" s="9"/>
      <c r="O13" s="12"/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42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299</v>
      </c>
      <c r="N15" s="9"/>
      <c r="O15" s="12"/>
      <c r="P15" s="9"/>
      <c r="Q15" s="12"/>
      <c r="R15" s="9"/>
      <c r="S15" s="12"/>
      <c r="T15" s="9"/>
      <c r="U15" s="9"/>
      <c r="V15" s="13" t="s">
        <v>30</v>
      </c>
      <c r="W15" s="104"/>
    </row>
    <row r="16" spans="1:23" ht="17.149999999999999" customHeight="1" x14ac:dyDescent="0.35">
      <c r="A16" s="8" t="s">
        <v>44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30</v>
      </c>
      <c r="W16" s="104"/>
    </row>
    <row r="17" spans="1:23" ht="17.149999999999999" customHeight="1" x14ac:dyDescent="0.35">
      <c r="A17" s="8" t="s">
        <v>55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48</v>
      </c>
      <c r="W17" s="104"/>
    </row>
    <row r="18" spans="1:23" ht="17.149999999999999" customHeight="1" x14ac:dyDescent="0.35">
      <c r="A18" s="8" t="s">
        <v>37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34</v>
      </c>
      <c r="W18" s="104"/>
    </row>
    <row r="19" spans="1:23" ht="17.149999999999999" customHeight="1" x14ac:dyDescent="0.35">
      <c r="A19" s="8" t="s">
        <v>33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34</v>
      </c>
      <c r="W19" s="104"/>
    </row>
    <row r="20" spans="1:23" ht="17.149999999999999" customHeight="1" x14ac:dyDescent="0.35">
      <c r="A20" s="8" t="s">
        <v>124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49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48</v>
      </c>
      <c r="W21" s="104"/>
    </row>
    <row r="22" spans="1:23" ht="17.149999999999999" customHeight="1" x14ac:dyDescent="0.35">
      <c r="A22" s="8" t="s">
        <v>38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 t="s">
        <v>50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34</v>
      </c>
      <c r="W23" s="104"/>
    </row>
    <row r="24" spans="1:23" ht="17.149999999999999" customHeight="1" x14ac:dyDescent="0.35">
      <c r="A24" s="8" t="s">
        <v>51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48</v>
      </c>
      <c r="W24" s="104"/>
    </row>
    <row r="25" spans="1:23" ht="17.149999999999999" customHeight="1" x14ac:dyDescent="0.35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4"/>
    </row>
    <row r="29" spans="1:23" ht="17.149999999999999" customHeight="1" x14ac:dyDescent="0.35">
      <c r="A29" s="8" t="s">
        <v>32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30</v>
      </c>
      <c r="W29" s="104"/>
    </row>
    <row r="30" spans="1:23" ht="17.149999999999999" customHeight="1" x14ac:dyDescent="0.35">
      <c r="A30" s="8" t="s">
        <v>28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34</v>
      </c>
      <c r="W30" s="104"/>
    </row>
    <row r="31" spans="1:23" ht="17.149999999999999" customHeight="1" x14ac:dyDescent="0.35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48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297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117</v>
      </c>
      <c r="P34" s="6" t="s">
        <v>118</v>
      </c>
      <c r="Q34" s="6" t="s">
        <v>280</v>
      </c>
      <c r="R34" s="6" t="s">
        <v>209</v>
      </c>
      <c r="S34" s="6" t="s">
        <v>59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61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115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24</v>
      </c>
      <c r="W43" s="104"/>
    </row>
    <row r="44" spans="1:23" ht="17.149999999999999" customHeight="1" x14ac:dyDescent="0.35">
      <c r="A44" s="8" t="s">
        <v>91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113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104"/>
    </row>
    <row r="48" spans="1:23" ht="17.149999999999999" customHeight="1" x14ac:dyDescent="0.35">
      <c r="A48" s="8" t="s">
        <v>72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74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75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82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30</v>
      </c>
      <c r="W51" s="104"/>
    </row>
    <row r="52" spans="1:23" ht="17.149999999999999" customHeight="1" x14ac:dyDescent="0.35">
      <c r="A52" s="8" t="s">
        <v>81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30</v>
      </c>
      <c r="W52" s="104"/>
    </row>
    <row r="53" spans="1:23" ht="17.149999999999999" customHeight="1" x14ac:dyDescent="0.35">
      <c r="A53" s="8" t="s">
        <v>109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84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90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30</v>
      </c>
      <c r="W55" s="104"/>
    </row>
    <row r="56" spans="1:23" ht="17.149999999999999" customHeight="1" x14ac:dyDescent="0.35">
      <c r="A56" s="8" t="s">
        <v>83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86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110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68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300</v>
      </c>
      <c r="N59" s="9"/>
      <c r="O59" s="24"/>
      <c r="P59" s="9"/>
      <c r="Q59" s="24"/>
      <c r="R59" s="9"/>
      <c r="S59" s="12"/>
      <c r="T59" s="25"/>
      <c r="V59" s="23" t="s">
        <v>30</v>
      </c>
      <c r="W59" s="104"/>
    </row>
    <row r="60" spans="1:23" ht="17.149999999999999" customHeight="1" x14ac:dyDescent="0.35">
      <c r="A60" s="8" t="s">
        <v>92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30</v>
      </c>
      <c r="W60" s="104"/>
    </row>
    <row r="61" spans="1:23" ht="17.149999999999999" customHeight="1" x14ac:dyDescent="0.35">
      <c r="A61" s="8" t="s">
        <v>93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301</v>
      </c>
      <c r="N61" s="9"/>
      <c r="O61" s="24"/>
      <c r="P61" s="9"/>
      <c r="Q61" s="24"/>
      <c r="R61" s="9"/>
      <c r="S61" s="12"/>
      <c r="T61" s="25"/>
      <c r="V61" s="23" t="s">
        <v>134</v>
      </c>
      <c r="W61" s="104"/>
    </row>
    <row r="62" spans="1:23" ht="17.149999999999999" customHeight="1" x14ac:dyDescent="0.35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70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30</v>
      </c>
      <c r="W65" s="104"/>
    </row>
    <row r="66" spans="1:23" ht="17.149999999999999" customHeight="1" thickBot="1" x14ac:dyDescent="0.4">
      <c r="A66" s="8" t="s">
        <v>71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302</v>
      </c>
      <c r="N66" s="9"/>
      <c r="O66" s="24"/>
      <c r="P66" s="9"/>
      <c r="Q66" s="24"/>
      <c r="R66" s="9"/>
      <c r="S66" s="12"/>
      <c r="T66" s="25"/>
      <c r="V66" s="23" t="s">
        <v>30</v>
      </c>
      <c r="W66" s="109"/>
    </row>
    <row r="67" spans="1:23" ht="17.149999999999999" customHeight="1" x14ac:dyDescent="0.35">
      <c r="A67" s="14" t="s">
        <v>297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177</v>
      </c>
      <c r="N67" s="15" t="s">
        <v>178</v>
      </c>
      <c r="O67" s="15" t="s">
        <v>128</v>
      </c>
      <c r="P67" s="15" t="s">
        <v>296</v>
      </c>
      <c r="Q67" s="15" t="s">
        <v>279</v>
      </c>
      <c r="R67" s="15" t="s">
        <v>280</v>
      </c>
      <c r="S67" s="15" t="s">
        <v>209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73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34</v>
      </c>
      <c r="W68" s="104"/>
    </row>
    <row r="69" spans="1:23" ht="17.149999999999999" customHeight="1" x14ac:dyDescent="0.35">
      <c r="A69" s="8" t="s">
        <v>76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34</v>
      </c>
      <c r="W69" s="104"/>
    </row>
    <row r="70" spans="1:23" ht="17.149999999999999" customHeight="1" x14ac:dyDescent="0.35">
      <c r="A70" s="8" t="s">
        <v>99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303</v>
      </c>
      <c r="N70" s="9"/>
      <c r="O70" s="24"/>
      <c r="P70" s="9"/>
      <c r="Q70" s="24"/>
      <c r="R70" s="9"/>
      <c r="S70" s="12"/>
      <c r="V70" s="23" t="s">
        <v>34</v>
      </c>
      <c r="W70" s="104"/>
    </row>
    <row r="71" spans="1:23" ht="17.149999999999999" customHeight="1" x14ac:dyDescent="0.35">
      <c r="A71" s="8" t="s">
        <v>98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48</v>
      </c>
      <c r="W71" s="104"/>
    </row>
    <row r="72" spans="1:23" ht="17.149999999999999" customHeight="1" x14ac:dyDescent="0.35">
      <c r="A72" s="8" t="s">
        <v>78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302</v>
      </c>
      <c r="N72" s="9"/>
      <c r="O72" s="24"/>
      <c r="P72" s="9"/>
      <c r="Q72" s="24"/>
      <c r="R72" s="9"/>
      <c r="S72" s="12"/>
      <c r="V72" s="23" t="s">
        <v>34</v>
      </c>
      <c r="W72" s="104"/>
    </row>
    <row r="73" spans="1:23" ht="17.149999999999999" customHeight="1" x14ac:dyDescent="0.35">
      <c r="A73" s="8" t="s">
        <v>80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302</v>
      </c>
      <c r="N73" s="9"/>
      <c r="O73" s="24"/>
      <c r="P73" s="9"/>
      <c r="Q73" s="24"/>
      <c r="R73" s="9"/>
      <c r="S73" s="12"/>
      <c r="U73" s="28"/>
      <c r="V73" s="23" t="s">
        <v>168</v>
      </c>
      <c r="W73" s="104"/>
    </row>
    <row r="74" spans="1:23" ht="17.149999999999999" customHeight="1" x14ac:dyDescent="0.35">
      <c r="A74" s="8" t="s">
        <v>101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34</v>
      </c>
      <c r="W74" s="104"/>
    </row>
    <row r="75" spans="1:23" ht="17.149999999999999" customHeight="1" x14ac:dyDescent="0.35">
      <c r="A75" s="8" t="s">
        <v>106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48</v>
      </c>
      <c r="W75" s="104"/>
    </row>
    <row r="76" spans="1:23" ht="17.149999999999999" customHeight="1" x14ac:dyDescent="0.35">
      <c r="A76" s="8" t="s">
        <v>105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48</v>
      </c>
      <c r="W76" s="111"/>
    </row>
    <row r="77" spans="1:23" ht="17.149999999999999" customHeight="1" x14ac:dyDescent="0.35">
      <c r="A77" s="8" t="s">
        <v>103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48</v>
      </c>
      <c r="W77" s="111"/>
    </row>
    <row r="78" spans="1:23" ht="17.149999999999999" customHeight="1" x14ac:dyDescent="0.35">
      <c r="A78" s="8" t="s">
        <v>77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302</v>
      </c>
      <c r="N78" s="9"/>
      <c r="O78" s="24"/>
      <c r="P78" s="9"/>
      <c r="Q78" s="24"/>
      <c r="R78" s="9"/>
      <c r="S78" s="12"/>
      <c r="V78" s="23" t="s">
        <v>34</v>
      </c>
      <c r="W78" s="111"/>
    </row>
    <row r="79" spans="1:23" ht="17.149999999999999" customHeight="1" x14ac:dyDescent="0.35">
      <c r="A79" s="8" t="s">
        <v>104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48</v>
      </c>
      <c r="W79" s="111"/>
    </row>
    <row r="80" spans="1:23" ht="17.149999999999999" customHeight="1" x14ac:dyDescent="0.35">
      <c r="A80" s="8" t="s">
        <v>102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48</v>
      </c>
      <c r="W80" s="111"/>
    </row>
    <row r="81" spans="1:23" ht="17.149999999999999" customHeight="1" x14ac:dyDescent="0.35">
      <c r="A81" s="8" t="s">
        <v>87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302</v>
      </c>
      <c r="N81" s="9"/>
      <c r="O81" s="24"/>
      <c r="P81" s="9"/>
      <c r="Q81" s="24"/>
      <c r="R81" s="9"/>
      <c r="S81" s="12"/>
      <c r="V81" s="23" t="s">
        <v>34</v>
      </c>
      <c r="W81" s="111"/>
    </row>
    <row r="82" spans="1:23" ht="17.149999999999999" customHeight="1" x14ac:dyDescent="0.35">
      <c r="A82" s="8" t="s">
        <v>107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48</v>
      </c>
      <c r="W82" s="111"/>
    </row>
    <row r="83" spans="1:23" ht="17.149999999999999" customHeight="1" x14ac:dyDescent="0.35">
      <c r="A83" s="8" t="s">
        <v>88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34</v>
      </c>
      <c r="W83" s="111"/>
    </row>
    <row r="84" spans="1:23" ht="17.149999999999999" customHeight="1" x14ac:dyDescent="0.35">
      <c r="A84" s="8" t="s">
        <v>85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34</v>
      </c>
      <c r="W84" s="111"/>
    </row>
    <row r="85" spans="1:23" ht="17.149999999999999" customHeight="1" x14ac:dyDescent="0.35">
      <c r="A85" s="8" t="s">
        <v>108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34</v>
      </c>
      <c r="W85" s="115"/>
    </row>
    <row r="86" spans="1:23" ht="17.149999999999999" customHeight="1" x14ac:dyDescent="0.35">
      <c r="A86" s="8" t="s">
        <v>111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48</v>
      </c>
      <c r="W86" s="115"/>
    </row>
    <row r="87" spans="1:23" ht="17.149999999999999" customHeight="1" x14ac:dyDescent="0.35">
      <c r="A87" s="8" t="s">
        <v>94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48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97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34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 t="s">
        <v>100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48</v>
      </c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3A3C-841C-4062-BED1-DBAD6EFA4920}">
  <sheetPr>
    <pageSetUpPr fitToPage="1"/>
  </sheetPr>
  <dimension ref="A1:W99"/>
  <sheetViews>
    <sheetView topLeftCell="A80" workbookViewId="0">
      <selection activeCell="A92" sqref="A92:V9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1796875" bestFit="1" customWidth="1"/>
  </cols>
  <sheetData>
    <row r="1" spans="1:23" ht="14.5" customHeight="1" x14ac:dyDescent="0.35">
      <c r="A1" s="14" t="s">
        <v>116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117</v>
      </c>
      <c r="P1" s="6" t="s">
        <v>118</v>
      </c>
      <c r="Q1" s="6" t="s">
        <v>119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121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4" si="0">C2/4</f>
        <v>9.2592592592592585E-4</v>
      </c>
      <c r="G2" s="9">
        <f t="shared" ref="G2:G14" si="1">D2/7.5</f>
        <v>1.0100694444444445E-3</v>
      </c>
      <c r="H2" s="9">
        <f t="shared" ref="H2:H14" si="2">B2/12.5</f>
        <v>1.0416666666666667E-3</v>
      </c>
      <c r="I2" s="9">
        <f t="shared" ref="I2:I14" si="3">G2/0.93</f>
        <v>1.0860961768219832E-3</v>
      </c>
      <c r="J2" s="9">
        <f t="shared" ref="J2:J14" si="4">G2/0.92</f>
        <v>1.0979015700483092E-3</v>
      </c>
      <c r="K2" s="9">
        <f t="shared" ref="K2:K14" si="5">G2/0.88</f>
        <v>1.1478061868686869E-3</v>
      </c>
      <c r="L2" s="9">
        <f t="shared" ref="L2:L14" si="6">G2/0.84</f>
        <v>1.2024636243386244E-3</v>
      </c>
      <c r="M2" s="11">
        <f>Table1461012142422323436384044485052481113151719212325272931333539414345[[#This Row],[Thresh]]</f>
        <v>1.1478061868686869E-3</v>
      </c>
      <c r="N2" s="9">
        <f>Table1461012142422323436384044485052481113151719212325272931333539414345[[#This Row],[Thresh]]*2</f>
        <v>2.2956123737373738E-3</v>
      </c>
      <c r="O2" s="12">
        <f>Table1461012142422323436384044485052481113151719212325272931333539414345[[#This Row],[R]]/2</f>
        <v>4.6296296296296293E-4</v>
      </c>
      <c r="P2" s="9">
        <f>Table1461012142422323436384044485052481113151719212325272931333539414345[[#This Row],[R]]/2*1.5</f>
        <v>6.9444444444444436E-4</v>
      </c>
      <c r="Q2" s="12" t="s">
        <v>122</v>
      </c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Table1461012142422323436384044485052481113151719212325272931333539414345[[#This Row],[Thresh]]</f>
        <v>1.1478061868686869E-3</v>
      </c>
      <c r="N3" s="9">
        <f>Table1461012142422323436384044485052481113151719212325272931333539414345[[#This Row],[Thresh]]*2</f>
        <v>2.2956123737373738E-3</v>
      </c>
      <c r="O3" s="12">
        <f>Table1461012142422323436384044485052481113151719212325272931333539414345[[#This Row],[R]]/2</f>
        <v>4.6296296296296298E-4</v>
      </c>
      <c r="P3" s="9">
        <f>Table1461012142422323436384044485052481113151719212325272931333539414345[[#This Row],[R]]/2*1.5</f>
        <v>6.9444444444444447E-4</v>
      </c>
      <c r="Q3" s="12" t="s">
        <v>122</v>
      </c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26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5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01"/>
      <c r="S6" s="15"/>
      <c r="T6" s="15"/>
      <c r="U6" s="15"/>
      <c r="V6" s="17"/>
      <c r="W6" s="108"/>
    </row>
    <row r="7" spans="1:23" ht="17.149999999999999" customHeight="1" x14ac:dyDescent="0.35">
      <c r="A7" s="8" t="s">
        <v>36</v>
      </c>
      <c r="B7" s="9">
        <v>1.3020833333333334E-2</v>
      </c>
      <c r="C7" s="9">
        <v>3.7615740740740739E-3</v>
      </c>
      <c r="D7" s="9">
        <f t="shared" ref="D7:D14" si="7">B7*E7</f>
        <v>7.5755208333333334E-3</v>
      </c>
      <c r="E7" s="10">
        <v>0.58179999999999998</v>
      </c>
      <c r="F7" s="9">
        <f t="shared" si="0"/>
        <v>9.4039351851851847E-4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30</v>
      </c>
      <c r="W7" s="108"/>
    </row>
    <row r="8" spans="1:23" ht="17.149999999999999" customHeight="1" x14ac:dyDescent="0.35">
      <c r="A8" s="8" t="s">
        <v>41</v>
      </c>
      <c r="B8" s="9">
        <v>1.3541666666666667E-2</v>
      </c>
      <c r="C8" s="9">
        <v>4.0509259259259257E-3</v>
      </c>
      <c r="D8" s="9">
        <f t="shared" si="7"/>
        <v>7.8785416666666674E-3</v>
      </c>
      <c r="E8" s="10">
        <v>0.58179999999999998</v>
      </c>
      <c r="F8" s="9">
        <f t="shared" si="0"/>
        <v>1.0127314814814814E-3</v>
      </c>
      <c r="G8" s="9">
        <f t="shared" si="1"/>
        <v>1.0504722222222224E-3</v>
      </c>
      <c r="H8" s="9">
        <f t="shared" si="2"/>
        <v>1.0833333333333333E-3</v>
      </c>
      <c r="I8" s="9">
        <f t="shared" si="3"/>
        <v>1.1295400238948627E-3</v>
      </c>
      <c r="J8" s="9">
        <f t="shared" si="4"/>
        <v>1.1418176328502417E-3</v>
      </c>
      <c r="K8" s="9">
        <f t="shared" si="5"/>
        <v>1.1937184343434346E-3</v>
      </c>
      <c r="L8" s="9">
        <f t="shared" si="6"/>
        <v>1.2505621693121695E-3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30</v>
      </c>
      <c r="W8" s="108"/>
    </row>
    <row r="9" spans="1:23" ht="17.149999999999999" customHeight="1" x14ac:dyDescent="0.35">
      <c r="A9" s="8" t="s">
        <v>42</v>
      </c>
      <c r="B9" s="9">
        <v>1.4236111111111111E-2</v>
      </c>
      <c r="C9" s="9">
        <v>4.0509259259259257E-3</v>
      </c>
      <c r="D9" s="9">
        <f t="shared" si="7"/>
        <v>8.2825694444444448E-3</v>
      </c>
      <c r="E9" s="10">
        <v>0.58179999999999998</v>
      </c>
      <c r="F9" s="9">
        <f t="shared" si="0"/>
        <v>1.0127314814814814E-3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30</v>
      </c>
      <c r="W9" s="108"/>
    </row>
    <row r="10" spans="1:23" ht="17.149999999999999" customHeight="1" x14ac:dyDescent="0.35">
      <c r="A10" s="8" t="s">
        <v>43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30</v>
      </c>
      <c r="W10" s="104" t="s">
        <v>123</v>
      </c>
    </row>
    <row r="11" spans="1:23" ht="17.149999999999999" customHeight="1" x14ac:dyDescent="0.35">
      <c r="A11" s="8" t="s">
        <v>44</v>
      </c>
      <c r="B11" s="9">
        <v>1.4236111111111111E-2</v>
      </c>
      <c r="C11" s="9">
        <v>4.1666666666666666E-3</v>
      </c>
      <c r="D11" s="9">
        <f t="shared" si="7"/>
        <v>8.2825694444444448E-3</v>
      </c>
      <c r="E11" s="10">
        <v>0.58179999999999998</v>
      </c>
      <c r="F11" s="9">
        <f t="shared" si="0"/>
        <v>1.0416666666666667E-3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28</v>
      </c>
      <c r="B12" s="9">
        <v>1.1689814814814814E-2</v>
      </c>
      <c r="C12" s="9">
        <v>3.3564814814814811E-3</v>
      </c>
      <c r="D12" s="9">
        <f t="shared" si="7"/>
        <v>6.8011342592592585E-3</v>
      </c>
      <c r="E12" s="10">
        <v>0.58179999999999998</v>
      </c>
      <c r="F12" s="9">
        <f t="shared" si="0"/>
        <v>8.3912037037037028E-4</v>
      </c>
      <c r="G12" s="9">
        <f t="shared" si="1"/>
        <v>9.0681790123456785E-4</v>
      </c>
      <c r="H12" s="9">
        <f t="shared" si="2"/>
        <v>9.3518518518518516E-4</v>
      </c>
      <c r="I12" s="9">
        <f t="shared" si="3"/>
        <v>9.7507301208018041E-4</v>
      </c>
      <c r="J12" s="9">
        <f t="shared" si="4"/>
        <v>9.8567163177670412E-4</v>
      </c>
      <c r="K12" s="9">
        <f t="shared" si="5"/>
        <v>1.0304748877665545E-3</v>
      </c>
      <c r="L12" s="9">
        <f t="shared" si="6"/>
        <v>1.0795451205173427E-3</v>
      </c>
      <c r="M12" s="11"/>
      <c r="N12" s="9"/>
      <c r="O12" s="12"/>
      <c r="P12" s="9"/>
      <c r="Q12" s="12"/>
      <c r="R12" s="9"/>
      <c r="S12" s="12"/>
      <c r="T12" s="12"/>
      <c r="U12" s="9"/>
      <c r="V12" s="13" t="s">
        <v>5</v>
      </c>
      <c r="W12" s="104"/>
    </row>
    <row r="13" spans="1:23" ht="17.149999999999999" customHeight="1" x14ac:dyDescent="0.35">
      <c r="A13" s="8" t="s">
        <v>31</v>
      </c>
      <c r="B13" s="9">
        <v>1.1689814814814814E-2</v>
      </c>
      <c r="C13" s="9">
        <v>3.3564814814814811E-3</v>
      </c>
      <c r="D13" s="9">
        <f t="shared" si="7"/>
        <v>6.8011342592592585E-3</v>
      </c>
      <c r="E13" s="10">
        <v>0.58179999999999998</v>
      </c>
      <c r="F13" s="9">
        <f t="shared" si="0"/>
        <v>8.3912037037037028E-4</v>
      </c>
      <c r="G13" s="9">
        <f t="shared" si="1"/>
        <v>9.0681790123456785E-4</v>
      </c>
      <c r="H13" s="9">
        <f t="shared" si="2"/>
        <v>9.3518518518518516E-4</v>
      </c>
      <c r="I13" s="9">
        <f t="shared" si="3"/>
        <v>9.7507301208018041E-4</v>
      </c>
      <c r="J13" s="9">
        <f t="shared" si="4"/>
        <v>9.8567163177670412E-4</v>
      </c>
      <c r="K13" s="9">
        <f t="shared" si="5"/>
        <v>1.0304748877665545E-3</v>
      </c>
      <c r="L13" s="9">
        <f t="shared" si="6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5</v>
      </c>
      <c r="W13" s="104"/>
    </row>
    <row r="14" spans="1:23" ht="17.149999999999999" customHeight="1" x14ac:dyDescent="0.35">
      <c r="A14" s="8" t="s">
        <v>52</v>
      </c>
      <c r="B14" s="9">
        <v>1.1805555555555555E-2</v>
      </c>
      <c r="C14" s="9">
        <v>3.472222222222222E-3</v>
      </c>
      <c r="D14" s="9">
        <f t="shared" si="7"/>
        <v>6.868472222222222E-3</v>
      </c>
      <c r="E14" s="10">
        <v>0.58179999999999998</v>
      </c>
      <c r="F14" s="9">
        <f t="shared" si="0"/>
        <v>8.6805555555555551E-4</v>
      </c>
      <c r="G14" s="9">
        <f t="shared" si="1"/>
        <v>9.1579629629629628E-4</v>
      </c>
      <c r="H14" s="9">
        <f t="shared" si="2"/>
        <v>9.4444444444444437E-4</v>
      </c>
      <c r="I14" s="9">
        <f t="shared" si="3"/>
        <v>9.8472720031859799E-4</v>
      </c>
      <c r="J14" s="9">
        <f t="shared" si="4"/>
        <v>9.9543075684380036E-4</v>
      </c>
      <c r="K14" s="9">
        <f t="shared" si="5"/>
        <v>1.0406776094276093E-3</v>
      </c>
      <c r="L14" s="9">
        <f t="shared" si="6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/>
      <c r="N16" s="15"/>
      <c r="O16" s="15"/>
      <c r="P16" s="15"/>
      <c r="Q16" s="15"/>
      <c r="R16" s="15"/>
      <c r="S16" s="15"/>
      <c r="T16" s="15"/>
      <c r="U16" s="15"/>
      <c r="V16" s="17"/>
      <c r="W16" s="104"/>
    </row>
    <row r="17" spans="1:23" ht="17.149999999999999" customHeight="1" x14ac:dyDescent="0.35">
      <c r="A17" s="8" t="s">
        <v>32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34</v>
      </c>
      <c r="W17" s="104"/>
    </row>
    <row r="18" spans="1:23" ht="17.149999999999999" customHeight="1" x14ac:dyDescent="0.35">
      <c r="A18" s="8" t="s">
        <v>37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34</v>
      </c>
      <c r="W18" s="104"/>
    </row>
    <row r="19" spans="1:23" ht="17.149999999999999" customHeight="1" x14ac:dyDescent="0.35">
      <c r="A19" s="8" t="s">
        <v>38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34</v>
      </c>
      <c r="W19" s="104"/>
    </row>
    <row r="20" spans="1:23" ht="17.149999999999999" customHeight="1" x14ac:dyDescent="0.35">
      <c r="A20" s="8" t="s">
        <v>39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40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34</v>
      </c>
      <c r="W21" s="104"/>
    </row>
    <row r="22" spans="1:23" ht="17.149999999999999" customHeight="1" x14ac:dyDescent="0.35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4"/>
    </row>
    <row r="23" spans="1:23" ht="17.149999999999999" customHeight="1" x14ac:dyDescent="0.35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4"/>
    </row>
    <row r="24" spans="1:23" ht="17.149999999999999" customHeight="1" x14ac:dyDescent="0.35">
      <c r="A24" s="8" t="s">
        <v>47</v>
      </c>
      <c r="B24" s="9">
        <v>1.2268518518518519E-2</v>
      </c>
      <c r="C24" s="9">
        <v>3.7037037037037034E-3</v>
      </c>
      <c r="D24" s="9">
        <f t="shared" ref="D24:D31" si="22">B24*E24</f>
        <v>7.1378240740740742E-3</v>
      </c>
      <c r="E24" s="10">
        <v>0.58179999999999998</v>
      </c>
      <c r="F24" s="9">
        <f t="shared" si="15"/>
        <v>9.2592592592592585E-4</v>
      </c>
      <c r="G24" s="9">
        <f t="shared" si="16"/>
        <v>9.5170987654320989E-4</v>
      </c>
      <c r="H24" s="9">
        <f t="shared" si="17"/>
        <v>9.8148148148148161E-4</v>
      </c>
      <c r="I24" s="9">
        <f t="shared" si="18"/>
        <v>1.0233439532722685E-3</v>
      </c>
      <c r="J24" s="9">
        <f t="shared" si="19"/>
        <v>1.0344672571121847E-3</v>
      </c>
      <c r="K24" s="9">
        <f t="shared" si="20"/>
        <v>1.0814884960718295E-3</v>
      </c>
      <c r="L24" s="9">
        <f t="shared" si="21"/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48</v>
      </c>
      <c r="W24" s="104"/>
    </row>
    <row r="25" spans="1:23" ht="17.149999999999999" customHeight="1" x14ac:dyDescent="0.35">
      <c r="A25" s="8" t="s">
        <v>49</v>
      </c>
      <c r="B25" s="9">
        <v>1.238425925925926E-2</v>
      </c>
      <c r="C25" s="9">
        <v>3.7037037037037034E-3</v>
      </c>
      <c r="D25" s="9">
        <f t="shared" si="22"/>
        <v>7.2051620370370368E-3</v>
      </c>
      <c r="E25" s="10">
        <v>0.58179999999999998</v>
      </c>
      <c r="F25" s="9">
        <f t="shared" si="15"/>
        <v>9.2592592592592585E-4</v>
      </c>
      <c r="G25" s="9">
        <f t="shared" si="16"/>
        <v>9.6068827160493821E-4</v>
      </c>
      <c r="H25" s="9">
        <f t="shared" si="17"/>
        <v>9.9074074074074082E-4</v>
      </c>
      <c r="I25" s="9">
        <f t="shared" si="18"/>
        <v>1.0329981415106862E-3</v>
      </c>
      <c r="J25" s="9">
        <f t="shared" si="19"/>
        <v>1.0442263821792807E-3</v>
      </c>
      <c r="K25" s="9">
        <f t="shared" si="20"/>
        <v>1.0916912177328843E-3</v>
      </c>
      <c r="L25" s="9">
        <f t="shared" si="21"/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48</v>
      </c>
      <c r="W25" s="104"/>
    </row>
    <row r="26" spans="1:23" ht="17.149999999999999" customHeight="1" x14ac:dyDescent="0.35">
      <c r="A26" s="8" t="s">
        <v>33</v>
      </c>
      <c r="B26" s="9">
        <v>1.238425925925926E-2</v>
      </c>
      <c r="C26" s="9">
        <v>3.645833333333333E-3</v>
      </c>
      <c r="D26" s="9">
        <f t="shared" si="22"/>
        <v>7.2051620370370368E-3</v>
      </c>
      <c r="E26" s="10">
        <v>0.58179999999999998</v>
      </c>
      <c r="F26" s="9">
        <f t="shared" si="15"/>
        <v>9.1145833333333324E-4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48</v>
      </c>
      <c r="W26" s="104"/>
    </row>
    <row r="27" spans="1:23" ht="17.149999999999999" customHeight="1" x14ac:dyDescent="0.35">
      <c r="A27" s="8" t="s">
        <v>50</v>
      </c>
      <c r="B27" s="9">
        <v>1.2499999999999999E-2</v>
      </c>
      <c r="C27" s="9">
        <v>3.9351851851851857E-3</v>
      </c>
      <c r="D27" s="9">
        <f t="shared" si="22"/>
        <v>7.2724999999999995E-3</v>
      </c>
      <c r="E27" s="10">
        <v>0.58179999999999998</v>
      </c>
      <c r="F27" s="9">
        <f t="shared" si="15"/>
        <v>9.8379629629629642E-4</v>
      </c>
      <c r="G27" s="9">
        <f t="shared" si="16"/>
        <v>9.6966666666666664E-4</v>
      </c>
      <c r="H27" s="9">
        <f t="shared" si="17"/>
        <v>1E-3</v>
      </c>
      <c r="I27" s="9">
        <f t="shared" si="18"/>
        <v>1.0426523297491039E-3</v>
      </c>
      <c r="J27" s="9">
        <f t="shared" si="19"/>
        <v>1.0539855072463768E-3</v>
      </c>
      <c r="K27" s="9">
        <f t="shared" si="20"/>
        <v>1.1018939393939394E-3</v>
      </c>
      <c r="L27" s="9">
        <f t="shared" si="21"/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48</v>
      </c>
      <c r="W27" s="104"/>
    </row>
    <row r="28" spans="1:23" ht="17.149999999999999" customHeight="1" x14ac:dyDescent="0.35">
      <c r="A28" s="8" t="s">
        <v>51</v>
      </c>
      <c r="B28" s="9">
        <v>1.2499999999999999E-2</v>
      </c>
      <c r="C28" s="9">
        <v>3.7037037037037034E-3</v>
      </c>
      <c r="D28" s="9">
        <f t="shared" si="22"/>
        <v>7.2724999999999995E-3</v>
      </c>
      <c r="E28" s="10">
        <v>0.58179999999999998</v>
      </c>
      <c r="F28" s="9">
        <f t="shared" si="15"/>
        <v>9.2592592592592585E-4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48</v>
      </c>
      <c r="W28" s="105"/>
    </row>
    <row r="29" spans="1:23" ht="17.149999999999999" customHeight="1" x14ac:dyDescent="0.35">
      <c r="A29" s="8" t="s">
        <v>55</v>
      </c>
      <c r="B29" s="9">
        <v>1.1574074074074073E-2</v>
      </c>
      <c r="C29" s="9">
        <v>3.472222222222222E-3</v>
      </c>
      <c r="D29" s="9">
        <f t="shared" si="22"/>
        <v>6.7337962962962959E-3</v>
      </c>
      <c r="E29" s="10">
        <v>0.58179999999999998</v>
      </c>
      <c r="F29" s="9">
        <f t="shared" si="15"/>
        <v>8.6805555555555551E-4</v>
      </c>
      <c r="G29" s="9">
        <f t="shared" si="16"/>
        <v>8.9783950617283942E-4</v>
      </c>
      <c r="H29" s="9">
        <f t="shared" si="17"/>
        <v>9.2592592592592585E-4</v>
      </c>
      <c r="I29" s="9">
        <f t="shared" si="18"/>
        <v>9.6541882384176272E-4</v>
      </c>
      <c r="J29" s="9">
        <f t="shared" si="19"/>
        <v>9.7591250670960798E-4</v>
      </c>
      <c r="K29" s="9">
        <f t="shared" si="20"/>
        <v>1.0202721661054994E-3</v>
      </c>
      <c r="L29" s="9">
        <f t="shared" si="21"/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</v>
      </c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116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117</v>
      </c>
      <c r="P34" s="6" t="s">
        <v>118</v>
      </c>
      <c r="Q34" s="6" t="s">
        <v>119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125</v>
      </c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4" si="23">B35*E35</f>
        <v>6.0604166666666662E-3</v>
      </c>
      <c r="E35" s="10">
        <v>0.58179999999999998</v>
      </c>
      <c r="F35" s="9">
        <f t="shared" ref="F35:F45" si="24">C35/4</f>
        <v>7.378472222222222E-4</v>
      </c>
      <c r="G35" s="9">
        <f t="shared" ref="G35:G45" si="25">D35/7.5</f>
        <v>8.0805555555555546E-4</v>
      </c>
      <c r="H35" s="9">
        <f t="shared" ref="H35:H45" si="26">B35/12.5</f>
        <v>8.3333333333333328E-4</v>
      </c>
      <c r="I35" s="9">
        <f t="shared" ref="I35:I45" si="27">G35/0.93</f>
        <v>8.6887694145758646E-4</v>
      </c>
      <c r="J35" s="9">
        <f t="shared" ref="J35:J45" si="28">G35/0.92</f>
        <v>8.7832125603864715E-4</v>
      </c>
      <c r="K35" s="9">
        <f t="shared" ref="K35:K45" si="29">G35/0.88</f>
        <v>9.1824494949494938E-4</v>
      </c>
      <c r="L35" s="9">
        <f t="shared" ref="L35:L45" si="30">G35/0.84</f>
        <v>9.6197089947089938E-4</v>
      </c>
      <c r="M35" s="11">
        <f>Table2571113152523333537394145495153591214161820222426283032343640424446[[#This Row],[Thresh]]</f>
        <v>9.1824494949494938E-4</v>
      </c>
      <c r="N35" s="9">
        <f>Table2571113152523333537394145495153591214161820222426283032343640424446[[#This Row],[Thresh]]*2</f>
        <v>1.8364898989898988E-3</v>
      </c>
      <c r="O35" s="24">
        <f>Table2571113152523333537394145495153591214161820222426283032343640424446[[#This Row],[R]]/2</f>
        <v>3.689236111111111E-4</v>
      </c>
      <c r="P35" s="9">
        <f>Table2571113152523333537394145495153591214161820222426283032343640424446[[#This Row],[R]]/2*1.5</f>
        <v>5.5338541666666665E-4</v>
      </c>
      <c r="Q35" s="24" t="s">
        <v>122</v>
      </c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65</v>
      </c>
      <c r="B36" s="9">
        <v>1.0416666666666666E-2</v>
      </c>
      <c r="C36" s="9">
        <v>2.9745370370370373E-3</v>
      </c>
      <c r="D36" s="9">
        <f t="shared" si="23"/>
        <v>6.0604166666666662E-3</v>
      </c>
      <c r="E36" s="10">
        <v>0.58179999999999998</v>
      </c>
      <c r="F36" s="9">
        <f t="shared" si="24"/>
        <v>7.4363425925925931E-4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Table2571113152523333537394145495153591214161820222426283032343640424446[[#This Row],[Thresh]]</f>
        <v>9.1824494949494938E-4</v>
      </c>
      <c r="N36" s="9">
        <f>Table2571113152523333537394145495153591214161820222426283032343640424446[[#This Row],[Thresh]]*2</f>
        <v>1.8364898989898988E-3</v>
      </c>
      <c r="O36" s="24">
        <f>Table2571113152523333537394145495153591214161820222426283032343640424446[[#This Row],[R]]/2</f>
        <v>3.7181712962962966E-4</v>
      </c>
      <c r="P36" s="9">
        <f>Table2571113152523333537394145495153591214161820222426283032343640424446[[#This Row],[R]]/2*1.5</f>
        <v>5.5772569444444446E-4</v>
      </c>
      <c r="Q36" s="24" t="s">
        <v>122</v>
      </c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23"/>
        <v>6.3297685185185184E-3</v>
      </c>
      <c r="E37" s="10">
        <v>0.58179999999999998</v>
      </c>
      <c r="F37" s="9">
        <f t="shared" si="24"/>
        <v>7.5231481481481471E-4</v>
      </c>
      <c r="G37" s="9">
        <f t="shared" si="25"/>
        <v>8.4396913580246917E-4</v>
      </c>
      <c r="H37" s="9">
        <f t="shared" si="26"/>
        <v>8.7037037037037042E-4</v>
      </c>
      <c r="I37" s="9">
        <f t="shared" si="27"/>
        <v>9.0749369441125711E-4</v>
      </c>
      <c r="J37" s="9">
        <f t="shared" si="28"/>
        <v>9.173577563070317E-4</v>
      </c>
      <c r="K37" s="9">
        <f t="shared" si="29"/>
        <v>9.5905583613916951E-4</v>
      </c>
      <c r="L37" s="9">
        <f t="shared" si="30"/>
        <v>1.0047251616696062E-3</v>
      </c>
      <c r="M37" s="11">
        <f>Table2571113152523333537394145495153591214161820222426283032343640424446[[#This Row],[Thresh]]</f>
        <v>9.5905583613916951E-4</v>
      </c>
      <c r="N37" s="9">
        <f>Table2571113152523333537394145495153591214161820222426283032343640424446[[#This Row],[Thresh]]*2</f>
        <v>1.918111672278339E-3</v>
      </c>
      <c r="O37" s="24">
        <f>Table2571113152523333537394145495153591214161820222426283032343640424446[[#This Row],[R]]/2</f>
        <v>3.7615740740740735E-4</v>
      </c>
      <c r="P37" s="9">
        <f>Table2571113152523333537394145495153591214161820222426283032343640424446[[#This Row],[R]]/2*1.5</f>
        <v>5.6423611111111106E-4</v>
      </c>
      <c r="Q37" s="24" t="s">
        <v>122</v>
      </c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Table2571113152523333537394145495153591214161820222426283032343640424446[[#This Row],[Thresh]]</f>
        <v>9.5905583613916951E-4</v>
      </c>
      <c r="N38" s="9">
        <f>Table2571113152523333537394145495153591214161820222426283032343640424446[[#This Row],[Thresh]]*2</f>
        <v>1.918111672278339E-3</v>
      </c>
      <c r="O38" s="24">
        <f>Table2571113152523333537394145495153591214161820222426283032343640424446[[#This Row],[R]]/2</f>
        <v>3.7615740740740735E-4</v>
      </c>
      <c r="P38" s="9">
        <f>Table2571113152523333537394145495153591214161820222426283032343640424446[[#This Row],[R]]/2*1.5</f>
        <v>5.6423611111111106E-4</v>
      </c>
      <c r="Q38" s="24" t="s">
        <v>122</v>
      </c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75</v>
      </c>
      <c r="B39" s="9">
        <v>1.087962962962963E-2</v>
      </c>
      <c r="C39" s="9">
        <v>2.9513888888888888E-3</v>
      </c>
      <c r="D39" s="9">
        <f t="shared" si="23"/>
        <v>6.3297685185185184E-3</v>
      </c>
      <c r="E39" s="10">
        <v>0.58179999999999998</v>
      </c>
      <c r="F39" s="9">
        <f t="shared" si="24"/>
        <v>7.378472222222222E-4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Table2571113152523333537394145495153591214161820222426283032343640424446[[#This Row],[Thresh]]</f>
        <v>9.5905583613916951E-4</v>
      </c>
      <c r="N39" s="9">
        <f>Table2571113152523333537394145495153591214161820222426283032343640424446[[#This Row],[Thresh]]*2</f>
        <v>1.918111672278339E-3</v>
      </c>
      <c r="O39" s="24">
        <f>Table2571113152523333537394145495153591214161820222426283032343640424446[[#This Row],[R]]/2</f>
        <v>3.689236111111111E-4</v>
      </c>
      <c r="P39" s="9">
        <f>Table2571113152523333537394145495153591214161820222426283032343640424446[[#This Row],[R]]/2*1.5</f>
        <v>5.5338541666666665E-4</v>
      </c>
      <c r="Q39" s="24" t="s">
        <v>122</v>
      </c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Table2571113152523333537394145495153591214161820222426283032343640424446[[#This Row],[Thresh]]</f>
        <v>9.8966400112233477E-4</v>
      </c>
      <c r="N40" s="9">
        <f>Table2571113152523333537394145495153591214161820222426283032343640424446[[#This Row],[Thresh]]*2</f>
        <v>1.9793280022446695E-3</v>
      </c>
      <c r="O40" s="24">
        <f>Table2571113152523333537394145495153591214161820222426283032343640424446[[#This Row],[R]]/2</f>
        <v>3.9062499999999997E-4</v>
      </c>
      <c r="P40" s="9">
        <f>Table2571113152523333537394145495153591214161820222426283032343640424446[[#This Row],[R]]/2*1.5</f>
        <v>5.8593749999999998E-4</v>
      </c>
      <c r="Q40" s="24" t="s">
        <v>122</v>
      </c>
      <c r="R40" s="9"/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Table2571113152523333537394145495153591214161820222426283032343640424446[[#This Row],[Thresh]]</f>
        <v>9.8966400112233477E-4</v>
      </c>
      <c r="N41" s="9">
        <f>Table2571113152523333537394145495153591214161820222426283032343640424446[[#This Row],[Thresh]]*2</f>
        <v>1.9793280022446695E-3</v>
      </c>
      <c r="O41" s="24">
        <f>Table2571113152523333537394145495153591214161820222426283032343640424446[[#This Row],[R]]/2</f>
        <v>3.9062499999999997E-4</v>
      </c>
      <c r="P41" s="9">
        <f>Table2571113152523333537394145495153591214161820222426283032343640424446[[#This Row],[R]]/2*1.5</f>
        <v>5.8593749999999998E-4</v>
      </c>
      <c r="Q41" s="24" t="s">
        <v>122</v>
      </c>
      <c r="R41" s="9"/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112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Table2571113152523333537394145495153591214161820222426283032343640424446[[#This Row],[Thresh]]</f>
        <v>1.0100694444444445E-3</v>
      </c>
      <c r="N42" s="9">
        <f>Table2571113152523333537394145495153591214161820222426283032343640424446[[#This Row],[Thresh]]*2</f>
        <v>2.020138888888889E-3</v>
      </c>
      <c r="O42" s="24">
        <f>Table2571113152523333537394145495153591214161820222426283032343640424446[[#This Row],[R]]/2</f>
        <v>3.8339120370370371E-4</v>
      </c>
      <c r="P42" s="9">
        <f>Table2571113152523333537394145495153591214161820222426283032343640424446[[#This Row],[R]]/2*1.5</f>
        <v>5.7508680555555557E-4</v>
      </c>
      <c r="Q42" s="24" t="s">
        <v>122</v>
      </c>
      <c r="R42" s="9"/>
      <c r="S42" s="12"/>
      <c r="T42" s="96"/>
      <c r="U42" s="9"/>
      <c r="V42" s="23" t="s">
        <v>24</v>
      </c>
      <c r="W42" s="108"/>
    </row>
    <row r="43" spans="1:23" ht="17.149999999999999" customHeight="1" x14ac:dyDescent="0.35">
      <c r="A43" s="8" t="s">
        <v>113</v>
      </c>
      <c r="B43" s="9">
        <v>1.1805555555555555E-2</v>
      </c>
      <c r="C43" s="9">
        <v>3.414351851851852E-3</v>
      </c>
      <c r="D43" s="9">
        <f t="shared" si="23"/>
        <v>6.868472222222222E-3</v>
      </c>
      <c r="E43" s="10">
        <v>0.58179999999999998</v>
      </c>
      <c r="F43" s="9">
        <f t="shared" si="24"/>
        <v>8.53587962962963E-4</v>
      </c>
      <c r="G43" s="9">
        <f t="shared" si="25"/>
        <v>9.1579629629629628E-4</v>
      </c>
      <c r="H43" s="9">
        <f t="shared" si="26"/>
        <v>9.4444444444444437E-4</v>
      </c>
      <c r="I43" s="9">
        <f t="shared" si="27"/>
        <v>9.8472720031859799E-4</v>
      </c>
      <c r="J43" s="9">
        <f t="shared" si="28"/>
        <v>9.9543075684380036E-4</v>
      </c>
      <c r="K43" s="9">
        <f t="shared" si="29"/>
        <v>1.0406776094276093E-3</v>
      </c>
      <c r="L43" s="9">
        <f t="shared" si="30"/>
        <v>1.0902336860670195E-3</v>
      </c>
      <c r="M43" s="11">
        <f>Table2571113152523333537394145495153591214161820222426283032343640424446[[#This Row],[Thresh]]</f>
        <v>1.0406776094276093E-3</v>
      </c>
      <c r="N43" s="9">
        <f>Table2571113152523333537394145495153591214161820222426283032343640424446[[#This Row],[Thresh]]*2</f>
        <v>2.0813552188552187E-3</v>
      </c>
      <c r="O43" s="24">
        <f>Table2571113152523333537394145495153591214161820222426283032343640424446[[#This Row],[R]]/2</f>
        <v>4.267939814814815E-4</v>
      </c>
      <c r="P43" s="9">
        <f>Table2571113152523333537394145495153591214161820222426283032343640424446[[#This Row],[R]]/2*1.5</f>
        <v>6.4019097222222222E-4</v>
      </c>
      <c r="Q43" s="24" t="s">
        <v>122</v>
      </c>
      <c r="R43" s="9"/>
      <c r="S43" s="24"/>
      <c r="T43" s="24"/>
      <c r="V43" s="23" t="s">
        <v>24</v>
      </c>
      <c r="W43" s="104" t="s">
        <v>126</v>
      </c>
    </row>
    <row r="44" spans="1:23" ht="17.149999999999999" customHeight="1" x14ac:dyDescent="0.35">
      <c r="A44" s="8" t="s">
        <v>61</v>
      </c>
      <c r="B44" s="9">
        <v>1.0416666666666666E-2</v>
      </c>
      <c r="C44" s="9">
        <v>2.8935185185185188E-3</v>
      </c>
      <c r="D44" s="9">
        <f t="shared" si="23"/>
        <v>6.0604166666666662E-3</v>
      </c>
      <c r="E44" s="10">
        <v>0.58179999999999998</v>
      </c>
      <c r="F44" s="9">
        <f t="shared" si="24"/>
        <v>7.233796296296297E-4</v>
      </c>
      <c r="G44" s="9">
        <f t="shared" si="25"/>
        <v>8.0805555555555546E-4</v>
      </c>
      <c r="H44" s="9">
        <f t="shared" si="26"/>
        <v>8.3333333333333328E-4</v>
      </c>
      <c r="I44" s="9">
        <f t="shared" si="27"/>
        <v>8.6887694145758646E-4</v>
      </c>
      <c r="J44" s="9">
        <f t="shared" si="28"/>
        <v>8.7832125603864715E-4</v>
      </c>
      <c r="K44" s="9">
        <f t="shared" si="29"/>
        <v>9.1824494949494938E-4</v>
      </c>
      <c r="L44" s="9">
        <f t="shared" si="30"/>
        <v>9.6197089947089938E-4</v>
      </c>
      <c r="M44" s="11"/>
      <c r="N44" s="9"/>
      <c r="O44" s="24"/>
      <c r="P44" s="9"/>
      <c r="Q44" s="24"/>
      <c r="R44" s="9"/>
      <c r="S44" s="12"/>
      <c r="T44" s="9"/>
      <c r="U44" s="9"/>
      <c r="V44" s="23" t="s">
        <v>5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24"/>
        <v>0</v>
      </c>
      <c r="G45" s="9">
        <f t="shared" si="25"/>
        <v>0</v>
      </c>
      <c r="H45" s="9">
        <f t="shared" si="26"/>
        <v>0</v>
      </c>
      <c r="I45" s="9">
        <f t="shared" si="27"/>
        <v>0</v>
      </c>
      <c r="J45" s="9">
        <f t="shared" si="28"/>
        <v>0</v>
      </c>
      <c r="K45" s="9">
        <f t="shared" si="29"/>
        <v>0</v>
      </c>
      <c r="L45" s="9">
        <f t="shared" si="30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91</v>
      </c>
      <c r="B47" s="9">
        <v>1.1458333333333334E-2</v>
      </c>
      <c r="C47" s="9">
        <v>3.2407407407407406E-3</v>
      </c>
      <c r="D47" s="9">
        <f t="shared" ref="D47:D62" si="31">B47*E47</f>
        <v>6.6664583333333333E-3</v>
      </c>
      <c r="E47" s="10">
        <v>0.58179999999999998</v>
      </c>
      <c r="F47" s="9">
        <f t="shared" ref="F47:F62" si="32">C47/4</f>
        <v>8.1018518518518516E-4</v>
      </c>
      <c r="G47" s="9">
        <f t="shared" ref="G47:G62" si="33">D47/7.5</f>
        <v>8.888611111111111E-4</v>
      </c>
      <c r="H47" s="9">
        <f t="shared" ref="H47:H62" si="34">B47/12.5</f>
        <v>9.1666666666666676E-4</v>
      </c>
      <c r="I47" s="9">
        <f t="shared" ref="I47:I62" si="35">G47/0.93</f>
        <v>9.5576463560334524E-4</v>
      </c>
      <c r="J47" s="9">
        <f t="shared" ref="J47:J62" si="36">G47/0.92</f>
        <v>9.6615338164251206E-4</v>
      </c>
      <c r="K47" s="9">
        <f t="shared" ref="K47:K62" si="37">G47/0.88</f>
        <v>1.0100694444444445E-3</v>
      </c>
      <c r="L47" s="9">
        <f t="shared" ref="L47:L62" si="38">G47/0.84</f>
        <v>1.0581679894179894E-3</v>
      </c>
      <c r="M47" s="11"/>
      <c r="N47" s="9"/>
      <c r="O47" s="24"/>
      <c r="P47" s="9"/>
      <c r="Q47" s="24"/>
      <c r="R47" s="9"/>
      <c r="S47" s="12"/>
      <c r="V47" s="23" t="s">
        <v>30</v>
      </c>
      <c r="W47" s="104"/>
    </row>
    <row r="48" spans="1:23" ht="17.149999999999999" customHeight="1" x14ac:dyDescent="0.35">
      <c r="A48" s="8" t="s">
        <v>81</v>
      </c>
      <c r="B48" s="9">
        <v>1.0763888888888891E-2</v>
      </c>
      <c r="C48" s="9">
        <v>3.0092592592592593E-3</v>
      </c>
      <c r="D48" s="9">
        <f t="shared" si="31"/>
        <v>6.2624305555555567E-3</v>
      </c>
      <c r="E48" s="10">
        <v>0.58179999999999998</v>
      </c>
      <c r="F48" s="9">
        <f t="shared" si="32"/>
        <v>7.5231481481481482E-4</v>
      </c>
      <c r="G48" s="9">
        <f t="shared" si="33"/>
        <v>8.3499074074074085E-4</v>
      </c>
      <c r="H48" s="9">
        <f t="shared" si="34"/>
        <v>8.6111111111111121E-4</v>
      </c>
      <c r="I48" s="9">
        <f t="shared" si="35"/>
        <v>8.9783950617283953E-4</v>
      </c>
      <c r="J48" s="9">
        <f t="shared" si="36"/>
        <v>9.0759863123993567E-4</v>
      </c>
      <c r="K48" s="9">
        <f t="shared" si="37"/>
        <v>9.4885311447811464E-4</v>
      </c>
      <c r="L48" s="9">
        <f t="shared" si="38"/>
        <v>9.9403659611992969E-4</v>
      </c>
      <c r="M48" s="11"/>
      <c r="N48" s="9"/>
      <c r="O48" s="24"/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73</v>
      </c>
      <c r="B49" s="9">
        <v>1.0011574074074074E-2</v>
      </c>
      <c r="C49" s="9">
        <v>2.8935185185185188E-3</v>
      </c>
      <c r="D49" s="9">
        <f t="shared" si="31"/>
        <v>5.8247337962962957E-3</v>
      </c>
      <c r="E49" s="10">
        <v>0.58179999999999998</v>
      </c>
      <c r="F49" s="9">
        <f t="shared" si="32"/>
        <v>7.233796296296297E-4</v>
      </c>
      <c r="G49" s="9">
        <f t="shared" si="33"/>
        <v>7.7663117283950612E-4</v>
      </c>
      <c r="H49" s="9">
        <f t="shared" si="34"/>
        <v>8.0092592592592585E-4</v>
      </c>
      <c r="I49" s="9">
        <f t="shared" si="35"/>
        <v>8.3508728262312486E-4</v>
      </c>
      <c r="J49" s="9">
        <f t="shared" si="36"/>
        <v>8.4416431830381094E-4</v>
      </c>
      <c r="K49" s="9">
        <f t="shared" si="37"/>
        <v>8.825354236812569E-4</v>
      </c>
      <c r="L49" s="9">
        <f t="shared" si="38"/>
        <v>9.2456092004703113E-4</v>
      </c>
      <c r="M49" s="11"/>
      <c r="N49" s="9"/>
      <c r="O49" s="24"/>
      <c r="P49" s="9"/>
      <c r="Q49" s="24"/>
      <c r="R49" s="9"/>
      <c r="S49" s="24"/>
      <c r="T49" s="24"/>
      <c r="U49" s="24"/>
      <c r="V49" s="23" t="s">
        <v>30</v>
      </c>
      <c r="W49" s="104"/>
    </row>
    <row r="50" spans="1:23" ht="17.149999999999999" customHeight="1" x14ac:dyDescent="0.35">
      <c r="A50" s="8" t="s">
        <v>74</v>
      </c>
      <c r="B50" s="9">
        <v>1.0243055555555556E-2</v>
      </c>
      <c r="C50" s="9">
        <v>2.9513888888888888E-3</v>
      </c>
      <c r="D50" s="9">
        <f t="shared" si="31"/>
        <v>5.9594097222222218E-3</v>
      </c>
      <c r="E50" s="10">
        <v>0.58179999999999998</v>
      </c>
      <c r="F50" s="9">
        <f t="shared" si="32"/>
        <v>7.378472222222222E-4</v>
      </c>
      <c r="G50" s="9">
        <f t="shared" si="33"/>
        <v>7.9458796296296287E-4</v>
      </c>
      <c r="H50" s="9">
        <f t="shared" si="34"/>
        <v>8.1944444444444447E-4</v>
      </c>
      <c r="I50" s="9">
        <f t="shared" si="35"/>
        <v>8.5439565909996003E-4</v>
      </c>
      <c r="J50" s="9">
        <f t="shared" si="36"/>
        <v>8.636825684380031E-4</v>
      </c>
      <c r="K50" s="9">
        <f t="shared" si="37"/>
        <v>9.0294086700336686E-4</v>
      </c>
      <c r="L50" s="9">
        <f t="shared" si="38"/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82</v>
      </c>
      <c r="B51" s="9">
        <v>1.0416666666666666E-2</v>
      </c>
      <c r="C51" s="9">
        <v>3.0092592592592588E-3</v>
      </c>
      <c r="D51" s="9">
        <f t="shared" si="31"/>
        <v>6.0604166666666662E-3</v>
      </c>
      <c r="E51" s="10">
        <v>0.58179999999999998</v>
      </c>
      <c r="F51" s="9">
        <f t="shared" si="32"/>
        <v>7.5231481481481471E-4</v>
      </c>
      <c r="G51" s="9">
        <f t="shared" si="33"/>
        <v>8.0805555555555546E-4</v>
      </c>
      <c r="H51" s="9">
        <f t="shared" si="34"/>
        <v>8.3333333333333328E-4</v>
      </c>
      <c r="I51" s="9">
        <f t="shared" si="35"/>
        <v>8.6887694145758646E-4</v>
      </c>
      <c r="J51" s="9">
        <f t="shared" si="36"/>
        <v>8.7832125603864715E-4</v>
      </c>
      <c r="K51" s="9">
        <f t="shared" si="37"/>
        <v>9.1824494949494938E-4</v>
      </c>
      <c r="L51" s="9">
        <f t="shared" si="38"/>
        <v>9.6197089947089938E-4</v>
      </c>
      <c r="M51" s="11"/>
      <c r="N51" s="9"/>
      <c r="O51" s="24"/>
      <c r="P51" s="9"/>
      <c r="Q51" s="24"/>
      <c r="R51" s="9"/>
      <c r="S51" s="24"/>
      <c r="T51" s="97"/>
      <c r="U51" s="24"/>
      <c r="V51" s="23" t="s">
        <v>30</v>
      </c>
      <c r="W51" s="104"/>
    </row>
    <row r="52" spans="1:23" ht="17.149999999999999" customHeight="1" x14ac:dyDescent="0.35">
      <c r="A52" s="8" t="s">
        <v>83</v>
      </c>
      <c r="B52" s="9">
        <v>1.0763888888888891E-2</v>
      </c>
      <c r="C52" s="9">
        <v>3.0092592592592588E-3</v>
      </c>
      <c r="D52" s="9">
        <f t="shared" si="31"/>
        <v>6.2624305555555567E-3</v>
      </c>
      <c r="E52" s="10">
        <v>0.58179999999999998</v>
      </c>
      <c r="F52" s="9">
        <f t="shared" si="32"/>
        <v>7.5231481481481471E-4</v>
      </c>
      <c r="G52" s="9">
        <f t="shared" si="33"/>
        <v>8.3499074074074085E-4</v>
      </c>
      <c r="H52" s="9">
        <f t="shared" si="34"/>
        <v>8.6111111111111121E-4</v>
      </c>
      <c r="I52" s="9">
        <f t="shared" si="35"/>
        <v>8.9783950617283953E-4</v>
      </c>
      <c r="J52" s="9">
        <f t="shared" si="36"/>
        <v>9.0759863123993567E-4</v>
      </c>
      <c r="K52" s="9">
        <f t="shared" si="37"/>
        <v>9.4885311447811464E-4</v>
      </c>
      <c r="L52" s="9">
        <f t="shared" si="38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30</v>
      </c>
      <c r="W52" s="104"/>
    </row>
    <row r="53" spans="1:23" ht="17.149999999999999" customHeight="1" x14ac:dyDescent="0.35">
      <c r="A53" s="8" t="s">
        <v>84</v>
      </c>
      <c r="B53" s="9">
        <v>1.0763888888888891E-2</v>
      </c>
      <c r="C53" s="9">
        <v>3.0671296296296297E-3</v>
      </c>
      <c r="D53" s="9">
        <f t="shared" si="31"/>
        <v>6.2624305555555567E-3</v>
      </c>
      <c r="E53" s="10">
        <v>0.58179999999999998</v>
      </c>
      <c r="F53" s="9">
        <f t="shared" si="32"/>
        <v>7.6678240740740743E-4</v>
      </c>
      <c r="G53" s="9">
        <f t="shared" si="33"/>
        <v>8.3499074074074085E-4</v>
      </c>
      <c r="H53" s="9">
        <f t="shared" si="34"/>
        <v>8.6111111111111121E-4</v>
      </c>
      <c r="I53" s="9">
        <f t="shared" si="35"/>
        <v>8.9783950617283953E-4</v>
      </c>
      <c r="J53" s="9">
        <f t="shared" si="36"/>
        <v>9.0759863123993567E-4</v>
      </c>
      <c r="K53" s="9">
        <f t="shared" si="37"/>
        <v>9.4885311447811464E-4</v>
      </c>
      <c r="L53" s="9">
        <f t="shared" si="38"/>
        <v>9.9403659611992969E-4</v>
      </c>
      <c r="M53" s="11"/>
      <c r="N53" s="9"/>
      <c r="O53" s="24"/>
      <c r="P53" s="9"/>
      <c r="Q53" s="24"/>
      <c r="R53" s="9"/>
      <c r="S53" s="9"/>
      <c r="T53" s="24"/>
      <c r="V53" s="23" t="s">
        <v>30</v>
      </c>
      <c r="W53" s="104"/>
    </row>
    <row r="54" spans="1:23" ht="17.149999999999999" customHeight="1" x14ac:dyDescent="0.35">
      <c r="A54" s="8" t="s">
        <v>86</v>
      </c>
      <c r="B54" s="9">
        <v>1.087962962962963E-2</v>
      </c>
      <c r="C54" s="9">
        <v>3.1249999999999997E-3</v>
      </c>
      <c r="D54" s="9">
        <f t="shared" si="31"/>
        <v>6.3297685185185184E-3</v>
      </c>
      <c r="E54" s="10">
        <v>0.58179999999999998</v>
      </c>
      <c r="F54" s="9">
        <f t="shared" si="32"/>
        <v>7.8124999999999993E-4</v>
      </c>
      <c r="G54" s="9">
        <f t="shared" si="33"/>
        <v>8.4396913580246917E-4</v>
      </c>
      <c r="H54" s="9">
        <f t="shared" si="34"/>
        <v>8.7037037037037042E-4</v>
      </c>
      <c r="I54" s="9">
        <f t="shared" si="35"/>
        <v>9.0749369441125711E-4</v>
      </c>
      <c r="J54" s="9">
        <f t="shared" si="36"/>
        <v>9.173577563070317E-4</v>
      </c>
      <c r="K54" s="9">
        <f t="shared" si="37"/>
        <v>9.5905583613916951E-4</v>
      </c>
      <c r="L54" s="9">
        <f t="shared" si="38"/>
        <v>1.0047251616696062E-3</v>
      </c>
      <c r="M54" s="11"/>
      <c r="N54" s="9"/>
      <c r="O54" s="24"/>
      <c r="P54" s="9"/>
      <c r="Q54" s="24"/>
      <c r="R54" s="9"/>
      <c r="S54" s="24"/>
      <c r="T54" s="24"/>
      <c r="U54" s="24"/>
      <c r="V54" s="23" t="s">
        <v>30</v>
      </c>
      <c r="W54" s="104"/>
    </row>
    <row r="55" spans="1:23" ht="17.149999999999999" customHeight="1" x14ac:dyDescent="0.35">
      <c r="A55" s="8" t="s">
        <v>90</v>
      </c>
      <c r="B55" s="9">
        <v>1.1111111111111112E-2</v>
      </c>
      <c r="C55" s="9">
        <v>3.1828703703703702E-3</v>
      </c>
      <c r="D55" s="9">
        <f t="shared" si="31"/>
        <v>6.4644444444444445E-3</v>
      </c>
      <c r="E55" s="10">
        <v>0.58179999999999998</v>
      </c>
      <c r="F55" s="9">
        <f t="shared" si="32"/>
        <v>7.9571759259259255E-4</v>
      </c>
      <c r="G55" s="9">
        <f t="shared" si="33"/>
        <v>8.6192592592592592E-4</v>
      </c>
      <c r="H55" s="9">
        <f t="shared" si="34"/>
        <v>8.8888888888888893E-4</v>
      </c>
      <c r="I55" s="9">
        <f t="shared" si="35"/>
        <v>9.2680207088809239E-4</v>
      </c>
      <c r="J55" s="9">
        <f t="shared" si="36"/>
        <v>9.3687600644122375E-4</v>
      </c>
      <c r="K55" s="9">
        <f t="shared" si="37"/>
        <v>9.7946127946127947E-4</v>
      </c>
      <c r="L55" s="9">
        <f t="shared" si="38"/>
        <v>1.0261022927689596E-3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30</v>
      </c>
      <c r="W55" s="104"/>
    </row>
    <row r="56" spans="1:23" ht="17.149999999999999" customHeight="1" x14ac:dyDescent="0.35">
      <c r="A56" s="8" t="s">
        <v>68</v>
      </c>
      <c r="B56" s="9">
        <v>1.1226851851851854E-2</v>
      </c>
      <c r="C56" s="9">
        <v>3.1828703703703702E-3</v>
      </c>
      <c r="D56" s="9">
        <f t="shared" si="31"/>
        <v>6.5317824074074089E-3</v>
      </c>
      <c r="E56" s="10">
        <v>0.58179999999999998</v>
      </c>
      <c r="F56" s="9">
        <f t="shared" si="32"/>
        <v>7.9571759259259255E-4</v>
      </c>
      <c r="G56" s="9">
        <f t="shared" si="33"/>
        <v>8.7090432098765457E-4</v>
      </c>
      <c r="H56" s="9">
        <f t="shared" si="34"/>
        <v>8.9814814814814835E-4</v>
      </c>
      <c r="I56" s="9">
        <f t="shared" si="35"/>
        <v>9.3645625912651019E-4</v>
      </c>
      <c r="J56" s="9">
        <f t="shared" si="36"/>
        <v>9.4663513150832011E-4</v>
      </c>
      <c r="K56" s="9">
        <f t="shared" si="37"/>
        <v>9.8966400112233477E-4</v>
      </c>
      <c r="L56" s="9">
        <f t="shared" si="38"/>
        <v>1.0367908583186363E-3</v>
      </c>
      <c r="M56" s="11"/>
      <c r="N56" s="9"/>
      <c r="O56" s="24"/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92</v>
      </c>
      <c r="B57" s="9">
        <v>1.1111111111111112E-2</v>
      </c>
      <c r="C57" s="9">
        <v>3.2407407407407406E-3</v>
      </c>
      <c r="D57" s="9">
        <f t="shared" si="31"/>
        <v>6.4644444444444445E-3</v>
      </c>
      <c r="E57" s="10">
        <v>0.58179999999999998</v>
      </c>
      <c r="F57" s="9">
        <f t="shared" si="32"/>
        <v>8.1018518518518516E-4</v>
      </c>
      <c r="G57" s="9">
        <f t="shared" si="33"/>
        <v>8.6192592592592592E-4</v>
      </c>
      <c r="H57" s="9">
        <f t="shared" si="34"/>
        <v>8.8888888888888893E-4</v>
      </c>
      <c r="I57" s="9">
        <f t="shared" si="35"/>
        <v>9.2680207088809239E-4</v>
      </c>
      <c r="J57" s="9">
        <f t="shared" si="36"/>
        <v>9.3687600644122375E-4</v>
      </c>
      <c r="K57" s="9">
        <f t="shared" si="37"/>
        <v>9.7946127946127947E-4</v>
      </c>
      <c r="L57" s="9">
        <f t="shared" si="38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93</v>
      </c>
      <c r="B58" s="9">
        <v>1.1921296296296298E-2</v>
      </c>
      <c r="C58" s="9">
        <v>3.414351851851852E-3</v>
      </c>
      <c r="D58" s="9">
        <f t="shared" si="31"/>
        <v>6.9358101851851863E-3</v>
      </c>
      <c r="E58" s="10">
        <v>0.58179999999999998</v>
      </c>
      <c r="F58" s="9">
        <f t="shared" si="32"/>
        <v>8.53587962962963E-4</v>
      </c>
      <c r="G58" s="9">
        <f t="shared" si="33"/>
        <v>9.2477469135802482E-4</v>
      </c>
      <c r="H58" s="9">
        <f t="shared" si="34"/>
        <v>9.5370370370370379E-4</v>
      </c>
      <c r="I58" s="9">
        <f t="shared" si="35"/>
        <v>9.943813885570159E-4</v>
      </c>
      <c r="J58" s="9">
        <f t="shared" si="36"/>
        <v>1.0051898819108964E-3</v>
      </c>
      <c r="K58" s="9">
        <f t="shared" si="37"/>
        <v>1.0508803310886646E-3</v>
      </c>
      <c r="L58" s="9">
        <f t="shared" si="38"/>
        <v>1.1009222516166963E-3</v>
      </c>
      <c r="M58" s="11"/>
      <c r="N58" s="9"/>
      <c r="O58" s="24"/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70</v>
      </c>
      <c r="B59" s="9">
        <v>9.780092592592592E-3</v>
      </c>
      <c r="C59" s="9">
        <v>2.8124999999999995E-3</v>
      </c>
      <c r="D59" s="9">
        <f t="shared" si="31"/>
        <v>5.6900578703703696E-3</v>
      </c>
      <c r="E59" s="10">
        <v>0.58179999999999998</v>
      </c>
      <c r="F59" s="9">
        <f t="shared" si="32"/>
        <v>7.0312499999999987E-4</v>
      </c>
      <c r="G59" s="9">
        <f t="shared" si="33"/>
        <v>7.5867438271604926E-4</v>
      </c>
      <c r="H59" s="9">
        <f t="shared" si="34"/>
        <v>7.8240740740740734E-4</v>
      </c>
      <c r="I59" s="9">
        <f t="shared" si="35"/>
        <v>8.1577890614628948E-4</v>
      </c>
      <c r="J59" s="9">
        <f t="shared" si="36"/>
        <v>8.2464606816961877E-4</v>
      </c>
      <c r="K59" s="9">
        <f t="shared" si="37"/>
        <v>8.6212998035914683E-4</v>
      </c>
      <c r="L59" s="9">
        <f t="shared" si="38"/>
        <v>9.031837889476777E-4</v>
      </c>
      <c r="M59" s="11"/>
      <c r="N59" s="9"/>
      <c r="O59" s="24"/>
      <c r="P59" s="9"/>
      <c r="Q59" s="24"/>
      <c r="R59" s="9"/>
      <c r="S59" s="12"/>
      <c r="T59" s="25"/>
      <c r="V59" s="23" t="s">
        <v>5</v>
      </c>
      <c r="W59" s="104"/>
    </row>
    <row r="60" spans="1:23" ht="17.149999999999999" customHeight="1" x14ac:dyDescent="0.35">
      <c r="A60" s="8" t="s">
        <v>71</v>
      </c>
      <c r="B60" s="9">
        <v>1.0011574074074074E-2</v>
      </c>
      <c r="C60" s="9">
        <v>2.8935185185185188E-3</v>
      </c>
      <c r="D60" s="9">
        <f t="shared" si="31"/>
        <v>5.8247337962962957E-3</v>
      </c>
      <c r="E60" s="10">
        <v>0.58179999999999998</v>
      </c>
      <c r="F60" s="9">
        <f t="shared" si="32"/>
        <v>7.233796296296297E-4</v>
      </c>
      <c r="G60" s="9">
        <f t="shared" si="33"/>
        <v>7.7663117283950612E-4</v>
      </c>
      <c r="H60" s="9">
        <f t="shared" si="34"/>
        <v>8.0092592592592585E-4</v>
      </c>
      <c r="I60" s="9">
        <f t="shared" si="35"/>
        <v>8.3508728262312486E-4</v>
      </c>
      <c r="J60" s="9">
        <f t="shared" si="36"/>
        <v>8.4416431830381094E-4</v>
      </c>
      <c r="K60" s="9">
        <f t="shared" si="37"/>
        <v>8.825354236812569E-4</v>
      </c>
      <c r="L60" s="9">
        <f t="shared" si="38"/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5</v>
      </c>
      <c r="W60" s="104"/>
    </row>
    <row r="61" spans="1:23" ht="17.149999999999999" customHeight="1" x14ac:dyDescent="0.35">
      <c r="A61" s="8" t="s">
        <v>72</v>
      </c>
      <c r="B61" s="9">
        <v>1.0127314814814815E-2</v>
      </c>
      <c r="C61" s="9">
        <v>2.8935185185185188E-3</v>
      </c>
      <c r="D61" s="9">
        <f t="shared" si="31"/>
        <v>5.8920717592592592E-3</v>
      </c>
      <c r="E61" s="10">
        <v>0.58179999999999998</v>
      </c>
      <c r="F61" s="9">
        <f t="shared" si="32"/>
        <v>7.233796296296297E-4</v>
      </c>
      <c r="G61" s="9">
        <f t="shared" si="33"/>
        <v>7.8560956790123455E-4</v>
      </c>
      <c r="H61" s="9">
        <f t="shared" si="34"/>
        <v>8.1018518518518516E-4</v>
      </c>
      <c r="I61" s="9">
        <f t="shared" si="35"/>
        <v>8.4474147086154245E-4</v>
      </c>
      <c r="J61" s="9">
        <f t="shared" si="36"/>
        <v>8.5392344337090708E-4</v>
      </c>
      <c r="K61" s="9">
        <f t="shared" si="37"/>
        <v>8.9273814534231199E-4</v>
      </c>
      <c r="L61" s="9">
        <f t="shared" si="38"/>
        <v>9.3524948559670779E-4</v>
      </c>
      <c r="M61" s="11"/>
      <c r="N61" s="9"/>
      <c r="O61" s="24"/>
      <c r="P61" s="9"/>
      <c r="Q61" s="24"/>
      <c r="R61" s="9"/>
      <c r="S61" s="12"/>
      <c r="T61" s="25"/>
      <c r="V61" s="23" t="s">
        <v>5</v>
      </c>
      <c r="W61" s="105"/>
    </row>
    <row r="62" spans="1:23" ht="17.149999999999999" customHeight="1" x14ac:dyDescent="0.35">
      <c r="A62" s="8" t="s">
        <v>76</v>
      </c>
      <c r="B62" s="9">
        <v>1.0011574074074074E-2</v>
      </c>
      <c r="C62" s="9">
        <v>2.9513888888888888E-3</v>
      </c>
      <c r="D62" s="9">
        <f t="shared" si="31"/>
        <v>5.8247337962962957E-3</v>
      </c>
      <c r="E62" s="10">
        <v>0.58179999999999998</v>
      </c>
      <c r="F62" s="9">
        <f t="shared" si="32"/>
        <v>7.378472222222222E-4</v>
      </c>
      <c r="G62" s="9">
        <f t="shared" si="33"/>
        <v>7.7663117283950612E-4</v>
      </c>
      <c r="H62" s="9">
        <f t="shared" si="34"/>
        <v>8.0092592592592585E-4</v>
      </c>
      <c r="I62" s="9">
        <f t="shared" si="35"/>
        <v>8.3508728262312486E-4</v>
      </c>
      <c r="J62" s="9">
        <f t="shared" si="36"/>
        <v>8.4416431830381094E-4</v>
      </c>
      <c r="K62" s="9">
        <f t="shared" si="37"/>
        <v>8.825354236812569E-4</v>
      </c>
      <c r="L62" s="9">
        <f t="shared" si="38"/>
        <v>9.2456092004703113E-4</v>
      </c>
      <c r="M62" s="11"/>
      <c r="N62" s="9"/>
      <c r="O62" s="24"/>
      <c r="P62" s="9"/>
      <c r="Q62" s="24"/>
      <c r="R62" s="9"/>
      <c r="S62" s="24"/>
      <c r="T62" s="24"/>
      <c r="U62" s="24"/>
      <c r="V62" s="23" t="s">
        <v>5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116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78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/>
      <c r="N68" s="9"/>
      <c r="O68" s="24"/>
      <c r="P68" s="12"/>
      <c r="Q68" s="97"/>
      <c r="R68" s="9"/>
      <c r="S68" s="24"/>
      <c r="T68" s="97"/>
      <c r="U68" s="24"/>
      <c r="V68" s="23" t="s">
        <v>34</v>
      </c>
      <c r="W68" s="108"/>
    </row>
    <row r="69" spans="1:23" ht="17.149999999999999" customHeight="1" x14ac:dyDescent="0.35">
      <c r="A69" s="8" t="s">
        <v>99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/>
      <c r="N69" s="9"/>
      <c r="O69" s="24"/>
      <c r="P69" s="12"/>
      <c r="Q69" s="97"/>
      <c r="R69" s="9"/>
      <c r="S69" s="24"/>
      <c r="T69" s="97"/>
      <c r="U69" s="24"/>
      <c r="V69" s="23" t="s">
        <v>34</v>
      </c>
      <c r="W69" s="108"/>
    </row>
    <row r="70" spans="1:23" ht="17.149999999999999" customHeight="1" x14ac:dyDescent="0.35">
      <c r="A70" s="8" t="s">
        <v>80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34</v>
      </c>
      <c r="W70" s="108"/>
    </row>
    <row r="71" spans="1:23" ht="17.149999999999999" customHeight="1" x14ac:dyDescent="0.35">
      <c r="A71" s="8" t="s">
        <v>77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/>
      <c r="N71" s="9"/>
      <c r="O71" s="24"/>
      <c r="P71" s="12"/>
      <c r="Q71" s="97"/>
      <c r="R71" s="9"/>
      <c r="S71" s="9"/>
      <c r="T71" s="24"/>
      <c r="U71" s="24"/>
      <c r="V71" s="23" t="s">
        <v>34</v>
      </c>
      <c r="W71" s="108"/>
    </row>
    <row r="72" spans="1:23" ht="17.149999999999999" customHeight="1" x14ac:dyDescent="0.35">
      <c r="A72" s="8" t="s">
        <v>102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34</v>
      </c>
      <c r="W72" s="108"/>
    </row>
    <row r="73" spans="1:23" ht="17.149999999999999" customHeight="1" x14ac:dyDescent="0.35">
      <c r="A73" s="8" t="s">
        <v>85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/>
      <c r="N73" s="9"/>
      <c r="O73" s="24"/>
      <c r="P73" s="12"/>
      <c r="Q73" s="97"/>
      <c r="R73" s="9"/>
      <c r="S73" s="24"/>
      <c r="T73" s="24"/>
      <c r="U73" s="24"/>
      <c r="V73" s="23" t="s">
        <v>34</v>
      </c>
      <c r="W73" s="108"/>
    </row>
    <row r="74" spans="1:23" ht="17.149999999999999" customHeight="1" x14ac:dyDescent="0.35">
      <c r="A74" s="8" t="s">
        <v>87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/>
      <c r="N74" s="9"/>
      <c r="O74" s="24"/>
      <c r="P74" s="12"/>
      <c r="Q74" s="97"/>
      <c r="R74" s="9"/>
      <c r="S74" s="9"/>
      <c r="T74" s="24"/>
      <c r="U74" s="24"/>
      <c r="V74" s="23" t="s">
        <v>34</v>
      </c>
      <c r="W74" s="108"/>
    </row>
    <row r="75" spans="1:23" ht="17.149999999999999" customHeight="1" x14ac:dyDescent="0.35">
      <c r="A75" s="8" t="s">
        <v>109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/>
      <c r="N75" s="9"/>
      <c r="O75" s="24"/>
      <c r="P75" s="12"/>
      <c r="Q75" s="97"/>
      <c r="R75" s="9"/>
      <c r="S75" s="9"/>
      <c r="T75" s="24"/>
      <c r="U75" s="24"/>
      <c r="V75" s="23" t="s">
        <v>34</v>
      </c>
      <c r="W75" s="108"/>
    </row>
    <row r="76" spans="1:23" ht="17.149999999999999" customHeight="1" x14ac:dyDescent="0.35">
      <c r="A76" s="8" t="s">
        <v>110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34</v>
      </c>
      <c r="W76" s="104"/>
    </row>
    <row r="77" spans="1:23" ht="17.149999999999999" customHeight="1" x14ac:dyDescent="0.35">
      <c r="A77" s="8" t="s">
        <v>111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34</v>
      </c>
      <c r="W77" s="104"/>
    </row>
    <row r="78" spans="1:23" ht="17.149999999999999" customHeight="1" x14ac:dyDescent="0.35">
      <c r="A78" s="8" t="s">
        <v>88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34</v>
      </c>
      <c r="W78" s="104"/>
    </row>
    <row r="79" spans="1:23" ht="17.149999999999999" customHeight="1" x14ac:dyDescent="0.35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4"/>
    </row>
    <row r="80" spans="1:23" ht="17.149999999999999" customHeight="1" x14ac:dyDescent="0.35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/>
      <c r="N80" s="15"/>
      <c r="O80" s="15"/>
      <c r="P80" s="15"/>
      <c r="Q80" s="15"/>
      <c r="R80" s="15"/>
      <c r="S80" s="15"/>
      <c r="T80" s="15"/>
      <c r="U80" s="15"/>
      <c r="V80" s="17"/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48</v>
      </c>
      <c r="W81" s="104"/>
    </row>
    <row r="82" spans="1:23" ht="17.149999999999999" customHeight="1" x14ac:dyDescent="0.35">
      <c r="A82" s="8" t="s">
        <v>98</v>
      </c>
      <c r="B82" s="9">
        <v>1.0243055555555556E-2</v>
      </c>
      <c r="C82" s="9">
        <v>3.0092592592592588E-3</v>
      </c>
      <c r="D82" s="9">
        <f t="shared" si="47"/>
        <v>5.9594097222222218E-3</v>
      </c>
      <c r="E82" s="10">
        <v>0.58179999999999998</v>
      </c>
      <c r="F82" s="9">
        <f t="shared" si="48"/>
        <v>7.5231481481481471E-4</v>
      </c>
      <c r="G82" s="9">
        <f t="shared" si="49"/>
        <v>7.9458796296296287E-4</v>
      </c>
      <c r="H82" s="9">
        <f t="shared" si="50"/>
        <v>8.1944444444444447E-4</v>
      </c>
      <c r="I82" s="9">
        <f t="shared" si="51"/>
        <v>8.5439565909996003E-4</v>
      </c>
      <c r="J82" s="9">
        <f t="shared" si="52"/>
        <v>8.636825684380031E-4</v>
      </c>
      <c r="K82" s="9">
        <f t="shared" si="53"/>
        <v>9.0294086700336686E-4</v>
      </c>
      <c r="L82" s="9">
        <f t="shared" si="54"/>
        <v>9.4593805114638445E-4</v>
      </c>
      <c r="M82" s="11"/>
      <c r="N82" s="9"/>
      <c r="O82" s="24"/>
      <c r="P82" s="9"/>
      <c r="Q82" s="24"/>
      <c r="R82" s="9"/>
      <c r="S82" s="24"/>
      <c r="T82" s="97"/>
      <c r="U82" s="100"/>
      <c r="V82" s="23" t="s">
        <v>48</v>
      </c>
      <c r="W82" s="104"/>
    </row>
    <row r="83" spans="1:23" ht="17.149999999999999" customHeight="1" x14ac:dyDescent="0.35">
      <c r="A83" s="8" t="s">
        <v>100</v>
      </c>
      <c r="B83" s="9">
        <v>1.0243055555555556E-2</v>
      </c>
      <c r="C83" s="9">
        <v>2.9745370370370373E-3</v>
      </c>
      <c r="D83" s="9">
        <f t="shared" si="47"/>
        <v>5.9594097222222218E-3</v>
      </c>
      <c r="E83" s="10">
        <v>0.58179999999999998</v>
      </c>
      <c r="F83" s="9">
        <f t="shared" si="48"/>
        <v>7.4363425925925931E-4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48</v>
      </c>
      <c r="W83" s="104"/>
    </row>
    <row r="84" spans="1:23" ht="17.149999999999999" customHeight="1" x14ac:dyDescent="0.35">
      <c r="A84" s="8" t="s">
        <v>101</v>
      </c>
      <c r="B84" s="9">
        <v>1.0243055555555556E-2</v>
      </c>
      <c r="C84" s="9">
        <v>3.0671296296296297E-3</v>
      </c>
      <c r="D84" s="9">
        <f t="shared" si="47"/>
        <v>5.9594097222222218E-3</v>
      </c>
      <c r="E84" s="10">
        <v>0.58179999999999998</v>
      </c>
      <c r="F84" s="9">
        <f t="shared" si="48"/>
        <v>7.6678240740740743E-4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48</v>
      </c>
      <c r="W84" s="104"/>
    </row>
    <row r="85" spans="1:23" ht="17.149999999999999" customHeight="1" x14ac:dyDescent="0.35">
      <c r="A85" s="8" t="s">
        <v>103</v>
      </c>
      <c r="B85" s="9">
        <v>1.064814814814815E-2</v>
      </c>
      <c r="C85" s="9">
        <v>3.0671296296296297E-3</v>
      </c>
      <c r="D85" s="9">
        <f t="shared" si="47"/>
        <v>6.1950925925925932E-3</v>
      </c>
      <c r="E85" s="10">
        <v>0.58179999999999998</v>
      </c>
      <c r="F85" s="9">
        <f t="shared" si="48"/>
        <v>7.6678240740740743E-4</v>
      </c>
      <c r="G85" s="9">
        <f t="shared" si="49"/>
        <v>8.2601234567901242E-4</v>
      </c>
      <c r="H85" s="9">
        <f t="shared" si="50"/>
        <v>8.5185185185185201E-4</v>
      </c>
      <c r="I85" s="9">
        <f t="shared" si="51"/>
        <v>8.8818531793442195E-4</v>
      </c>
      <c r="J85" s="9">
        <f t="shared" si="52"/>
        <v>8.9783950617283953E-4</v>
      </c>
      <c r="K85" s="9">
        <f t="shared" si="53"/>
        <v>9.3865039281705955E-4</v>
      </c>
      <c r="L85" s="9">
        <f t="shared" si="54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48</v>
      </c>
      <c r="W85" s="104"/>
    </row>
    <row r="86" spans="1:23" ht="17.149999999999999" customHeight="1" x14ac:dyDescent="0.35">
      <c r="A86" s="8" t="s">
        <v>104</v>
      </c>
      <c r="B86" s="9">
        <v>1.064814814814815E-2</v>
      </c>
      <c r="C86" s="9">
        <v>3.1249999999999997E-3</v>
      </c>
      <c r="D86" s="9">
        <f t="shared" si="47"/>
        <v>6.1950925925925932E-3</v>
      </c>
      <c r="E86" s="10">
        <v>0.58179999999999998</v>
      </c>
      <c r="F86" s="9">
        <f t="shared" si="48"/>
        <v>7.8124999999999993E-4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48</v>
      </c>
      <c r="W86" s="104"/>
    </row>
    <row r="87" spans="1:23" ht="17.149999999999999" customHeight="1" x14ac:dyDescent="0.35">
      <c r="A87" s="8" t="s">
        <v>105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48</v>
      </c>
      <c r="W87" s="104"/>
    </row>
    <row r="88" spans="1:23" ht="17.149999999999999" customHeight="1" x14ac:dyDescent="0.35">
      <c r="A88" s="8" t="s">
        <v>106</v>
      </c>
      <c r="B88" s="9">
        <v>1.0763888888888891E-2</v>
      </c>
      <c r="C88" s="9">
        <v>3.1249999999999997E-3</v>
      </c>
      <c r="D88" s="9">
        <f t="shared" si="47"/>
        <v>6.2624305555555567E-3</v>
      </c>
      <c r="E88" s="10">
        <v>0.58179999999999998</v>
      </c>
      <c r="F88" s="9">
        <f t="shared" si="48"/>
        <v>7.8124999999999993E-4</v>
      </c>
      <c r="G88" s="9">
        <f t="shared" si="49"/>
        <v>8.3499074074074085E-4</v>
      </c>
      <c r="H88" s="9">
        <f t="shared" si="50"/>
        <v>8.6111111111111121E-4</v>
      </c>
      <c r="I88" s="9">
        <f t="shared" si="51"/>
        <v>8.9783950617283953E-4</v>
      </c>
      <c r="J88" s="9">
        <f t="shared" si="52"/>
        <v>9.0759863123993567E-4</v>
      </c>
      <c r="K88" s="9">
        <f t="shared" si="53"/>
        <v>9.4885311447811464E-4</v>
      </c>
      <c r="L88" s="9">
        <f t="shared" si="54"/>
        <v>9.9403659611992969E-4</v>
      </c>
      <c r="M88" s="11"/>
      <c r="N88" s="9"/>
      <c r="O88" s="24"/>
      <c r="P88" s="9"/>
      <c r="Q88" s="24"/>
      <c r="R88" s="9"/>
      <c r="S88" s="9"/>
      <c r="T88" s="24"/>
      <c r="V88" s="23" t="s">
        <v>48</v>
      </c>
      <c r="W88" s="104"/>
    </row>
    <row r="89" spans="1:23" ht="17.149999999999999" customHeight="1" x14ac:dyDescent="0.35">
      <c r="A89" s="8" t="s">
        <v>107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/>
      <c r="N89" s="9"/>
      <c r="O89" s="24"/>
      <c r="P89" s="9"/>
      <c r="Q89" s="24"/>
      <c r="R89" s="9"/>
      <c r="S89" s="9"/>
      <c r="T89" s="24"/>
      <c r="V89" s="23" t="s">
        <v>48</v>
      </c>
      <c r="W89" s="104"/>
    </row>
    <row r="90" spans="1:23" ht="17.149999999999999" customHeight="1" x14ac:dyDescent="0.35">
      <c r="A90" s="8" t="s">
        <v>108</v>
      </c>
      <c r="B90" s="9">
        <v>1.0763888888888891E-2</v>
      </c>
      <c r="C90" s="9">
        <v>3.1828703703703702E-3</v>
      </c>
      <c r="D90" s="9">
        <f t="shared" si="47"/>
        <v>6.2624305555555567E-3</v>
      </c>
      <c r="E90" s="10">
        <v>0.58179999999999998</v>
      </c>
      <c r="F90" s="9">
        <f t="shared" si="48"/>
        <v>7.9571759259259255E-4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48</v>
      </c>
      <c r="W90" s="104"/>
    </row>
    <row r="91" spans="1:23" ht="17.149999999999999" customHeight="1" x14ac:dyDescent="0.35">
      <c r="A91" s="8" t="s">
        <v>94</v>
      </c>
      <c r="B91" s="9">
        <v>1.1574074074074073E-2</v>
      </c>
      <c r="C91" s="9">
        <v>3.414351851851852E-3</v>
      </c>
      <c r="D91" s="9">
        <f t="shared" si="47"/>
        <v>6.7337962962962959E-3</v>
      </c>
      <c r="E91" s="10">
        <v>0.58179999999999998</v>
      </c>
      <c r="F91" s="9">
        <f t="shared" si="48"/>
        <v>8.53587962962963E-4</v>
      </c>
      <c r="G91" s="9">
        <f t="shared" si="49"/>
        <v>8.9783950617283942E-4</v>
      </c>
      <c r="H91" s="9">
        <f t="shared" si="50"/>
        <v>9.2592592592592585E-4</v>
      </c>
      <c r="I91" s="9">
        <f t="shared" si="51"/>
        <v>9.6541882384176272E-4</v>
      </c>
      <c r="J91" s="9">
        <f t="shared" si="52"/>
        <v>9.7591250670960798E-4</v>
      </c>
      <c r="K91" s="9">
        <f t="shared" si="53"/>
        <v>1.0202721661054994E-3</v>
      </c>
      <c r="L91" s="9">
        <f t="shared" si="54"/>
        <v>1.068856554967666E-3</v>
      </c>
      <c r="M91" s="11"/>
      <c r="N91" s="9"/>
      <c r="O91" s="24"/>
      <c r="P91" s="9"/>
      <c r="Q91" s="24"/>
      <c r="R91" s="9"/>
      <c r="S91" s="24"/>
      <c r="V91" s="23" t="s">
        <v>48</v>
      </c>
      <c r="W91" s="104"/>
    </row>
    <row r="92" spans="1:23" ht="17.149999999999999" customHeight="1" x14ac:dyDescent="0.35">
      <c r="A92" s="8" t="s">
        <v>97</v>
      </c>
      <c r="B92" s="9">
        <v>1.0011574074074074E-2</v>
      </c>
      <c r="C92" s="9">
        <v>2.9745370370370373E-3</v>
      </c>
      <c r="D92" s="9">
        <f t="shared" si="47"/>
        <v>5.8247337962962957E-3</v>
      </c>
      <c r="E92" s="10">
        <v>0.58179999999999998</v>
      </c>
      <c r="F92" s="9">
        <f t="shared" si="48"/>
        <v>7.4363425925925931E-4</v>
      </c>
      <c r="G92" s="9">
        <f t="shared" si="49"/>
        <v>7.7663117283950612E-4</v>
      </c>
      <c r="H92" s="9">
        <f t="shared" si="50"/>
        <v>8.0092592592592585E-4</v>
      </c>
      <c r="I92" s="9">
        <f t="shared" si="51"/>
        <v>8.3508728262312486E-4</v>
      </c>
      <c r="J92" s="9">
        <f t="shared" si="52"/>
        <v>8.4416431830381094E-4</v>
      </c>
      <c r="K92" s="9">
        <f t="shared" si="53"/>
        <v>8.825354236812569E-4</v>
      </c>
      <c r="L92" s="9">
        <f t="shared" si="54"/>
        <v>9.2456092004703113E-4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</v>
      </c>
      <c r="W92" s="104"/>
    </row>
    <row r="93" spans="1:23" ht="17.149999999999999" customHeight="1" x14ac:dyDescent="0.35">
      <c r="A93" s="8" t="s">
        <v>115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53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5"/>
    </row>
    <row r="95" spans="1:23" ht="17.149999999999999" customHeight="1" x14ac:dyDescent="0.35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5" x14ac:dyDescent="0.35"/>
  <cols>
    <col min="1" max="1" width="23.1796875" bestFit="1" customWidth="1"/>
    <col min="2" max="2" width="5.7265625" customWidth="1"/>
    <col min="3" max="3" width="9.1796875" customWidth="1"/>
    <col min="4" max="7" width="13.81640625" customWidth="1"/>
    <col min="8" max="8" width="41.453125" customWidth="1"/>
    <col min="9" max="16" width="16.453125" customWidth="1"/>
  </cols>
  <sheetData>
    <row r="1" spans="1:16" ht="23.5" customHeight="1" thickBot="1" x14ac:dyDescent="0.4">
      <c r="A1" s="31" t="s">
        <v>304</v>
      </c>
      <c r="B1" s="32" t="s">
        <v>21</v>
      </c>
      <c r="C1" s="32" t="s">
        <v>305</v>
      </c>
      <c r="D1" s="33" t="s">
        <v>306</v>
      </c>
      <c r="E1" s="33" t="s">
        <v>307</v>
      </c>
      <c r="F1" s="33" t="s">
        <v>308</v>
      </c>
      <c r="G1" s="33" t="s">
        <v>309</v>
      </c>
      <c r="H1" s="34" t="s">
        <v>310</v>
      </c>
      <c r="I1" s="116" t="s">
        <v>311</v>
      </c>
      <c r="J1" s="117"/>
      <c r="K1" s="117"/>
      <c r="L1" s="118"/>
      <c r="M1" s="116" t="s">
        <v>311</v>
      </c>
      <c r="N1" s="117"/>
      <c r="O1" s="117"/>
      <c r="P1" s="118"/>
    </row>
    <row r="2" spans="1:16" ht="21" customHeight="1" x14ac:dyDescent="0.35">
      <c r="A2" s="35" t="s">
        <v>56</v>
      </c>
      <c r="B2" s="36" t="s">
        <v>24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312</v>
      </c>
      <c r="I2" s="119" t="s">
        <v>313</v>
      </c>
      <c r="J2" s="120"/>
      <c r="K2" s="120"/>
      <c r="L2" s="121"/>
      <c r="M2" s="119" t="s">
        <v>314</v>
      </c>
      <c r="N2" s="120"/>
      <c r="O2" s="120"/>
      <c r="P2" s="121"/>
    </row>
    <row r="3" spans="1:16" ht="21" customHeight="1" x14ac:dyDescent="0.35">
      <c r="A3" s="35" t="s">
        <v>41</v>
      </c>
      <c r="B3" s="36" t="s">
        <v>30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315</v>
      </c>
      <c r="I3" s="41" t="s">
        <v>24</v>
      </c>
      <c r="J3" s="42" t="s">
        <v>30</v>
      </c>
      <c r="K3" s="42" t="s">
        <v>34</v>
      </c>
      <c r="L3" s="43" t="s">
        <v>48</v>
      </c>
      <c r="M3" s="41" t="s">
        <v>24</v>
      </c>
      <c r="N3" s="42" t="s">
        <v>30</v>
      </c>
      <c r="O3" s="42" t="s">
        <v>34</v>
      </c>
      <c r="P3" s="43" t="s">
        <v>48</v>
      </c>
    </row>
    <row r="4" spans="1:16" ht="21" customHeight="1" x14ac:dyDescent="0.35">
      <c r="A4" s="35" t="s">
        <v>33</v>
      </c>
      <c r="B4" s="36" t="s">
        <v>34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316</v>
      </c>
      <c r="I4" s="122" t="s">
        <v>317</v>
      </c>
      <c r="J4" s="123" t="s">
        <v>318</v>
      </c>
      <c r="K4" s="123" t="s">
        <v>319</v>
      </c>
      <c r="L4" s="123" t="s">
        <v>319</v>
      </c>
      <c r="M4" s="122" t="s">
        <v>320</v>
      </c>
      <c r="N4" s="123" t="s">
        <v>321</v>
      </c>
      <c r="O4" s="123" t="s">
        <v>322</v>
      </c>
      <c r="P4" s="124" t="s">
        <v>323</v>
      </c>
    </row>
    <row r="5" spans="1:16" ht="21" customHeight="1" x14ac:dyDescent="0.35">
      <c r="A5" s="44" t="s">
        <v>124</v>
      </c>
      <c r="B5" s="45" t="s">
        <v>34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324</v>
      </c>
      <c r="I5" s="122"/>
      <c r="J5" s="123"/>
      <c r="K5" s="123"/>
      <c r="L5" s="123"/>
      <c r="M5" s="122"/>
      <c r="N5" s="123"/>
      <c r="O5" s="123"/>
      <c r="P5" s="124"/>
    </row>
    <row r="6" spans="1:16" ht="21" customHeight="1" x14ac:dyDescent="0.35">
      <c r="A6" s="47" t="s">
        <v>28</v>
      </c>
      <c r="B6" s="48" t="s">
        <v>34</v>
      </c>
      <c r="C6" s="37" t="s">
        <v>325</v>
      </c>
      <c r="D6" s="38">
        <v>40</v>
      </c>
      <c r="E6" s="39">
        <v>40</v>
      </c>
      <c r="F6" s="39">
        <v>50</v>
      </c>
      <c r="G6" s="39">
        <v>55</v>
      </c>
      <c r="H6" s="40" t="s">
        <v>326</v>
      </c>
      <c r="I6" s="122" t="s">
        <v>327</v>
      </c>
      <c r="J6" s="123" t="s">
        <v>328</v>
      </c>
      <c r="K6" s="123" t="s">
        <v>328</v>
      </c>
      <c r="L6" s="123" t="s">
        <v>328</v>
      </c>
      <c r="M6" s="122" t="s">
        <v>329</v>
      </c>
      <c r="N6" s="123" t="s">
        <v>330</v>
      </c>
      <c r="O6" s="123" t="s">
        <v>330</v>
      </c>
      <c r="P6" s="124" t="s">
        <v>328</v>
      </c>
    </row>
    <row r="7" spans="1:16" ht="21" customHeight="1" x14ac:dyDescent="0.35">
      <c r="A7" s="49" t="s">
        <v>47</v>
      </c>
      <c r="B7" s="50" t="s">
        <v>48</v>
      </c>
      <c r="C7" s="37" t="s">
        <v>325</v>
      </c>
      <c r="D7" s="38">
        <v>40</v>
      </c>
      <c r="E7" s="39">
        <v>40</v>
      </c>
      <c r="F7" s="39">
        <v>50</v>
      </c>
      <c r="G7" s="39">
        <v>55</v>
      </c>
      <c r="H7" s="40" t="s">
        <v>331</v>
      </c>
      <c r="I7" s="122"/>
      <c r="J7" s="123"/>
      <c r="K7" s="123"/>
      <c r="L7" s="123"/>
      <c r="M7" s="122"/>
      <c r="N7" s="123"/>
      <c r="O7" s="123"/>
      <c r="P7" s="124"/>
    </row>
    <row r="8" spans="1:16" ht="21" customHeight="1" x14ac:dyDescent="0.35">
      <c r="A8" s="47" t="s">
        <v>51</v>
      </c>
      <c r="B8" s="48" t="s">
        <v>48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332</v>
      </c>
      <c r="I8" s="122" t="s">
        <v>333</v>
      </c>
      <c r="J8" s="123" t="s">
        <v>333</v>
      </c>
      <c r="K8" s="123" t="s">
        <v>334</v>
      </c>
      <c r="L8" s="124" t="s">
        <v>334</v>
      </c>
      <c r="M8" s="122" t="s">
        <v>333</v>
      </c>
      <c r="N8" s="123" t="s">
        <v>335</v>
      </c>
      <c r="O8" s="123" t="s">
        <v>334</v>
      </c>
      <c r="P8" s="124" t="s">
        <v>334</v>
      </c>
    </row>
    <row r="9" spans="1:16" ht="21" customHeight="1" x14ac:dyDescent="0.35">
      <c r="A9" s="49" t="s">
        <v>50</v>
      </c>
      <c r="B9" s="50" t="s">
        <v>34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336</v>
      </c>
      <c r="I9" s="122"/>
      <c r="J9" s="123"/>
      <c r="K9" s="123"/>
      <c r="L9" s="124"/>
      <c r="M9" s="122"/>
      <c r="N9" s="123"/>
      <c r="O9" s="123"/>
      <c r="P9" s="124"/>
    </row>
    <row r="10" spans="1:16" ht="21" customHeight="1" x14ac:dyDescent="0.35">
      <c r="A10" s="49" t="s">
        <v>31</v>
      </c>
      <c r="B10" s="50" t="s">
        <v>30</v>
      </c>
      <c r="C10" s="37" t="s">
        <v>325</v>
      </c>
      <c r="D10" s="38">
        <v>55</v>
      </c>
      <c r="E10" s="39">
        <v>50</v>
      </c>
      <c r="F10" s="39">
        <v>55</v>
      </c>
      <c r="G10" s="39">
        <v>55</v>
      </c>
      <c r="H10" s="125" t="s">
        <v>337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 x14ac:dyDescent="0.35">
      <c r="A11" s="55" t="s">
        <v>49</v>
      </c>
      <c r="B11" s="56" t="s">
        <v>48</v>
      </c>
      <c r="C11" s="37"/>
      <c r="D11" s="38">
        <v>55</v>
      </c>
      <c r="E11" s="39">
        <v>50</v>
      </c>
      <c r="F11" s="39">
        <v>55</v>
      </c>
      <c r="G11" s="39">
        <v>55</v>
      </c>
      <c r="H11" s="125"/>
      <c r="I11" s="52"/>
      <c r="J11" s="53"/>
      <c r="K11" s="53"/>
      <c r="L11" s="54"/>
      <c r="M11" s="52"/>
      <c r="N11" s="53"/>
      <c r="O11" s="53"/>
      <c r="P11" s="54"/>
    </row>
    <row r="12" spans="1:16" ht="21" customHeight="1" x14ac:dyDescent="0.35">
      <c r="A12" s="47" t="s">
        <v>55</v>
      </c>
      <c r="B12" s="48" t="s">
        <v>48</v>
      </c>
      <c r="C12" s="37" t="s">
        <v>325</v>
      </c>
      <c r="D12" s="38">
        <v>40</v>
      </c>
      <c r="E12" s="39">
        <v>35</v>
      </c>
      <c r="F12" s="39">
        <v>40</v>
      </c>
      <c r="G12" s="39">
        <v>40</v>
      </c>
      <c r="H12" s="125" t="s">
        <v>338</v>
      </c>
      <c r="I12" s="119" t="s">
        <v>339</v>
      </c>
      <c r="J12" s="120"/>
      <c r="K12" s="120"/>
      <c r="L12" s="121"/>
      <c r="M12" s="119" t="s">
        <v>340</v>
      </c>
      <c r="N12" s="120"/>
      <c r="O12" s="120"/>
      <c r="P12" s="121"/>
    </row>
    <row r="13" spans="1:16" ht="21" customHeight="1" x14ac:dyDescent="0.35">
      <c r="A13" s="47" t="s">
        <v>25</v>
      </c>
      <c r="B13" s="48" t="s">
        <v>24</v>
      </c>
      <c r="C13" s="37"/>
      <c r="D13" s="38">
        <v>40</v>
      </c>
      <c r="E13" s="39">
        <v>35</v>
      </c>
      <c r="F13" s="39">
        <v>40</v>
      </c>
      <c r="G13" s="39">
        <v>40</v>
      </c>
      <c r="H13" s="125"/>
      <c r="I13" s="41" t="s">
        <v>24</v>
      </c>
      <c r="J13" s="42" t="s">
        <v>30</v>
      </c>
      <c r="K13" s="42" t="s">
        <v>34</v>
      </c>
      <c r="L13" s="43" t="s">
        <v>48</v>
      </c>
      <c r="M13" s="41" t="s">
        <v>24</v>
      </c>
      <c r="N13" s="42" t="s">
        <v>30</v>
      </c>
      <c r="O13" s="42" t="s">
        <v>34</v>
      </c>
      <c r="P13" s="43" t="s">
        <v>48</v>
      </c>
    </row>
    <row r="14" spans="1:16" ht="21" customHeight="1" x14ac:dyDescent="0.35">
      <c r="A14" s="57" t="s">
        <v>44</v>
      </c>
      <c r="B14" s="58" t="s">
        <v>30</v>
      </c>
      <c r="C14" s="37" t="s">
        <v>341</v>
      </c>
      <c r="D14" s="38">
        <v>40</v>
      </c>
      <c r="E14" s="39">
        <v>35</v>
      </c>
      <c r="F14" s="39">
        <v>40</v>
      </c>
      <c r="G14" s="39">
        <v>40</v>
      </c>
      <c r="H14" s="125" t="s">
        <v>342</v>
      </c>
      <c r="I14" s="122" t="s">
        <v>343</v>
      </c>
      <c r="J14" s="123" t="s">
        <v>343</v>
      </c>
      <c r="K14" s="123" t="s">
        <v>344</v>
      </c>
      <c r="L14" s="124" t="s">
        <v>345</v>
      </c>
      <c r="M14" s="122" t="s">
        <v>346</v>
      </c>
      <c r="N14" s="123" t="s">
        <v>347</v>
      </c>
      <c r="O14" s="123" t="s">
        <v>348</v>
      </c>
      <c r="P14" s="124" t="s">
        <v>348</v>
      </c>
    </row>
    <row r="15" spans="1:16" ht="21" customHeight="1" x14ac:dyDescent="0.35">
      <c r="A15" s="57" t="s">
        <v>38</v>
      </c>
      <c r="B15" s="58" t="s">
        <v>30</v>
      </c>
      <c r="C15" s="37" t="s">
        <v>349</v>
      </c>
      <c r="D15" s="38">
        <v>45</v>
      </c>
      <c r="E15" s="39">
        <v>40</v>
      </c>
      <c r="F15" s="39">
        <v>45</v>
      </c>
      <c r="G15" s="39">
        <v>45</v>
      </c>
      <c r="H15" s="125"/>
      <c r="I15" s="122"/>
      <c r="J15" s="123"/>
      <c r="K15" s="123"/>
      <c r="L15" s="124"/>
      <c r="M15" s="122"/>
      <c r="N15" s="123"/>
      <c r="O15" s="123"/>
      <c r="P15" s="124"/>
    </row>
    <row r="16" spans="1:16" ht="21" customHeight="1" x14ac:dyDescent="0.35">
      <c r="A16" s="49" t="s">
        <v>52</v>
      </c>
      <c r="B16" s="50" t="s">
        <v>30</v>
      </c>
      <c r="C16" s="37" t="s">
        <v>325</v>
      </c>
      <c r="D16" s="38">
        <v>50</v>
      </c>
      <c r="E16" s="39">
        <v>45</v>
      </c>
      <c r="F16" s="39">
        <v>50</v>
      </c>
      <c r="G16" s="39">
        <v>50</v>
      </c>
      <c r="H16" s="125"/>
      <c r="I16" s="122" t="s">
        <v>350</v>
      </c>
      <c r="J16" s="127" t="s">
        <v>351</v>
      </c>
      <c r="K16" s="123" t="s">
        <v>352</v>
      </c>
      <c r="L16" s="124" t="s">
        <v>353</v>
      </c>
      <c r="M16" s="119" t="s">
        <v>354</v>
      </c>
      <c r="N16" s="120"/>
      <c r="O16" s="120"/>
      <c r="P16" s="121"/>
    </row>
    <row r="17" spans="1:16" ht="21" customHeight="1" x14ac:dyDescent="0.35">
      <c r="A17" s="57" t="s">
        <v>26</v>
      </c>
      <c r="B17" s="58" t="s">
        <v>24</v>
      </c>
      <c r="C17" s="37"/>
      <c r="D17" s="38">
        <v>40</v>
      </c>
      <c r="E17" s="39">
        <v>35</v>
      </c>
      <c r="F17" s="39">
        <v>40</v>
      </c>
      <c r="G17" s="39">
        <v>40</v>
      </c>
      <c r="H17" s="125" t="s">
        <v>355</v>
      </c>
      <c r="I17" s="126"/>
      <c r="J17" s="128"/>
      <c r="K17" s="129"/>
      <c r="L17" s="130"/>
      <c r="M17" s="131"/>
      <c r="N17" s="132"/>
      <c r="O17" s="132"/>
      <c r="P17" s="133"/>
    </row>
    <row r="18" spans="1:16" ht="21" customHeight="1" thickBot="1" x14ac:dyDescent="0.4">
      <c r="A18" s="35" t="s">
        <v>32</v>
      </c>
      <c r="B18" s="36" t="s">
        <v>30</v>
      </c>
      <c r="C18" s="37" t="s">
        <v>325</v>
      </c>
      <c r="D18" s="38">
        <v>40</v>
      </c>
      <c r="E18" s="39">
        <v>35</v>
      </c>
      <c r="F18" s="39">
        <v>45</v>
      </c>
      <c r="G18" s="39">
        <v>45</v>
      </c>
      <c r="H18" s="135"/>
      <c r="I18" s="136" t="s">
        <v>310</v>
      </c>
      <c r="J18" s="137"/>
      <c r="K18" s="137"/>
      <c r="L18" s="137"/>
      <c r="M18" s="137"/>
      <c r="N18" s="138"/>
      <c r="O18" s="53"/>
      <c r="P18" s="53"/>
    </row>
    <row r="19" spans="1:16" ht="21" customHeight="1" x14ac:dyDescent="0.35">
      <c r="A19" s="59" t="s">
        <v>356</v>
      </c>
      <c r="B19" s="60" t="s">
        <v>30</v>
      </c>
      <c r="C19" s="37"/>
      <c r="D19" s="38">
        <v>50</v>
      </c>
      <c r="E19" s="39">
        <v>45</v>
      </c>
      <c r="F19" s="39">
        <v>50</v>
      </c>
      <c r="G19" s="39">
        <v>50</v>
      </c>
      <c r="H19" s="135" t="s">
        <v>357</v>
      </c>
      <c r="I19" s="61" t="s">
        <v>358</v>
      </c>
      <c r="J19" s="62"/>
      <c r="K19" s="62"/>
      <c r="L19" s="62"/>
      <c r="M19" s="62"/>
      <c r="N19" s="63"/>
      <c r="O19" s="53"/>
      <c r="P19" s="53"/>
    </row>
    <row r="20" spans="1:16" ht="21" customHeight="1" x14ac:dyDescent="0.35">
      <c r="A20" s="35" t="s">
        <v>37</v>
      </c>
      <c r="B20" s="36" t="s">
        <v>34</v>
      </c>
      <c r="C20" s="37"/>
      <c r="D20" s="38">
        <v>50</v>
      </c>
      <c r="E20" s="39">
        <v>45</v>
      </c>
      <c r="F20" s="39">
        <v>50</v>
      </c>
      <c r="G20" s="39">
        <v>55</v>
      </c>
      <c r="H20" s="135"/>
      <c r="I20" s="64" t="s">
        <v>359</v>
      </c>
      <c r="J20" s="53"/>
      <c r="K20" s="53"/>
      <c r="L20" s="53"/>
      <c r="M20" s="53"/>
      <c r="N20" s="65"/>
      <c r="O20" s="53"/>
      <c r="P20" s="53"/>
    </row>
    <row r="21" spans="1:16" ht="21" customHeight="1" x14ac:dyDescent="0.35">
      <c r="A21" s="35" t="s">
        <v>23</v>
      </c>
      <c r="B21" s="36" t="s">
        <v>24</v>
      </c>
      <c r="C21" s="66"/>
      <c r="D21" s="38">
        <v>35</v>
      </c>
      <c r="E21" s="39">
        <v>30</v>
      </c>
      <c r="F21" s="39">
        <v>35</v>
      </c>
      <c r="G21" s="39">
        <v>35</v>
      </c>
      <c r="H21" s="135"/>
      <c r="I21" s="64" t="s">
        <v>360</v>
      </c>
      <c r="J21" s="53"/>
      <c r="K21" s="53"/>
      <c r="L21" s="53"/>
      <c r="M21" s="53"/>
      <c r="N21" s="26"/>
      <c r="O21" s="53"/>
      <c r="P21" s="53"/>
    </row>
    <row r="22" spans="1:16" ht="21" customHeight="1" x14ac:dyDescent="0.35">
      <c r="A22" s="55" t="s">
        <v>36</v>
      </c>
      <c r="B22" s="56" t="s">
        <v>30</v>
      </c>
      <c r="C22" s="67"/>
      <c r="D22" s="38">
        <v>40</v>
      </c>
      <c r="E22" s="39">
        <v>35</v>
      </c>
      <c r="F22" s="39">
        <v>40</v>
      </c>
      <c r="G22" s="39">
        <v>45</v>
      </c>
      <c r="H22" s="135" t="s">
        <v>361</v>
      </c>
      <c r="I22" s="64" t="s">
        <v>362</v>
      </c>
      <c r="J22" s="53"/>
      <c r="K22" s="53"/>
      <c r="L22" s="53"/>
      <c r="M22" s="53"/>
      <c r="N22" s="65"/>
      <c r="O22" s="53"/>
      <c r="P22" s="53"/>
    </row>
    <row r="23" spans="1:16" ht="21" customHeight="1" x14ac:dyDescent="0.35">
      <c r="A23" s="59" t="s">
        <v>39</v>
      </c>
      <c r="B23" s="60" t="s">
        <v>30</v>
      </c>
      <c r="C23" s="37"/>
      <c r="D23" s="38">
        <v>40</v>
      </c>
      <c r="E23" s="39">
        <v>35</v>
      </c>
      <c r="F23" s="39">
        <v>40</v>
      </c>
      <c r="G23" s="39">
        <v>40</v>
      </c>
      <c r="H23" s="135"/>
      <c r="I23" s="64" t="s">
        <v>363</v>
      </c>
      <c r="J23" s="53"/>
      <c r="K23" s="53"/>
      <c r="L23" s="53"/>
      <c r="M23" s="53"/>
      <c r="N23" s="65"/>
      <c r="O23" s="53"/>
      <c r="P23" s="53"/>
    </row>
    <row r="24" spans="1:16" ht="21" customHeight="1" x14ac:dyDescent="0.35">
      <c r="A24" s="35" t="s">
        <v>42</v>
      </c>
      <c r="B24" s="36" t="s">
        <v>30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364</v>
      </c>
      <c r="I24" s="64" t="s">
        <v>365</v>
      </c>
      <c r="J24" s="53"/>
      <c r="K24" s="53"/>
      <c r="L24" s="53"/>
      <c r="M24" s="53"/>
      <c r="N24" s="65"/>
      <c r="O24" s="53"/>
      <c r="P24" s="53"/>
    </row>
    <row r="25" spans="1:16" ht="21" customHeight="1" thickBot="1" x14ac:dyDescent="0.4">
      <c r="A25" s="69" t="s">
        <v>40</v>
      </c>
      <c r="B25" s="70" t="s">
        <v>30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366</v>
      </c>
      <c r="J25" s="53"/>
      <c r="K25" s="53"/>
      <c r="L25" s="53"/>
      <c r="M25" s="53"/>
      <c r="N25" s="65"/>
    </row>
    <row r="26" spans="1:16" ht="39.65" customHeight="1" thickBot="1" x14ac:dyDescent="0.4">
      <c r="A26" s="139" t="s">
        <v>367</v>
      </c>
      <c r="B26" s="140"/>
      <c r="C26" s="140"/>
      <c r="D26" s="140"/>
      <c r="E26" s="140"/>
      <c r="F26" s="140"/>
      <c r="G26" s="140"/>
      <c r="H26" s="140"/>
      <c r="I26" s="73" t="s">
        <v>368</v>
      </c>
      <c r="J26" s="74"/>
      <c r="K26" s="74"/>
      <c r="L26" s="74"/>
      <c r="M26" s="74"/>
      <c r="N26" s="75"/>
    </row>
    <row r="27" spans="1:16" ht="18.649999999999999" customHeight="1" thickBot="1" x14ac:dyDescent="0.4">
      <c r="A27" s="76" t="s">
        <v>304</v>
      </c>
      <c r="B27" s="77" t="s">
        <v>21</v>
      </c>
      <c r="C27" s="78" t="s">
        <v>305</v>
      </c>
      <c r="D27" s="33" t="s">
        <v>306</v>
      </c>
      <c r="E27" s="33" t="s">
        <v>307</v>
      </c>
      <c r="F27" s="33" t="s">
        <v>308</v>
      </c>
      <c r="G27" s="33" t="s">
        <v>309</v>
      </c>
      <c r="H27" s="34" t="s">
        <v>310</v>
      </c>
    </row>
    <row r="28" spans="1:16" ht="21" customHeight="1" x14ac:dyDescent="0.35">
      <c r="A28" s="35" t="s">
        <v>65</v>
      </c>
      <c r="B28" s="36" t="s">
        <v>30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312</v>
      </c>
    </row>
    <row r="29" spans="1:16" ht="21" customHeight="1" x14ac:dyDescent="0.35">
      <c r="A29" s="35" t="s">
        <v>108</v>
      </c>
      <c r="B29" s="79" t="s">
        <v>34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315</v>
      </c>
    </row>
    <row r="30" spans="1:16" ht="21" customHeight="1" x14ac:dyDescent="0.35">
      <c r="A30" s="59" t="s">
        <v>101</v>
      </c>
      <c r="B30" s="60" t="s">
        <v>34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316</v>
      </c>
    </row>
    <row r="31" spans="1:16" ht="21" customHeight="1" x14ac:dyDescent="0.35">
      <c r="A31" s="35" t="s">
        <v>92</v>
      </c>
      <c r="B31" s="36" t="s">
        <v>30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324</v>
      </c>
    </row>
    <row r="32" spans="1:16" ht="21" customHeight="1" x14ac:dyDescent="0.35">
      <c r="A32" s="35" t="s">
        <v>70</v>
      </c>
      <c r="B32" s="36" t="s">
        <v>30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326</v>
      </c>
    </row>
    <row r="33" spans="1:8" ht="21" customHeight="1" x14ac:dyDescent="0.35">
      <c r="A33" s="59" t="s">
        <v>113</v>
      </c>
      <c r="B33" s="60" t="s">
        <v>30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331</v>
      </c>
    </row>
    <row r="34" spans="1:8" ht="21" customHeight="1" x14ac:dyDescent="0.35">
      <c r="A34" s="35" t="s">
        <v>109</v>
      </c>
      <c r="B34" s="36" t="s">
        <v>30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332</v>
      </c>
    </row>
    <row r="35" spans="1:8" ht="21" customHeight="1" x14ac:dyDescent="0.35">
      <c r="A35" s="59" t="s">
        <v>61</v>
      </c>
      <c r="B35" s="60" t="s">
        <v>24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336</v>
      </c>
    </row>
    <row r="36" spans="1:8" ht="21" customHeight="1" x14ac:dyDescent="0.35">
      <c r="A36" s="35" t="s">
        <v>74</v>
      </c>
      <c r="B36" s="36" t="s">
        <v>30</v>
      </c>
      <c r="C36" s="37"/>
      <c r="D36" s="38">
        <v>60</v>
      </c>
      <c r="E36" s="39">
        <v>55</v>
      </c>
      <c r="F36" s="39">
        <v>60</v>
      </c>
      <c r="G36" s="39">
        <v>60</v>
      </c>
      <c r="H36" s="135" t="s">
        <v>337</v>
      </c>
    </row>
    <row r="37" spans="1:8" ht="21" customHeight="1" x14ac:dyDescent="0.35">
      <c r="A37" s="44" t="s">
        <v>76</v>
      </c>
      <c r="B37" s="45" t="s">
        <v>34</v>
      </c>
      <c r="C37" s="37"/>
      <c r="D37" s="38">
        <v>70</v>
      </c>
      <c r="E37" s="39">
        <v>65</v>
      </c>
      <c r="F37" s="39">
        <v>70</v>
      </c>
      <c r="G37" s="39">
        <v>70</v>
      </c>
      <c r="H37" s="135"/>
    </row>
    <row r="38" spans="1:8" ht="21" customHeight="1" x14ac:dyDescent="0.35">
      <c r="A38" s="35" t="s">
        <v>68</v>
      </c>
      <c r="B38" s="36" t="s">
        <v>30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35" t="s">
        <v>338</v>
      </c>
    </row>
    <row r="39" spans="1:8" ht="21" customHeight="1" x14ac:dyDescent="0.35">
      <c r="A39" s="82" t="s">
        <v>85</v>
      </c>
      <c r="B39" s="83" t="s">
        <v>34</v>
      </c>
      <c r="C39" s="37" t="s">
        <v>349</v>
      </c>
      <c r="D39" s="38">
        <v>60</v>
      </c>
      <c r="E39" s="39">
        <v>55</v>
      </c>
      <c r="F39" s="39">
        <v>65</v>
      </c>
      <c r="G39" s="39">
        <v>65</v>
      </c>
      <c r="H39" s="135"/>
    </row>
    <row r="40" spans="1:8" ht="21" customHeight="1" x14ac:dyDescent="0.35">
      <c r="A40" s="84" t="s">
        <v>100</v>
      </c>
      <c r="B40" s="85" t="s">
        <v>48</v>
      </c>
      <c r="C40" s="86"/>
      <c r="D40" s="38">
        <v>60</v>
      </c>
      <c r="E40" s="39">
        <v>55</v>
      </c>
      <c r="F40" s="39">
        <v>70</v>
      </c>
      <c r="G40" s="39">
        <v>75</v>
      </c>
      <c r="H40" s="135" t="s">
        <v>342</v>
      </c>
    </row>
    <row r="41" spans="1:8" ht="21" customHeight="1" x14ac:dyDescent="0.35">
      <c r="A41" s="87" t="s">
        <v>96</v>
      </c>
      <c r="B41" s="88" t="s">
        <v>48</v>
      </c>
      <c r="C41" s="80" t="s">
        <v>349</v>
      </c>
      <c r="D41" s="38">
        <v>45</v>
      </c>
      <c r="E41" s="39">
        <v>40</v>
      </c>
      <c r="F41" s="39">
        <v>55</v>
      </c>
      <c r="G41" s="39">
        <v>65</v>
      </c>
      <c r="H41" s="135"/>
    </row>
    <row r="42" spans="1:8" ht="21" customHeight="1" x14ac:dyDescent="0.35">
      <c r="A42" s="35" t="s">
        <v>87</v>
      </c>
      <c r="B42" s="79" t="s">
        <v>34</v>
      </c>
      <c r="C42" s="80"/>
      <c r="D42" s="38">
        <v>70</v>
      </c>
      <c r="E42" s="39">
        <v>65</v>
      </c>
      <c r="F42" s="39">
        <v>70</v>
      </c>
      <c r="G42" s="39">
        <v>70</v>
      </c>
      <c r="H42" s="135"/>
    </row>
    <row r="43" spans="1:8" ht="21" customHeight="1" x14ac:dyDescent="0.35">
      <c r="A43" s="49" t="s">
        <v>99</v>
      </c>
      <c r="B43" s="88" t="s">
        <v>34</v>
      </c>
      <c r="C43" s="80"/>
      <c r="D43" s="38">
        <v>60</v>
      </c>
      <c r="E43" s="39">
        <v>55</v>
      </c>
      <c r="F43" s="39">
        <v>65</v>
      </c>
      <c r="G43" s="39">
        <v>70</v>
      </c>
      <c r="H43" s="135" t="s">
        <v>355</v>
      </c>
    </row>
    <row r="44" spans="1:8" ht="21" customHeight="1" x14ac:dyDescent="0.35">
      <c r="A44" s="35" t="s">
        <v>369</v>
      </c>
      <c r="B44" s="79" t="s">
        <v>30</v>
      </c>
      <c r="C44" s="80"/>
      <c r="D44" s="38">
        <v>75</v>
      </c>
      <c r="E44" s="39">
        <v>65</v>
      </c>
      <c r="F44" s="39">
        <v>75</v>
      </c>
      <c r="G44" s="39">
        <v>75</v>
      </c>
      <c r="H44" s="135"/>
    </row>
    <row r="45" spans="1:8" ht="21" customHeight="1" x14ac:dyDescent="0.35">
      <c r="A45" s="47" t="s">
        <v>106</v>
      </c>
      <c r="B45" s="85" t="s">
        <v>48</v>
      </c>
      <c r="C45" s="80"/>
      <c r="D45" s="38">
        <v>65</v>
      </c>
      <c r="E45" s="39">
        <v>55</v>
      </c>
      <c r="F45" s="39">
        <v>65</v>
      </c>
      <c r="G45" s="39">
        <v>70</v>
      </c>
      <c r="H45" s="135" t="s">
        <v>357</v>
      </c>
    </row>
    <row r="46" spans="1:8" ht="21" customHeight="1" x14ac:dyDescent="0.35">
      <c r="A46" s="35" t="s">
        <v>102</v>
      </c>
      <c r="B46" s="79" t="s">
        <v>48</v>
      </c>
      <c r="C46" s="80"/>
      <c r="D46" s="38">
        <v>70</v>
      </c>
      <c r="E46" s="39">
        <v>65</v>
      </c>
      <c r="F46" s="39">
        <v>70</v>
      </c>
      <c r="G46" s="39">
        <v>75</v>
      </c>
      <c r="H46" s="135"/>
    </row>
    <row r="47" spans="1:8" ht="21" customHeight="1" x14ac:dyDescent="0.35">
      <c r="A47" s="35" t="s">
        <v>62</v>
      </c>
      <c r="B47" s="79" t="s">
        <v>24</v>
      </c>
      <c r="C47" s="80"/>
      <c r="D47" s="38">
        <v>60</v>
      </c>
      <c r="E47" s="39">
        <v>55</v>
      </c>
      <c r="F47" s="39">
        <v>65</v>
      </c>
      <c r="G47" s="39">
        <v>65</v>
      </c>
      <c r="H47" s="135"/>
    </row>
    <row r="48" spans="1:8" ht="21" customHeight="1" x14ac:dyDescent="0.35">
      <c r="A48" s="35" t="s">
        <v>81</v>
      </c>
      <c r="B48" s="79" t="s">
        <v>30</v>
      </c>
      <c r="C48" s="80"/>
      <c r="D48" s="38">
        <v>55</v>
      </c>
      <c r="E48" s="39">
        <v>45</v>
      </c>
      <c r="F48" s="39">
        <v>55</v>
      </c>
      <c r="G48" s="39">
        <v>60</v>
      </c>
      <c r="H48" s="135" t="s">
        <v>361</v>
      </c>
    </row>
    <row r="49" spans="1:8" ht="21" customHeight="1" x14ac:dyDescent="0.35">
      <c r="A49" s="35" t="s">
        <v>82</v>
      </c>
      <c r="B49" s="79" t="s">
        <v>30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35"/>
    </row>
    <row r="50" spans="1:8" ht="21" customHeight="1" x14ac:dyDescent="0.35">
      <c r="A50" s="49" t="s">
        <v>67</v>
      </c>
      <c r="B50" s="88" t="s">
        <v>24</v>
      </c>
      <c r="C50" s="80"/>
      <c r="D50" s="38">
        <v>60</v>
      </c>
      <c r="E50" s="39">
        <v>55</v>
      </c>
      <c r="F50" s="39">
        <v>60</v>
      </c>
      <c r="G50" s="39">
        <v>60</v>
      </c>
      <c r="H50" s="134" t="s">
        <v>364</v>
      </c>
    </row>
    <row r="51" spans="1:8" ht="21" customHeight="1" x14ac:dyDescent="0.35">
      <c r="A51" s="35" t="s">
        <v>91</v>
      </c>
      <c r="B51" s="36" t="s">
        <v>24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34"/>
    </row>
    <row r="52" spans="1:8" ht="21" customHeight="1" x14ac:dyDescent="0.35">
      <c r="A52" s="47" t="s">
        <v>71</v>
      </c>
      <c r="B52" s="48" t="s">
        <v>30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 x14ac:dyDescent="0.4">
      <c r="A53" s="139" t="s">
        <v>367</v>
      </c>
      <c r="B53" s="140"/>
      <c r="C53" s="140"/>
      <c r="D53" s="140"/>
      <c r="E53" s="140"/>
      <c r="F53" s="140"/>
      <c r="G53" s="140"/>
      <c r="H53" s="140"/>
    </row>
    <row r="54" spans="1:8" ht="18" customHeight="1" thickBot="1" x14ac:dyDescent="0.4">
      <c r="A54" s="76" t="s">
        <v>304</v>
      </c>
      <c r="B54" s="77" t="s">
        <v>21</v>
      </c>
      <c r="C54" s="78" t="s">
        <v>305</v>
      </c>
      <c r="D54" s="33" t="s">
        <v>306</v>
      </c>
      <c r="E54" s="33" t="s">
        <v>307</v>
      </c>
      <c r="F54" s="33" t="s">
        <v>308</v>
      </c>
      <c r="G54" s="33" t="s">
        <v>309</v>
      </c>
      <c r="H54" s="34" t="s">
        <v>310</v>
      </c>
    </row>
    <row r="55" spans="1:8" ht="18.649999999999999" customHeight="1" x14ac:dyDescent="0.35">
      <c r="A55" s="35" t="s">
        <v>77</v>
      </c>
      <c r="B55" s="36" t="s">
        <v>34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312</v>
      </c>
    </row>
    <row r="56" spans="1:8" ht="20.149999999999999" customHeight="1" x14ac:dyDescent="0.35">
      <c r="A56" s="49" t="s">
        <v>111</v>
      </c>
      <c r="B56" s="50" t="s">
        <v>48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315</v>
      </c>
    </row>
    <row r="57" spans="1:8" ht="20.149999999999999" customHeight="1" x14ac:dyDescent="0.35">
      <c r="A57" s="59" t="s">
        <v>80</v>
      </c>
      <c r="B57" s="60" t="s">
        <v>34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316</v>
      </c>
    </row>
    <row r="58" spans="1:8" ht="20.149999999999999" customHeight="1" x14ac:dyDescent="0.35">
      <c r="A58" s="44" t="s">
        <v>98</v>
      </c>
      <c r="B58" s="45" t="s">
        <v>48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324</v>
      </c>
    </row>
    <row r="59" spans="1:8" ht="20.149999999999999" customHeight="1" x14ac:dyDescent="0.35">
      <c r="A59" s="35" t="s">
        <v>75</v>
      </c>
      <c r="B59" s="36" t="s">
        <v>30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326</v>
      </c>
    </row>
    <row r="60" spans="1:8" ht="20.149999999999999" customHeight="1" x14ac:dyDescent="0.35">
      <c r="A60" s="35" t="s">
        <v>63</v>
      </c>
      <c r="B60" s="36" t="s">
        <v>24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331</v>
      </c>
    </row>
    <row r="61" spans="1:8" ht="20.149999999999999" customHeight="1" x14ac:dyDescent="0.35">
      <c r="A61" s="35" t="s">
        <v>94</v>
      </c>
      <c r="B61" s="36" t="s">
        <v>48</v>
      </c>
      <c r="C61" s="37" t="s">
        <v>349</v>
      </c>
      <c r="D61" s="38">
        <v>50</v>
      </c>
      <c r="E61" s="39">
        <v>45</v>
      </c>
      <c r="F61" s="39">
        <v>55</v>
      </c>
      <c r="G61" s="39">
        <v>55</v>
      </c>
      <c r="H61" s="46" t="s">
        <v>332</v>
      </c>
    </row>
    <row r="62" spans="1:8" ht="20.149999999999999" customHeight="1" x14ac:dyDescent="0.35">
      <c r="A62" s="59" t="s">
        <v>110</v>
      </c>
      <c r="B62" s="60" t="s">
        <v>30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336</v>
      </c>
    </row>
    <row r="63" spans="1:8" ht="20.149999999999999" customHeight="1" x14ac:dyDescent="0.35">
      <c r="A63" s="35" t="s">
        <v>115</v>
      </c>
      <c r="B63" s="79" t="s">
        <v>24</v>
      </c>
      <c r="C63" s="80"/>
      <c r="D63" s="38">
        <v>60</v>
      </c>
      <c r="E63" s="39">
        <v>55</v>
      </c>
      <c r="F63" s="39">
        <v>65</v>
      </c>
      <c r="G63" s="39">
        <v>65</v>
      </c>
      <c r="H63" s="135" t="s">
        <v>337</v>
      </c>
    </row>
    <row r="64" spans="1:8" ht="20.149999999999999" customHeight="1" x14ac:dyDescent="0.35">
      <c r="A64" s="35" t="s">
        <v>105</v>
      </c>
      <c r="B64" s="79" t="s">
        <v>48</v>
      </c>
      <c r="C64" s="80"/>
      <c r="D64" s="38">
        <v>75</v>
      </c>
      <c r="E64" s="39">
        <v>65</v>
      </c>
      <c r="F64" s="39">
        <v>75</v>
      </c>
      <c r="G64" s="39">
        <v>75</v>
      </c>
      <c r="H64" s="135"/>
    </row>
    <row r="65" spans="1:8" ht="20.149999999999999" customHeight="1" x14ac:dyDescent="0.35">
      <c r="A65" s="55" t="s">
        <v>103</v>
      </c>
      <c r="B65" s="90" t="s">
        <v>48</v>
      </c>
      <c r="C65" s="80"/>
      <c r="D65" s="38">
        <v>75</v>
      </c>
      <c r="E65" s="39">
        <v>70</v>
      </c>
      <c r="F65" s="39">
        <v>75</v>
      </c>
      <c r="G65" s="39">
        <v>75</v>
      </c>
      <c r="H65" s="135" t="s">
        <v>338</v>
      </c>
    </row>
    <row r="66" spans="1:8" ht="20.149999999999999" customHeight="1" x14ac:dyDescent="0.35">
      <c r="A66" s="59" t="s">
        <v>78</v>
      </c>
      <c r="B66" s="91" t="s">
        <v>34</v>
      </c>
      <c r="C66" s="80"/>
      <c r="D66" s="38">
        <v>65</v>
      </c>
      <c r="E66" s="39">
        <v>60</v>
      </c>
      <c r="F66" s="39">
        <v>65</v>
      </c>
      <c r="G66" s="39">
        <v>65</v>
      </c>
      <c r="H66" s="135"/>
    </row>
    <row r="67" spans="1:8" ht="20.149999999999999" customHeight="1" x14ac:dyDescent="0.35">
      <c r="A67" s="49" t="s">
        <v>107</v>
      </c>
      <c r="B67" s="88" t="s">
        <v>48</v>
      </c>
      <c r="C67" s="80"/>
      <c r="D67" s="38">
        <v>75</v>
      </c>
      <c r="E67" s="39">
        <v>70</v>
      </c>
      <c r="F67" s="39">
        <v>75</v>
      </c>
      <c r="G67" s="39">
        <v>75</v>
      </c>
      <c r="H67" s="135" t="s">
        <v>342</v>
      </c>
    </row>
    <row r="68" spans="1:8" ht="20.149999999999999" customHeight="1" x14ac:dyDescent="0.35">
      <c r="A68" s="55" t="s">
        <v>83</v>
      </c>
      <c r="B68" s="90" t="s">
        <v>30</v>
      </c>
      <c r="C68" s="80"/>
      <c r="D68" s="38">
        <v>60</v>
      </c>
      <c r="E68" s="39">
        <v>55</v>
      </c>
      <c r="F68" s="39">
        <v>60</v>
      </c>
      <c r="G68" s="39">
        <v>65</v>
      </c>
      <c r="H68" s="135"/>
    </row>
    <row r="69" spans="1:8" ht="20.149999999999999" customHeight="1" x14ac:dyDescent="0.35">
      <c r="A69" s="55" t="s">
        <v>66</v>
      </c>
      <c r="B69" s="90" t="s">
        <v>24</v>
      </c>
      <c r="C69" s="80"/>
      <c r="D69" s="38">
        <v>50</v>
      </c>
      <c r="E69" s="39">
        <v>45</v>
      </c>
      <c r="F69" s="39">
        <v>50</v>
      </c>
      <c r="G69" s="39">
        <v>55</v>
      </c>
      <c r="H69" s="135"/>
    </row>
    <row r="70" spans="1:8" ht="20.149999999999999" customHeight="1" x14ac:dyDescent="0.35">
      <c r="A70" s="35" t="s">
        <v>90</v>
      </c>
      <c r="B70" s="79" t="s">
        <v>30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35" t="s">
        <v>355</v>
      </c>
    </row>
    <row r="71" spans="1:8" ht="20.149999999999999" customHeight="1" x14ac:dyDescent="0.35">
      <c r="A71" s="49" t="s">
        <v>104</v>
      </c>
      <c r="B71" s="88" t="s">
        <v>48</v>
      </c>
      <c r="C71" s="80"/>
      <c r="D71" s="38">
        <v>70</v>
      </c>
      <c r="E71" s="39">
        <v>65</v>
      </c>
      <c r="F71" s="39">
        <v>75</v>
      </c>
      <c r="G71" s="39">
        <v>75</v>
      </c>
      <c r="H71" s="135"/>
    </row>
    <row r="72" spans="1:8" ht="20.149999999999999" customHeight="1" x14ac:dyDescent="0.35">
      <c r="A72" s="59" t="s">
        <v>88</v>
      </c>
      <c r="B72" s="91" t="s">
        <v>34</v>
      </c>
      <c r="C72" s="80"/>
      <c r="D72" s="38">
        <v>65</v>
      </c>
      <c r="E72" s="39">
        <v>60</v>
      </c>
      <c r="F72" s="39">
        <v>65</v>
      </c>
      <c r="G72" s="39">
        <v>70</v>
      </c>
      <c r="H72" s="135" t="s">
        <v>357</v>
      </c>
    </row>
    <row r="73" spans="1:8" ht="20.149999999999999" customHeight="1" x14ac:dyDescent="0.35">
      <c r="A73" s="35" t="s">
        <v>84</v>
      </c>
      <c r="B73" s="79" t="s">
        <v>30</v>
      </c>
      <c r="C73" s="80"/>
      <c r="D73" s="38">
        <v>70</v>
      </c>
      <c r="E73" s="39">
        <v>65</v>
      </c>
      <c r="F73" s="39">
        <v>70</v>
      </c>
      <c r="G73" s="39">
        <v>70</v>
      </c>
      <c r="H73" s="135"/>
    </row>
    <row r="74" spans="1:8" ht="20.149999999999999" customHeight="1" x14ac:dyDescent="0.35">
      <c r="A74" s="35" t="s">
        <v>97</v>
      </c>
      <c r="B74" s="79" t="s">
        <v>34</v>
      </c>
      <c r="C74" s="80"/>
      <c r="D74" s="38">
        <v>55</v>
      </c>
      <c r="E74" s="39">
        <v>50</v>
      </c>
      <c r="F74" s="39">
        <v>65</v>
      </c>
      <c r="G74" s="39">
        <v>70</v>
      </c>
      <c r="H74" s="135"/>
    </row>
    <row r="75" spans="1:8" ht="20.149999999999999" customHeight="1" x14ac:dyDescent="0.35">
      <c r="A75" s="92" t="s">
        <v>64</v>
      </c>
      <c r="B75" s="93" t="s">
        <v>24</v>
      </c>
      <c r="C75" s="80"/>
      <c r="D75" s="38">
        <v>55</v>
      </c>
      <c r="E75" s="39">
        <v>50</v>
      </c>
      <c r="F75" s="39">
        <v>55</v>
      </c>
      <c r="G75" s="39">
        <v>55</v>
      </c>
      <c r="H75" s="135" t="s">
        <v>361</v>
      </c>
    </row>
    <row r="76" spans="1:8" ht="20.149999999999999" customHeight="1" x14ac:dyDescent="0.35">
      <c r="A76" s="47" t="s">
        <v>73</v>
      </c>
      <c r="B76" s="85" t="s">
        <v>34</v>
      </c>
      <c r="C76" s="80"/>
      <c r="D76" s="38">
        <v>75</v>
      </c>
      <c r="E76" s="39">
        <v>70</v>
      </c>
      <c r="F76" s="39">
        <v>75</v>
      </c>
      <c r="G76" s="39">
        <v>75</v>
      </c>
      <c r="H76" s="135"/>
    </row>
    <row r="77" spans="1:8" ht="20.149999999999999" customHeight="1" x14ac:dyDescent="0.35">
      <c r="A77" s="47" t="s">
        <v>72</v>
      </c>
      <c r="B77" s="48" t="s">
        <v>30</v>
      </c>
      <c r="C77" s="94"/>
      <c r="D77" s="38">
        <v>65</v>
      </c>
      <c r="E77" s="39">
        <v>60</v>
      </c>
      <c r="F77" s="39">
        <v>65</v>
      </c>
      <c r="G77" s="39">
        <v>65</v>
      </c>
      <c r="H77" s="134" t="s">
        <v>364</v>
      </c>
    </row>
    <row r="78" spans="1:8" ht="20.149999999999999" customHeight="1" x14ac:dyDescent="0.35">
      <c r="A78" s="35" t="s">
        <v>93</v>
      </c>
      <c r="B78" s="79" t="s">
        <v>30</v>
      </c>
      <c r="C78" s="80"/>
      <c r="D78" s="38">
        <v>45</v>
      </c>
      <c r="E78" s="39">
        <v>35</v>
      </c>
      <c r="F78" s="39">
        <v>45</v>
      </c>
      <c r="G78" s="39">
        <v>45</v>
      </c>
      <c r="H78" s="134"/>
    </row>
    <row r="79" spans="1:8" ht="19.899999999999999" customHeight="1" x14ac:dyDescent="0.35">
      <c r="A79" s="35" t="s">
        <v>86</v>
      </c>
      <c r="B79" s="36" t="s">
        <v>30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899999999999999" customHeight="1" x14ac:dyDescent="0.35">
      <c r="A80" s="47" t="s">
        <v>112</v>
      </c>
      <c r="B80" s="48" t="s">
        <v>24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 x14ac:dyDescent="0.4">
      <c r="A81" s="139" t="s">
        <v>367</v>
      </c>
      <c r="B81" s="140"/>
      <c r="C81" s="140"/>
      <c r="D81" s="140"/>
      <c r="E81" s="140"/>
      <c r="F81" s="140"/>
      <c r="G81" s="140"/>
      <c r="H81" s="140"/>
    </row>
    <row r="82" spans="1:13" ht="34.9" customHeight="1" x14ac:dyDescent="0.35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5" customHeight="1" x14ac:dyDescent="0.35"/>
    <row r="84" spans="1:13" x14ac:dyDescent="0.35">
      <c r="J84" s="53"/>
      <c r="K84" s="53"/>
      <c r="L84" s="53"/>
      <c r="M84" s="53"/>
    </row>
  </sheetData>
  <mergeCells count="67"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14:H16"/>
    <mergeCell ref="I14:I15"/>
    <mergeCell ref="J14:J15"/>
    <mergeCell ref="K14:K15"/>
    <mergeCell ref="L14:L15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N6:N7"/>
    <mergeCell ref="O6:O7"/>
    <mergeCell ref="P6:P7"/>
    <mergeCell ref="O8:O9"/>
    <mergeCell ref="P8:P9"/>
    <mergeCell ref="I6:I7"/>
    <mergeCell ref="J6:J7"/>
    <mergeCell ref="K6:K7"/>
    <mergeCell ref="L6:L7"/>
    <mergeCell ref="M6:M7"/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O74" sqref="O74"/>
    </sheetView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customWidth="1"/>
    <col min="4" max="4" width="8.7265625" style="29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370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117</v>
      </c>
      <c r="P1" s="6" t="s">
        <v>118</v>
      </c>
      <c r="Q1" s="6" t="s">
        <v>279</v>
      </c>
      <c r="R1" s="6" t="s">
        <v>280</v>
      </c>
      <c r="S1" s="6" t="s">
        <v>209</v>
      </c>
      <c r="T1" s="6" t="s">
        <v>19</v>
      </c>
      <c r="U1" s="6" t="s">
        <v>20</v>
      </c>
      <c r="V1" s="7" t="s">
        <v>21</v>
      </c>
      <c r="W1" s="110" t="s">
        <v>371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56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4"/>
    </row>
    <row r="7" spans="1:23" ht="17.149999999999999" customHeight="1" x14ac:dyDescent="0.35">
      <c r="A7" s="8" t="s">
        <v>31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372</v>
      </c>
      <c r="N7" s="9"/>
      <c r="O7" s="12"/>
      <c r="P7" s="9"/>
      <c r="Q7" s="12"/>
      <c r="R7" s="9"/>
      <c r="S7" s="12"/>
      <c r="T7" s="9"/>
      <c r="U7" s="9"/>
      <c r="V7" s="13" t="s">
        <v>30</v>
      </c>
      <c r="W7" s="104"/>
    </row>
    <row r="8" spans="1:23" ht="17.149999999999999" customHeight="1" x14ac:dyDescent="0.35">
      <c r="A8" s="8" t="s">
        <v>52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372</v>
      </c>
      <c r="N8" s="9"/>
      <c r="O8" s="12"/>
      <c r="P8" s="9"/>
      <c r="Q8" s="12"/>
      <c r="R8" s="9"/>
      <c r="S8" s="12"/>
      <c r="T8" s="9"/>
      <c r="U8" s="9"/>
      <c r="V8" s="13" t="s">
        <v>30</v>
      </c>
      <c r="W8" s="104"/>
    </row>
    <row r="9" spans="1:23" ht="17.149999999999999" customHeight="1" x14ac:dyDescent="0.35">
      <c r="A9" s="8" t="s">
        <v>26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372</v>
      </c>
      <c r="N9" s="9"/>
      <c r="O9" s="12"/>
      <c r="P9" s="9"/>
      <c r="Q9" s="12"/>
      <c r="R9" s="9"/>
      <c r="S9" s="12"/>
      <c r="T9" s="9"/>
      <c r="U9" s="9"/>
      <c r="V9" s="13" t="s">
        <v>30</v>
      </c>
      <c r="W9" s="104"/>
    </row>
    <row r="10" spans="1:23" ht="17.149999999999999" customHeight="1" x14ac:dyDescent="0.35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372</v>
      </c>
      <c r="N10" s="9"/>
      <c r="O10" s="12"/>
      <c r="P10" s="9"/>
      <c r="Q10" s="12"/>
      <c r="R10" s="9"/>
      <c r="S10" s="12"/>
      <c r="T10" s="9"/>
      <c r="U10" s="9"/>
      <c r="V10" s="13" t="s">
        <v>30</v>
      </c>
      <c r="W10" s="104" t="s">
        <v>373</v>
      </c>
    </row>
    <row r="11" spans="1:23" ht="17.149999999999999" customHeight="1" x14ac:dyDescent="0.35">
      <c r="A11" s="8" t="s">
        <v>40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372</v>
      </c>
      <c r="N11" s="9"/>
      <c r="O11" s="12"/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372</v>
      </c>
      <c r="N12" s="9"/>
      <c r="O12" s="12"/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372</v>
      </c>
      <c r="N13" s="9" t="s">
        <v>374</v>
      </c>
      <c r="O13" s="12"/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372</v>
      </c>
      <c r="N14" s="9" t="s">
        <v>374</v>
      </c>
      <c r="O14" s="12"/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 t="s">
        <v>42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134</v>
      </c>
      <c r="W15" s="104"/>
    </row>
    <row r="16" spans="1:23" ht="17.149999999999999" customHeight="1" x14ac:dyDescent="0.35">
      <c r="A16" s="8" t="s">
        <v>44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134</v>
      </c>
      <c r="W16" s="104"/>
    </row>
    <row r="17" spans="1:23" ht="17.149999999999999" customHeight="1" x14ac:dyDescent="0.35">
      <c r="A17" s="8" t="s">
        <v>55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372</v>
      </c>
      <c r="N17" s="9"/>
      <c r="O17" s="12"/>
      <c r="P17" s="9"/>
      <c r="Q17" s="12"/>
      <c r="R17" s="9"/>
      <c r="S17" s="12"/>
      <c r="T17" s="9"/>
      <c r="U17" s="9"/>
      <c r="V17" s="13" t="s">
        <v>48</v>
      </c>
      <c r="W17" s="104"/>
    </row>
    <row r="18" spans="1:23" ht="17.149999999999999" customHeight="1" x14ac:dyDescent="0.35">
      <c r="A18" s="8" t="s">
        <v>37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372</v>
      </c>
      <c r="N18" s="9"/>
      <c r="O18" s="12"/>
      <c r="P18" s="9"/>
      <c r="Q18" s="12"/>
      <c r="R18" s="9"/>
      <c r="S18" s="12"/>
      <c r="T18" s="9"/>
      <c r="U18" s="9"/>
      <c r="V18" s="13" t="s">
        <v>34</v>
      </c>
      <c r="W18" s="104"/>
    </row>
    <row r="19" spans="1:23" ht="17.149999999999999" customHeight="1" x14ac:dyDescent="0.35">
      <c r="A19" s="8" t="s">
        <v>33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372</v>
      </c>
      <c r="N19" s="9"/>
      <c r="O19" s="12"/>
      <c r="P19" s="9"/>
      <c r="Q19" s="12"/>
      <c r="R19" s="9"/>
      <c r="S19" s="12"/>
      <c r="T19" s="9"/>
      <c r="U19" s="9"/>
      <c r="V19" s="13" t="s">
        <v>34</v>
      </c>
      <c r="W19" s="104" t="s">
        <v>375</v>
      </c>
    </row>
    <row r="20" spans="1:23" ht="17.149999999999999" customHeight="1" x14ac:dyDescent="0.35">
      <c r="A20" s="8" t="s">
        <v>124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372</v>
      </c>
      <c r="N20" s="9"/>
      <c r="O20" s="12"/>
      <c r="P20" s="9"/>
      <c r="Q20" s="12"/>
      <c r="R20" s="9"/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49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372</v>
      </c>
      <c r="N21" s="9"/>
      <c r="O21" s="12"/>
      <c r="P21" s="9"/>
      <c r="Q21" s="12"/>
      <c r="R21" s="9"/>
      <c r="S21" s="12"/>
      <c r="T21" s="9"/>
      <c r="U21" s="9"/>
      <c r="V21" s="13" t="s">
        <v>48</v>
      </c>
      <c r="W21" s="104"/>
    </row>
    <row r="22" spans="1:23" ht="17.149999999999999" customHeight="1" x14ac:dyDescent="0.35">
      <c r="A22" s="8" t="s">
        <v>38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372</v>
      </c>
      <c r="N22" s="9"/>
      <c r="O22" s="12"/>
      <c r="P22" s="9"/>
      <c r="Q22" s="12"/>
      <c r="R22" s="9"/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 t="s">
        <v>50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372</v>
      </c>
      <c r="N23" s="9"/>
      <c r="O23" s="12"/>
      <c r="P23" s="9"/>
      <c r="Q23" s="12"/>
      <c r="R23" s="9"/>
      <c r="S23" s="12"/>
      <c r="T23" s="9"/>
      <c r="U23" s="9"/>
      <c r="V23" s="13" t="s">
        <v>34</v>
      </c>
      <c r="W23" s="104"/>
    </row>
    <row r="24" spans="1:23" ht="17.149999999999999" customHeight="1" x14ac:dyDescent="0.35">
      <c r="A24" s="8" t="s">
        <v>51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372</v>
      </c>
      <c r="N24" s="9"/>
      <c r="O24" s="12"/>
      <c r="P24" s="9"/>
      <c r="Q24" s="12"/>
      <c r="R24" s="9"/>
      <c r="S24" s="12"/>
      <c r="T24" s="9"/>
      <c r="U24" s="9"/>
      <c r="V24" s="13" t="s">
        <v>48</v>
      </c>
      <c r="W24" s="104"/>
    </row>
    <row r="25" spans="1:23" ht="17.149999999999999" customHeight="1" x14ac:dyDescent="0.35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4" t="s">
        <v>376</v>
      </c>
    </row>
    <row r="29" spans="1:23" ht="17.149999999999999" customHeight="1" x14ac:dyDescent="0.35">
      <c r="A29" s="8" t="s">
        <v>32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30</v>
      </c>
      <c r="W29" s="104"/>
    </row>
    <row r="30" spans="1:23" ht="17.149999999999999" customHeight="1" x14ac:dyDescent="0.35">
      <c r="A30" s="8" t="s">
        <v>28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34</v>
      </c>
      <c r="W30" s="104"/>
    </row>
    <row r="31" spans="1:23" ht="17.149999999999999" customHeight="1" x14ac:dyDescent="0.35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48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" t="s">
        <v>370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117</v>
      </c>
      <c r="P34" s="6" t="s">
        <v>118</v>
      </c>
      <c r="Q34" s="6" t="s">
        <v>280</v>
      </c>
      <c r="R34" s="6" t="s">
        <v>209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371</v>
      </c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61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115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24</v>
      </c>
      <c r="W43" s="104" t="s">
        <v>373</v>
      </c>
    </row>
    <row r="44" spans="1:23" ht="17.149999999999999" customHeight="1" x14ac:dyDescent="0.35">
      <c r="A44" s="8" t="s">
        <v>91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113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377</v>
      </c>
      <c r="N47" s="15"/>
      <c r="O47" s="15"/>
      <c r="P47" s="15"/>
      <c r="Q47" s="15"/>
      <c r="R47" s="15"/>
      <c r="S47" s="15"/>
      <c r="T47" s="15"/>
      <c r="U47" s="15"/>
      <c r="V47" s="17"/>
      <c r="W47" s="104"/>
    </row>
    <row r="48" spans="1:23" ht="17.149999999999999" customHeight="1" x14ac:dyDescent="0.35">
      <c r="A48" s="8" t="s">
        <v>72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378</v>
      </c>
      <c r="N48" s="9"/>
      <c r="O48" s="24"/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74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378</v>
      </c>
      <c r="N49" s="9"/>
      <c r="O49" s="24"/>
      <c r="P49" s="9"/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75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378</v>
      </c>
      <c r="N50" s="9"/>
      <c r="O50" s="24"/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369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378</v>
      </c>
      <c r="N51" s="9"/>
      <c r="O51" s="24"/>
      <c r="P51" s="9"/>
      <c r="Q51" s="24"/>
      <c r="R51" s="9"/>
      <c r="S51" s="12"/>
      <c r="T51" s="25"/>
      <c r="V51" s="23" t="s">
        <v>30</v>
      </c>
      <c r="W51" s="104"/>
    </row>
    <row r="52" spans="1:23" ht="17.149999999999999" customHeight="1" x14ac:dyDescent="0.35">
      <c r="A52" s="8" t="s">
        <v>82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378</v>
      </c>
      <c r="N52" s="9"/>
      <c r="O52" s="24"/>
      <c r="P52" s="9"/>
      <c r="Q52" s="24"/>
      <c r="R52" s="9"/>
      <c r="S52" s="12"/>
      <c r="T52" s="25"/>
      <c r="U52" s="28"/>
      <c r="V52" s="23" t="s">
        <v>30</v>
      </c>
      <c r="W52" s="104" t="s">
        <v>379</v>
      </c>
    </row>
    <row r="53" spans="1:23" ht="17.149999999999999" customHeight="1" x14ac:dyDescent="0.35">
      <c r="A53" s="8" t="s">
        <v>81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378</v>
      </c>
      <c r="N53" s="9"/>
      <c r="O53" s="24"/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109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378</v>
      </c>
      <c r="N54" s="9"/>
      <c r="O54" s="24"/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84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378</v>
      </c>
      <c r="N55" s="9"/>
      <c r="O55" s="24"/>
      <c r="P55" s="9"/>
      <c r="Q55" s="24"/>
      <c r="R55" s="9"/>
      <c r="S55" s="12"/>
      <c r="T55" s="25"/>
      <c r="V55" s="23" t="s">
        <v>30</v>
      </c>
      <c r="W55" s="104"/>
    </row>
    <row r="56" spans="1:23" ht="17.149999999999999" customHeight="1" x14ac:dyDescent="0.35">
      <c r="A56" s="8" t="s">
        <v>90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378</v>
      </c>
      <c r="N56" s="9"/>
      <c r="O56" s="24"/>
      <c r="P56" s="9"/>
      <c r="Q56" s="24"/>
      <c r="R56" s="9"/>
      <c r="S56" s="12"/>
      <c r="T56" s="25"/>
      <c r="U56" s="28"/>
      <c r="V56" s="23" t="s">
        <v>30</v>
      </c>
      <c r="W56" s="104"/>
    </row>
    <row r="57" spans="1:23" ht="17.149999999999999" customHeight="1" x14ac:dyDescent="0.35">
      <c r="A57" s="8" t="s">
        <v>83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378</v>
      </c>
      <c r="N57" s="9"/>
      <c r="O57" s="24"/>
      <c r="P57" s="9"/>
      <c r="Q57" s="24"/>
      <c r="R57" s="9"/>
      <c r="S57" s="12"/>
      <c r="T57" s="25"/>
      <c r="V57" s="23" t="s">
        <v>30</v>
      </c>
      <c r="W57" s="104"/>
    </row>
    <row r="58" spans="1:23" ht="17.149999999999999" customHeight="1" x14ac:dyDescent="0.35">
      <c r="A58" s="8" t="s">
        <v>86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378</v>
      </c>
      <c r="N58" s="9"/>
      <c r="O58" s="24"/>
      <c r="P58" s="9"/>
      <c r="Q58" s="24"/>
      <c r="R58" s="9"/>
      <c r="S58" s="12"/>
      <c r="T58" s="25"/>
      <c r="V58" s="23" t="s">
        <v>30</v>
      </c>
      <c r="W58" s="104"/>
    </row>
    <row r="59" spans="1:23" ht="17.149999999999999" customHeight="1" x14ac:dyDescent="0.35">
      <c r="A59" s="8" t="s">
        <v>110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378</v>
      </c>
      <c r="N59" s="9"/>
      <c r="O59" s="24"/>
      <c r="P59" s="9"/>
      <c r="Q59" s="24"/>
      <c r="R59" s="9"/>
      <c r="S59" s="12"/>
      <c r="T59" s="25"/>
      <c r="V59" s="23" t="s">
        <v>30</v>
      </c>
      <c r="W59" s="104"/>
    </row>
    <row r="60" spans="1:23" ht="17.149999999999999" customHeight="1" x14ac:dyDescent="0.35">
      <c r="A60" s="8" t="s">
        <v>68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378</v>
      </c>
      <c r="N60" s="9" t="s">
        <v>374</v>
      </c>
      <c r="O60" s="24"/>
      <c r="P60" s="9"/>
      <c r="Q60" s="24"/>
      <c r="R60" s="9"/>
      <c r="S60" s="12"/>
      <c r="T60" s="25"/>
      <c r="V60" s="23" t="s">
        <v>30</v>
      </c>
      <c r="W60" s="104"/>
    </row>
    <row r="61" spans="1:23" ht="17.149999999999999" customHeight="1" x14ac:dyDescent="0.35">
      <c r="A61" s="8" t="s">
        <v>92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378</v>
      </c>
      <c r="N61" s="9"/>
      <c r="O61" s="24"/>
      <c r="P61" s="9"/>
      <c r="Q61" s="24"/>
      <c r="R61" s="9"/>
      <c r="S61" s="12"/>
      <c r="T61" s="25"/>
      <c r="V61" s="23" t="s">
        <v>30</v>
      </c>
      <c r="W61" s="104" t="s">
        <v>376</v>
      </c>
    </row>
    <row r="62" spans="1:23" ht="17.149999999999999" customHeight="1" x14ac:dyDescent="0.35">
      <c r="A62" s="8" t="s">
        <v>93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134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70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30</v>
      </c>
      <c r="W65" s="104"/>
    </row>
    <row r="66" spans="1:23" ht="17.149999999999999" customHeight="1" thickBot="1" x14ac:dyDescent="0.4">
      <c r="A66" s="8" t="s">
        <v>71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30</v>
      </c>
      <c r="W66" s="109"/>
    </row>
    <row r="67" spans="1:23" ht="17.149999999999999" customHeight="1" x14ac:dyDescent="0.35">
      <c r="A67" s="14" t="s">
        <v>370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377</v>
      </c>
      <c r="N67" s="15" t="s">
        <v>178</v>
      </c>
      <c r="O67" s="15" t="s">
        <v>128</v>
      </c>
      <c r="P67" s="15" t="s">
        <v>296</v>
      </c>
      <c r="Q67" s="15" t="s">
        <v>279</v>
      </c>
      <c r="R67" s="15" t="s">
        <v>280</v>
      </c>
      <c r="S67" s="15" t="s">
        <v>209</v>
      </c>
      <c r="T67" s="15" t="s">
        <v>19</v>
      </c>
      <c r="U67" s="15" t="s">
        <v>20</v>
      </c>
      <c r="V67" s="17" t="s">
        <v>21</v>
      </c>
      <c r="W67" s="110" t="s">
        <v>380</v>
      </c>
    </row>
    <row r="68" spans="1:23" ht="17.149999999999999" customHeight="1" x14ac:dyDescent="0.35">
      <c r="A68" s="8" t="s">
        <v>73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378</v>
      </c>
      <c r="N68" s="9"/>
      <c r="O68" s="24"/>
      <c r="P68" s="9"/>
      <c r="Q68" s="24"/>
      <c r="R68" s="9"/>
      <c r="S68" s="12"/>
      <c r="V68" s="23" t="s">
        <v>34</v>
      </c>
      <c r="W68" s="104"/>
    </row>
    <row r="69" spans="1:23" ht="17.149999999999999" customHeight="1" x14ac:dyDescent="0.35">
      <c r="A69" s="8" t="s">
        <v>76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378</v>
      </c>
      <c r="N69" s="9"/>
      <c r="O69" s="24"/>
      <c r="P69" s="9"/>
      <c r="Q69" s="24"/>
      <c r="R69" s="9"/>
      <c r="S69" s="12"/>
      <c r="V69" s="23" t="s">
        <v>34</v>
      </c>
      <c r="W69" s="104"/>
    </row>
    <row r="70" spans="1:23" ht="17.149999999999999" customHeight="1" x14ac:dyDescent="0.35">
      <c r="A70" s="8" t="s">
        <v>99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378</v>
      </c>
      <c r="N70" s="9"/>
      <c r="O70" s="24"/>
      <c r="P70" s="9"/>
      <c r="Q70" s="24"/>
      <c r="R70" s="9"/>
      <c r="S70" s="12"/>
      <c r="V70" s="23" t="s">
        <v>34</v>
      </c>
      <c r="W70" s="104"/>
    </row>
    <row r="71" spans="1:23" ht="17.149999999999999" customHeight="1" x14ac:dyDescent="0.35">
      <c r="A71" s="8" t="s">
        <v>98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378</v>
      </c>
      <c r="N71" s="9"/>
      <c r="O71" s="24"/>
      <c r="P71" s="9"/>
      <c r="Q71" s="24"/>
      <c r="R71" s="9"/>
      <c r="S71" s="12"/>
      <c r="V71" s="23" t="s">
        <v>48</v>
      </c>
      <c r="W71" s="104"/>
    </row>
    <row r="72" spans="1:23" ht="17.149999999999999" customHeight="1" x14ac:dyDescent="0.35">
      <c r="A72" s="8" t="s">
        <v>78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378</v>
      </c>
      <c r="N72" s="9"/>
      <c r="O72" s="24"/>
      <c r="P72" s="9"/>
      <c r="Q72" s="24"/>
      <c r="R72" s="9"/>
      <c r="S72" s="12"/>
      <c r="V72" s="23" t="s">
        <v>34</v>
      </c>
      <c r="W72" s="104"/>
    </row>
    <row r="73" spans="1:23" ht="17.149999999999999" customHeight="1" x14ac:dyDescent="0.35">
      <c r="A73" s="8" t="s">
        <v>80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168</v>
      </c>
      <c r="W73" s="104"/>
    </row>
    <row r="74" spans="1:23" ht="17.149999999999999" customHeight="1" x14ac:dyDescent="0.35">
      <c r="A74" s="8" t="s">
        <v>101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378</v>
      </c>
      <c r="N74" s="9"/>
      <c r="O74" s="24"/>
      <c r="P74" s="9"/>
      <c r="Q74" s="24"/>
      <c r="R74" s="9"/>
      <c r="S74" s="12"/>
      <c r="V74" s="23" t="s">
        <v>34</v>
      </c>
      <c r="W74" s="104"/>
    </row>
    <row r="75" spans="1:23" ht="17.149999999999999" customHeight="1" x14ac:dyDescent="0.35">
      <c r="A75" s="8" t="s">
        <v>106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378</v>
      </c>
      <c r="N75" s="9"/>
      <c r="O75" s="24"/>
      <c r="P75" s="9"/>
      <c r="Q75" s="24"/>
      <c r="R75" s="9"/>
      <c r="S75" s="12"/>
      <c r="V75" s="23" t="s">
        <v>48</v>
      </c>
      <c r="W75" s="104"/>
    </row>
    <row r="76" spans="1:23" ht="17.149999999999999" customHeight="1" x14ac:dyDescent="0.35">
      <c r="A76" s="8" t="s">
        <v>105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378</v>
      </c>
      <c r="N76" s="9"/>
      <c r="O76" s="24"/>
      <c r="P76" s="9"/>
      <c r="Q76" s="24"/>
      <c r="R76" s="9"/>
      <c r="S76" s="12"/>
      <c r="V76" s="23" t="s">
        <v>48</v>
      </c>
      <c r="W76" s="111"/>
    </row>
    <row r="77" spans="1:23" ht="17.149999999999999" customHeight="1" x14ac:dyDescent="0.35">
      <c r="A77" s="8" t="s">
        <v>103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378</v>
      </c>
      <c r="N77" s="9"/>
      <c r="O77" s="24"/>
      <c r="P77" s="9"/>
      <c r="Q77" s="24"/>
      <c r="R77" s="9"/>
      <c r="S77" s="12"/>
      <c r="V77" s="23" t="s">
        <v>48</v>
      </c>
      <c r="W77" s="111"/>
    </row>
    <row r="78" spans="1:23" ht="17.149999999999999" customHeight="1" x14ac:dyDescent="0.35">
      <c r="A78" s="8" t="s">
        <v>77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378</v>
      </c>
      <c r="N78" s="9"/>
      <c r="O78" s="24"/>
      <c r="P78" s="9"/>
      <c r="Q78" s="24"/>
      <c r="R78" s="9"/>
      <c r="S78" s="12"/>
      <c r="V78" s="23" t="s">
        <v>34</v>
      </c>
      <c r="W78" s="111"/>
    </row>
    <row r="79" spans="1:23" ht="17.149999999999999" customHeight="1" x14ac:dyDescent="0.35">
      <c r="A79" s="8" t="s">
        <v>104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378</v>
      </c>
      <c r="N79" s="9"/>
      <c r="O79" s="24"/>
      <c r="P79" s="9"/>
      <c r="Q79" s="24"/>
      <c r="R79" s="9"/>
      <c r="S79" s="12"/>
      <c r="V79" s="23" t="s">
        <v>48</v>
      </c>
      <c r="W79" s="111"/>
    </row>
    <row r="80" spans="1:23" ht="17.149999999999999" customHeight="1" x14ac:dyDescent="0.35">
      <c r="A80" s="8" t="s">
        <v>102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378</v>
      </c>
      <c r="N80" s="9"/>
      <c r="O80" s="24"/>
      <c r="P80" s="9"/>
      <c r="Q80" s="24"/>
      <c r="R80" s="9"/>
      <c r="S80" s="12"/>
      <c r="V80" s="23" t="s">
        <v>48</v>
      </c>
      <c r="W80" s="111"/>
    </row>
    <row r="81" spans="1:23" ht="17.149999999999999" customHeight="1" x14ac:dyDescent="0.35">
      <c r="A81" s="8" t="s">
        <v>87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378</v>
      </c>
      <c r="N81" s="9"/>
      <c r="O81" s="24"/>
      <c r="P81" s="9"/>
      <c r="Q81" s="24"/>
      <c r="R81" s="9"/>
      <c r="S81" s="12"/>
      <c r="V81" s="23" t="s">
        <v>34</v>
      </c>
      <c r="W81" s="111"/>
    </row>
    <row r="82" spans="1:23" ht="17.149999999999999" customHeight="1" x14ac:dyDescent="0.35">
      <c r="A82" s="8" t="s">
        <v>107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378</v>
      </c>
      <c r="N82" s="9"/>
      <c r="O82" s="24"/>
      <c r="P82" s="9"/>
      <c r="Q82" s="24"/>
      <c r="R82" s="9"/>
      <c r="S82" s="12"/>
      <c r="V82" s="23" t="s">
        <v>48</v>
      </c>
      <c r="W82" s="111"/>
    </row>
    <row r="83" spans="1:23" ht="17.149999999999999" customHeight="1" x14ac:dyDescent="0.35">
      <c r="A83" s="8" t="s">
        <v>88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378</v>
      </c>
      <c r="N83" s="9"/>
      <c r="O83" s="24"/>
      <c r="P83" s="9"/>
      <c r="Q83" s="24"/>
      <c r="R83" s="9"/>
      <c r="S83" s="12"/>
      <c r="V83" s="23" t="s">
        <v>34</v>
      </c>
      <c r="W83" s="111"/>
    </row>
    <row r="84" spans="1:23" ht="17.149999999999999" customHeight="1" x14ac:dyDescent="0.35">
      <c r="A84" s="8" t="s">
        <v>85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378</v>
      </c>
      <c r="N84" s="9"/>
      <c r="O84" s="24"/>
      <c r="P84" s="9"/>
      <c r="Q84" s="24"/>
      <c r="R84" s="9"/>
      <c r="S84" s="12"/>
      <c r="V84" s="23" t="s">
        <v>34</v>
      </c>
      <c r="W84" s="111"/>
    </row>
    <row r="85" spans="1:23" ht="17.149999999999999" customHeight="1" x14ac:dyDescent="0.35">
      <c r="A85" s="8" t="s">
        <v>108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378</v>
      </c>
      <c r="N85" s="9"/>
      <c r="O85" s="24"/>
      <c r="P85" s="9"/>
      <c r="Q85" s="24"/>
      <c r="R85" s="9"/>
      <c r="S85" s="12"/>
      <c r="V85" s="23" t="s">
        <v>34</v>
      </c>
      <c r="W85" s="115"/>
    </row>
    <row r="86" spans="1:23" ht="17.149999999999999" customHeight="1" x14ac:dyDescent="0.35">
      <c r="A86" s="8" t="s">
        <v>111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378</v>
      </c>
      <c r="N86" s="9"/>
      <c r="O86" s="24"/>
      <c r="P86" s="9"/>
      <c r="Q86" s="24"/>
      <c r="R86" s="9"/>
      <c r="S86" s="12"/>
      <c r="V86" s="23" t="s">
        <v>48</v>
      </c>
      <c r="W86" s="115"/>
    </row>
    <row r="87" spans="1:23" ht="17.149999999999999" customHeight="1" x14ac:dyDescent="0.35">
      <c r="A87" s="8" t="s">
        <v>94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378</v>
      </c>
      <c r="N87" s="9" t="s">
        <v>374</v>
      </c>
      <c r="O87" s="24"/>
      <c r="P87" s="9"/>
      <c r="Q87" s="24"/>
      <c r="R87" s="9"/>
      <c r="S87" s="12"/>
      <c r="V87" s="23" t="s">
        <v>48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97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34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 t="s">
        <v>100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48</v>
      </c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381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204</v>
      </c>
      <c r="P1" s="6" t="s">
        <v>205</v>
      </c>
      <c r="Q1" s="6" t="s">
        <v>117</v>
      </c>
      <c r="R1" s="6" t="s">
        <v>118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382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56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204</v>
      </c>
      <c r="P6" s="15" t="s">
        <v>205</v>
      </c>
      <c r="Q6" s="15" t="s">
        <v>117</v>
      </c>
      <c r="R6" s="15" t="s">
        <v>118</v>
      </c>
      <c r="S6" s="15" t="s">
        <v>136</v>
      </c>
      <c r="T6" s="15" t="s">
        <v>276</v>
      </c>
      <c r="U6" s="15"/>
      <c r="V6" s="17"/>
      <c r="W6" s="104"/>
    </row>
    <row r="7" spans="1:23" ht="17.149999999999999" customHeight="1" x14ac:dyDescent="0.35">
      <c r="A7" s="8" t="s">
        <v>31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30</v>
      </c>
      <c r="W7" s="104"/>
    </row>
    <row r="8" spans="1:23" ht="17.149999999999999" customHeight="1" x14ac:dyDescent="0.35">
      <c r="A8" s="8" t="s">
        <v>52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30</v>
      </c>
      <c r="W8" s="104"/>
    </row>
    <row r="9" spans="1:23" ht="17.149999999999999" customHeight="1" x14ac:dyDescent="0.35">
      <c r="A9" s="8" t="s">
        <v>26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30</v>
      </c>
      <c r="W9" s="104"/>
    </row>
    <row r="10" spans="1:23" ht="17.149999999999999" customHeight="1" x14ac:dyDescent="0.35">
      <c r="A10" s="8" t="s">
        <v>36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30</v>
      </c>
      <c r="W10" s="104" t="s">
        <v>383</v>
      </c>
    </row>
    <row r="11" spans="1:23" ht="17.149999999999999" customHeight="1" x14ac:dyDescent="0.35">
      <c r="A11" s="8" t="s">
        <v>40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30</v>
      </c>
      <c r="W12" s="104"/>
    </row>
    <row r="13" spans="1:23" ht="17.149999999999999" customHeight="1" x14ac:dyDescent="0.35">
      <c r="A13" s="8" t="s">
        <v>41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30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30</v>
      </c>
      <c r="W14" s="104"/>
    </row>
    <row r="15" spans="1:23" ht="17.149999999999999" customHeight="1" x14ac:dyDescent="0.35">
      <c r="A15" s="8" t="s">
        <v>42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30</v>
      </c>
      <c r="W15" s="104"/>
    </row>
    <row r="16" spans="1:23" ht="17.149999999999999" customHeight="1" x14ac:dyDescent="0.35">
      <c r="A16" s="8" t="s">
        <v>44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30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231</v>
      </c>
      <c r="O18" s="15" t="s">
        <v>142</v>
      </c>
      <c r="P18" s="15" t="s">
        <v>143</v>
      </c>
      <c r="Q18" s="15" t="s">
        <v>136</v>
      </c>
      <c r="R18" s="15" t="s">
        <v>137</v>
      </c>
      <c r="S18" s="15"/>
      <c r="T18" s="15"/>
      <c r="U18" s="15"/>
      <c r="V18" s="17"/>
      <c r="W18" s="104"/>
    </row>
    <row r="19" spans="1:23" ht="17.149999999999999" customHeight="1" x14ac:dyDescent="0.35">
      <c r="A19" s="8" t="s">
        <v>55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48</v>
      </c>
      <c r="W19" s="104" t="s">
        <v>384</v>
      </c>
    </row>
    <row r="20" spans="1:23" ht="17.149999999999999" customHeight="1" x14ac:dyDescent="0.35">
      <c r="A20" s="8" t="s">
        <v>37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33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34</v>
      </c>
      <c r="W21" s="104"/>
    </row>
    <row r="22" spans="1:23" ht="17.149999999999999" customHeight="1" x14ac:dyDescent="0.35">
      <c r="A22" s="8" t="s">
        <v>124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34</v>
      </c>
      <c r="W22" s="104"/>
    </row>
    <row r="23" spans="1:23" ht="17.149999999999999" customHeight="1" x14ac:dyDescent="0.35">
      <c r="A23" s="8" t="s">
        <v>49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48</v>
      </c>
      <c r="W23" s="104"/>
    </row>
    <row r="24" spans="1:23" ht="17.149999999999999" customHeight="1" x14ac:dyDescent="0.35">
      <c r="A24" s="8" t="s">
        <v>38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34</v>
      </c>
      <c r="W24" s="104"/>
    </row>
    <row r="25" spans="1:23" ht="17.149999999999999" customHeight="1" x14ac:dyDescent="0.35">
      <c r="A25" s="8" t="s">
        <v>50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34</v>
      </c>
      <c r="W25" s="104"/>
    </row>
    <row r="26" spans="1:23" ht="17.149999999999999" customHeight="1" x14ac:dyDescent="0.35">
      <c r="A26" s="8" t="s">
        <v>51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48</v>
      </c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11"/>
    </row>
    <row r="29" spans="1:23" ht="17.149999999999999" customHeight="1" x14ac:dyDescent="0.35">
      <c r="A29" s="8" t="s">
        <v>32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30</v>
      </c>
      <c r="W29" s="111"/>
    </row>
    <row r="30" spans="1:23" ht="17.149999999999999" customHeight="1" x14ac:dyDescent="0.35">
      <c r="A30" s="8" t="s">
        <v>28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34</v>
      </c>
      <c r="W30" s="111"/>
    </row>
    <row r="31" spans="1:23" ht="17.149999999999999" customHeight="1" x14ac:dyDescent="0.35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48</v>
      </c>
      <c r="W31" s="111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5">
      <c r="A34" s="1" t="s">
        <v>381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204</v>
      </c>
      <c r="P34" s="6" t="s">
        <v>205</v>
      </c>
      <c r="Q34" s="6" t="s">
        <v>117</v>
      </c>
      <c r="R34" s="6" t="s">
        <v>118</v>
      </c>
      <c r="S34" s="6" t="s">
        <v>209</v>
      </c>
      <c r="T34" s="2" t="s">
        <v>19</v>
      </c>
      <c r="U34" s="2" t="s">
        <v>20</v>
      </c>
      <c r="V34" s="22" t="s">
        <v>21</v>
      </c>
      <c r="W34" s="110" t="s">
        <v>382</v>
      </c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24</v>
      </c>
      <c r="W35" s="104"/>
    </row>
    <row r="36" spans="1:23" ht="17.149999999999999" customHeight="1" x14ac:dyDescent="0.35">
      <c r="A36" s="8" t="s">
        <v>61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24</v>
      </c>
      <c r="W36" s="104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24</v>
      </c>
      <c r="W37" s="104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24</v>
      </c>
      <c r="W38" s="104"/>
    </row>
    <row r="39" spans="1:23" ht="17.149999999999999" customHeight="1" x14ac:dyDescent="0.35">
      <c r="A39" s="8" t="s">
        <v>75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24</v>
      </c>
      <c r="W39" s="104"/>
    </row>
    <row r="40" spans="1:23" ht="17.149999999999999" customHeight="1" x14ac:dyDescent="0.35">
      <c r="A40" s="8" t="s">
        <v>115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66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24</v>
      </c>
      <c r="W42" s="104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24</v>
      </c>
      <c r="W43" s="104" t="s">
        <v>383</v>
      </c>
    </row>
    <row r="44" spans="1:23" ht="17.149999999999999" customHeight="1" x14ac:dyDescent="0.35">
      <c r="A44" s="8" t="s">
        <v>91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24</v>
      </c>
      <c r="W44" s="104"/>
    </row>
    <row r="45" spans="1:23" ht="17.149999999999999" customHeight="1" x14ac:dyDescent="0.35">
      <c r="A45" s="8" t="s">
        <v>113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13</v>
      </c>
      <c r="O47" s="15" t="s">
        <v>204</v>
      </c>
      <c r="P47" s="15" t="s">
        <v>205</v>
      </c>
      <c r="Q47" s="15" t="s">
        <v>117</v>
      </c>
      <c r="R47" s="15" t="s">
        <v>118</v>
      </c>
      <c r="S47" s="15" t="s">
        <v>136</v>
      </c>
      <c r="T47" s="15" t="s">
        <v>276</v>
      </c>
      <c r="U47" s="15"/>
      <c r="V47" s="17"/>
      <c r="W47" s="104"/>
    </row>
    <row r="48" spans="1:23" ht="17.149999999999999" customHeight="1" x14ac:dyDescent="0.35">
      <c r="A48" s="8" t="s">
        <v>72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30</v>
      </c>
      <c r="W48" s="104"/>
    </row>
    <row r="49" spans="1:23" ht="17.149999999999999" customHeight="1" x14ac:dyDescent="0.35">
      <c r="A49" s="8" t="s">
        <v>74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30</v>
      </c>
      <c r="W49" s="104"/>
    </row>
    <row r="50" spans="1:23" ht="17.149999999999999" customHeight="1" x14ac:dyDescent="0.35">
      <c r="A50" s="8" t="s">
        <v>65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30</v>
      </c>
      <c r="W50" s="104"/>
    </row>
    <row r="51" spans="1:23" ht="17.149999999999999" customHeight="1" x14ac:dyDescent="0.35">
      <c r="A51" s="8" t="s">
        <v>369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30</v>
      </c>
      <c r="W51" s="104"/>
    </row>
    <row r="52" spans="1:23" ht="17.149999999999999" customHeight="1" x14ac:dyDescent="0.35">
      <c r="A52" s="8" t="s">
        <v>82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30</v>
      </c>
      <c r="W52" s="104" t="s">
        <v>384</v>
      </c>
    </row>
    <row r="53" spans="1:23" ht="17.149999999999999" customHeight="1" x14ac:dyDescent="0.35">
      <c r="A53" s="8" t="s">
        <v>81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30</v>
      </c>
      <c r="W53" s="104"/>
    </row>
    <row r="54" spans="1:23" ht="17.149999999999999" customHeight="1" x14ac:dyDescent="0.35">
      <c r="A54" s="8" t="s">
        <v>109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30</v>
      </c>
      <c r="W54" s="104"/>
    </row>
    <row r="55" spans="1:23" ht="17.149999999999999" customHeight="1" x14ac:dyDescent="0.35">
      <c r="A55" s="8" t="s">
        <v>84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30</v>
      </c>
      <c r="W55" s="104"/>
    </row>
    <row r="56" spans="1:23" ht="17.149999999999999" customHeight="1" x14ac:dyDescent="0.35">
      <c r="A56" s="8" t="s">
        <v>90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30</v>
      </c>
      <c r="W56" s="104"/>
    </row>
    <row r="57" spans="1:23" ht="17.149999999999999" customHeight="1" x14ac:dyDescent="0.35">
      <c r="A57" s="8" t="s">
        <v>83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30</v>
      </c>
      <c r="W57" s="104"/>
    </row>
    <row r="58" spans="1:23" ht="17.149999999999999" customHeight="1" x14ac:dyDescent="0.35">
      <c r="A58" s="8" t="s">
        <v>86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30</v>
      </c>
      <c r="W58" s="104"/>
    </row>
    <row r="59" spans="1:23" ht="17.149999999999999" customHeight="1" x14ac:dyDescent="0.35">
      <c r="A59" s="8" t="s">
        <v>110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30</v>
      </c>
      <c r="W59" s="104"/>
    </row>
    <row r="60" spans="1:23" ht="17.149999999999999" customHeight="1" x14ac:dyDescent="0.35">
      <c r="A60" s="8" t="s">
        <v>68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30</v>
      </c>
      <c r="W60" s="104"/>
    </row>
    <row r="61" spans="1:23" ht="17.149999999999999" customHeight="1" x14ac:dyDescent="0.35">
      <c r="A61" s="8" t="s">
        <v>92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30</v>
      </c>
      <c r="W61" s="104"/>
    </row>
    <row r="62" spans="1:23" ht="17.149999999999999" customHeight="1" x14ac:dyDescent="0.35">
      <c r="A62" s="8" t="s">
        <v>93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30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70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30</v>
      </c>
      <c r="W65" s="104"/>
    </row>
    <row r="66" spans="1:23" ht="17.149999999999999" customHeight="1" thickBot="1" x14ac:dyDescent="0.4">
      <c r="A66" s="8" t="s">
        <v>71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30</v>
      </c>
      <c r="W66" s="109"/>
    </row>
    <row r="67" spans="1:23" ht="17.149999999999999" customHeight="1" x14ac:dyDescent="0.35">
      <c r="A67" s="14" t="s">
        <v>381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231</v>
      </c>
      <c r="O67" s="15" t="s">
        <v>142</v>
      </c>
      <c r="P67" s="15" t="s">
        <v>143</v>
      </c>
      <c r="Q67" s="15" t="s">
        <v>136</v>
      </c>
      <c r="R67" s="15" t="s">
        <v>137</v>
      </c>
      <c r="S67" s="15" t="s">
        <v>209</v>
      </c>
      <c r="T67" s="15" t="s">
        <v>19</v>
      </c>
      <c r="U67" s="15" t="s">
        <v>20</v>
      </c>
      <c r="V67" s="17" t="s">
        <v>21</v>
      </c>
      <c r="W67" s="111"/>
    </row>
    <row r="68" spans="1:23" ht="17.149999999999999" customHeight="1" x14ac:dyDescent="0.35">
      <c r="A68" s="8" t="s">
        <v>73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34</v>
      </c>
      <c r="W68" s="111"/>
    </row>
    <row r="69" spans="1:23" ht="17.149999999999999" customHeight="1" x14ac:dyDescent="0.35">
      <c r="A69" s="8" t="s">
        <v>76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34</v>
      </c>
      <c r="W69" s="111"/>
    </row>
    <row r="70" spans="1:23" ht="17.149999999999999" customHeight="1" x14ac:dyDescent="0.35">
      <c r="A70" s="8" t="s">
        <v>99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34</v>
      </c>
      <c r="W70" s="111"/>
    </row>
    <row r="71" spans="1:23" ht="17.149999999999999" customHeight="1" x14ac:dyDescent="0.35">
      <c r="A71" s="8" t="s">
        <v>98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48</v>
      </c>
      <c r="W71" s="111"/>
    </row>
    <row r="72" spans="1:23" ht="17.149999999999999" customHeight="1" x14ac:dyDescent="0.35">
      <c r="A72" s="8" t="s">
        <v>78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34</v>
      </c>
      <c r="W72" s="111"/>
    </row>
    <row r="73" spans="1:23" ht="17.149999999999999" customHeight="1" x14ac:dyDescent="0.35">
      <c r="A73" s="8" t="s">
        <v>80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34</v>
      </c>
      <c r="W73" s="111"/>
    </row>
    <row r="74" spans="1:23" ht="17.149999999999999" customHeight="1" x14ac:dyDescent="0.35">
      <c r="A74" s="8" t="s">
        <v>101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34</v>
      </c>
      <c r="W74" s="111"/>
    </row>
    <row r="75" spans="1:23" ht="17.149999999999999" customHeight="1" x14ac:dyDescent="0.35">
      <c r="A75" s="8" t="s">
        <v>106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48</v>
      </c>
      <c r="W75" s="111"/>
    </row>
    <row r="76" spans="1:23" ht="17.149999999999999" customHeight="1" x14ac:dyDescent="0.35">
      <c r="A76" s="8" t="s">
        <v>105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48</v>
      </c>
      <c r="W76" s="111"/>
    </row>
    <row r="77" spans="1:23" ht="17.149999999999999" customHeight="1" x14ac:dyDescent="0.35">
      <c r="A77" s="8" t="s">
        <v>103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48</v>
      </c>
      <c r="W77" s="111"/>
    </row>
    <row r="78" spans="1:23" ht="17.149999999999999" customHeight="1" x14ac:dyDescent="0.35">
      <c r="A78" s="8" t="s">
        <v>77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34</v>
      </c>
      <c r="W78" s="111"/>
    </row>
    <row r="79" spans="1:23" ht="17.149999999999999" customHeight="1" x14ac:dyDescent="0.35">
      <c r="A79" s="8" t="s">
        <v>104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48</v>
      </c>
      <c r="W79" s="111"/>
    </row>
    <row r="80" spans="1:23" ht="17.149999999999999" customHeight="1" x14ac:dyDescent="0.35">
      <c r="A80" s="8" t="s">
        <v>102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48</v>
      </c>
      <c r="W80" s="111"/>
    </row>
    <row r="81" spans="1:23" ht="17.149999999999999" customHeight="1" x14ac:dyDescent="0.35">
      <c r="A81" s="8" t="s">
        <v>87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34</v>
      </c>
      <c r="W81" s="111"/>
    </row>
    <row r="82" spans="1:23" ht="17.149999999999999" customHeight="1" x14ac:dyDescent="0.35">
      <c r="A82" s="8" t="s">
        <v>107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48</v>
      </c>
      <c r="W82" s="111"/>
    </row>
    <row r="83" spans="1:23" ht="17.149999999999999" customHeight="1" x14ac:dyDescent="0.35">
      <c r="A83" s="8" t="s">
        <v>88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34</v>
      </c>
      <c r="W83" s="111"/>
    </row>
    <row r="84" spans="1:23" ht="17.149999999999999" customHeight="1" x14ac:dyDescent="0.35">
      <c r="A84" s="8" t="s">
        <v>85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34</v>
      </c>
      <c r="W84" s="111"/>
    </row>
    <row r="85" spans="1:23" ht="17.149999999999999" customHeight="1" x14ac:dyDescent="0.35">
      <c r="A85" s="8" t="s">
        <v>108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34</v>
      </c>
      <c r="W85" s="115"/>
    </row>
    <row r="86" spans="1:23" ht="17.149999999999999" customHeight="1" x14ac:dyDescent="0.35">
      <c r="A86" s="8" t="s">
        <v>111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48</v>
      </c>
      <c r="W86" s="115"/>
    </row>
    <row r="87" spans="1:23" ht="17.149999999999999" customHeight="1" x14ac:dyDescent="0.35">
      <c r="A87" s="8" t="s">
        <v>94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48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97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34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48</v>
      </c>
      <c r="W91" s="115"/>
    </row>
    <row r="92" spans="1:23" ht="17.149999999999999" customHeight="1" x14ac:dyDescent="0.35">
      <c r="A92" s="8" t="s">
        <v>100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48</v>
      </c>
      <c r="W92" s="115"/>
    </row>
    <row r="93" spans="1:23" ht="17.149999999999999" customHeight="1" x14ac:dyDescent="0.35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workbookViewId="0">
      <selection activeCell="W1" sqref="W1:W9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385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133</v>
      </c>
      <c r="N1" s="6" t="s">
        <v>178</v>
      </c>
      <c r="O1" s="6" t="s">
        <v>128</v>
      </c>
      <c r="P1" s="6" t="s">
        <v>296</v>
      </c>
      <c r="Q1" s="6" t="s">
        <v>279</v>
      </c>
      <c r="R1" s="6" t="s">
        <v>280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386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24</v>
      </c>
      <c r="W2" s="141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24</v>
      </c>
      <c r="W3" s="141"/>
    </row>
    <row r="4" spans="1:23" ht="17.149999999999999" customHeight="1" x14ac:dyDescent="0.35">
      <c r="A4" s="8" t="s">
        <v>56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24</v>
      </c>
      <c r="W4" s="141"/>
    </row>
    <row r="5" spans="1:23" ht="17.149999999999999" customHeight="1" x14ac:dyDescent="0.35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41"/>
    </row>
    <row r="6" spans="1:23" ht="17.149999999999999" customHeight="1" x14ac:dyDescent="0.35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41"/>
    </row>
    <row r="7" spans="1:23" ht="17.149999999999999" customHeight="1" x14ac:dyDescent="0.35">
      <c r="A7" s="8" t="s">
        <v>37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34</v>
      </c>
      <c r="W7" s="141"/>
    </row>
    <row r="8" spans="1:23" ht="17.149999999999999" customHeight="1" x14ac:dyDescent="0.35">
      <c r="A8" s="8" t="s">
        <v>49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48</v>
      </c>
      <c r="W8" s="141"/>
    </row>
    <row r="9" spans="1:23" ht="17.149999999999999" customHeight="1" x14ac:dyDescent="0.35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41"/>
    </row>
    <row r="10" spans="1:23" ht="17.149999999999999" customHeight="1" x14ac:dyDescent="0.35">
      <c r="A10" s="8" t="s">
        <v>28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42" t="s">
        <v>387</v>
      </c>
    </row>
    <row r="11" spans="1:23" ht="17.149999999999999" customHeight="1" x14ac:dyDescent="0.35">
      <c r="A11" s="8" t="s">
        <v>47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42"/>
    </row>
    <row r="12" spans="1:23" ht="17.149999999999999" customHeight="1" x14ac:dyDescent="0.35">
      <c r="A12" s="8" t="s">
        <v>32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42"/>
    </row>
    <row r="13" spans="1:23" ht="17.149999999999999" customHeight="1" x14ac:dyDescent="0.35">
      <c r="A13" s="8" t="s">
        <v>55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42"/>
    </row>
    <row r="14" spans="1:23" ht="17.149999999999999" customHeight="1" x14ac:dyDescent="0.35">
      <c r="A14" s="8" t="s">
        <v>52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42"/>
    </row>
    <row r="15" spans="1:23" ht="17.149999999999999" customHeight="1" x14ac:dyDescent="0.35">
      <c r="A15" s="8" t="s">
        <v>31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42"/>
    </row>
    <row r="16" spans="1:23" ht="17.149999999999999" customHeight="1" x14ac:dyDescent="0.35">
      <c r="A16" s="8" t="s">
        <v>26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42"/>
    </row>
    <row r="17" spans="1:23" ht="17.149999999999999" customHeight="1" x14ac:dyDescent="0.35">
      <c r="A17" s="8" t="s">
        <v>33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42"/>
    </row>
    <row r="18" spans="1:23" ht="17.149999999999999" customHeight="1" x14ac:dyDescent="0.35">
      <c r="A18" s="8" t="s">
        <v>124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42"/>
    </row>
    <row r="19" spans="1:23" ht="17.149999999999999" customHeight="1" x14ac:dyDescent="0.35">
      <c r="A19" s="8" t="s">
        <v>38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42"/>
    </row>
    <row r="20" spans="1:23" ht="17.149999999999999" customHeight="1" x14ac:dyDescent="0.35">
      <c r="A20" s="8" t="s">
        <v>51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42"/>
    </row>
    <row r="21" spans="1:23" ht="17.149999999999999" customHeight="1" x14ac:dyDescent="0.35">
      <c r="A21" s="8" t="s">
        <v>50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42"/>
    </row>
    <row r="22" spans="1:23" ht="17.149999999999999" customHeight="1" x14ac:dyDescent="0.35">
      <c r="A22" s="8" t="s">
        <v>36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42"/>
    </row>
    <row r="23" spans="1:23" ht="17.149999999999999" customHeight="1" x14ac:dyDescent="0.35">
      <c r="A23" s="8" t="s">
        <v>40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42"/>
    </row>
    <row r="24" spans="1:23" ht="17.149999999999999" customHeight="1" x14ac:dyDescent="0.35">
      <c r="A24" s="8" t="s">
        <v>39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42"/>
    </row>
    <row r="25" spans="1:23" ht="17.149999999999999" customHeight="1" x14ac:dyDescent="0.35">
      <c r="A25" s="8" t="s">
        <v>41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42"/>
    </row>
    <row r="26" spans="1:23" ht="17.149999999999999" customHeight="1" x14ac:dyDescent="0.35">
      <c r="A26" s="8" t="s">
        <v>43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42"/>
    </row>
    <row r="27" spans="1:23" ht="17.149999999999999" customHeight="1" x14ac:dyDescent="0.35">
      <c r="A27" s="8" t="s">
        <v>42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42"/>
    </row>
    <row r="28" spans="1:23" ht="17.149999999999999" customHeight="1" x14ac:dyDescent="0.35">
      <c r="A28" s="8" t="s">
        <v>44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111"/>
    </row>
    <row r="29" spans="1:23" ht="17.149999999999999" customHeight="1" x14ac:dyDescent="0.35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111"/>
    </row>
    <row r="30" spans="1:23" ht="17.149999999999999" customHeight="1" x14ac:dyDescent="0.35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111"/>
    </row>
    <row r="31" spans="1:23" ht="17.149999999999999" customHeight="1" x14ac:dyDescent="0.35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1"/>
    </row>
    <row r="32" spans="1:23" ht="17.149999999999999" customHeight="1" x14ac:dyDescent="0.35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4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5">
      <c r="A34" s="1" t="s">
        <v>385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178</v>
      </c>
      <c r="O34" s="6" t="s">
        <v>128</v>
      </c>
      <c r="P34" s="6" t="s">
        <v>296</v>
      </c>
      <c r="Q34" s="6" t="s">
        <v>279</v>
      </c>
      <c r="R34" s="6" t="s">
        <v>280</v>
      </c>
      <c r="S34" s="6" t="s">
        <v>209</v>
      </c>
      <c r="T34" s="2" t="s">
        <v>19</v>
      </c>
      <c r="U34" s="2" t="s">
        <v>20</v>
      </c>
      <c r="V34" s="22" t="s">
        <v>21</v>
      </c>
      <c r="W34" s="110" t="s">
        <v>386</v>
      </c>
    </row>
    <row r="35" spans="1:23" ht="17.149999999999999" customHeight="1" x14ac:dyDescent="0.35">
      <c r="A35" s="8" t="s">
        <v>63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115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24</v>
      </c>
      <c r="W36" s="104"/>
    </row>
    <row r="37" spans="1:23" ht="17.149999999999999" customHeight="1" x14ac:dyDescent="0.35">
      <c r="A37" s="8" t="s">
        <v>66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24</v>
      </c>
      <c r="W37" s="104"/>
    </row>
    <row r="38" spans="1:23" ht="17.149999999999999" customHeight="1" x14ac:dyDescent="0.35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104"/>
    </row>
    <row r="39" spans="1:23" ht="17.149999999999999" customHeight="1" x14ac:dyDescent="0.35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133</v>
      </c>
      <c r="N39" s="15"/>
      <c r="O39" s="15"/>
      <c r="P39" s="15"/>
      <c r="Q39" s="15"/>
      <c r="R39" s="15"/>
      <c r="S39" s="15"/>
      <c r="T39" s="15"/>
      <c r="U39" s="15"/>
      <c r="V39" s="17"/>
      <c r="W39" s="104"/>
    </row>
    <row r="40" spans="1:23" ht="17.149999999999999" customHeight="1" x14ac:dyDescent="0.35">
      <c r="A40" s="8" t="s">
        <v>65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30</v>
      </c>
      <c r="W40" s="104"/>
    </row>
    <row r="41" spans="1:23" ht="17.149999999999999" customHeight="1" x14ac:dyDescent="0.35">
      <c r="A41" s="8" t="s">
        <v>369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30</v>
      </c>
      <c r="W41" s="104"/>
    </row>
    <row r="42" spans="1:23" ht="17.149999999999999" customHeight="1" x14ac:dyDescent="0.35">
      <c r="A42" s="8" t="s">
        <v>75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30</v>
      </c>
      <c r="W42" s="104"/>
    </row>
    <row r="43" spans="1:23" ht="17.149999999999999" customHeight="1" x14ac:dyDescent="0.35">
      <c r="A43" s="8" t="s">
        <v>84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30</v>
      </c>
      <c r="W43" s="104" t="s">
        <v>388</v>
      </c>
    </row>
    <row r="44" spans="1:23" ht="17.149999999999999" customHeight="1" x14ac:dyDescent="0.35">
      <c r="A44" s="8" t="s">
        <v>113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30</v>
      </c>
      <c r="W44" s="104"/>
    </row>
    <row r="45" spans="1:23" ht="17.149999999999999" customHeight="1" x14ac:dyDescent="0.35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106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48</v>
      </c>
      <c r="W47" s="104"/>
    </row>
    <row r="48" spans="1:23" ht="17.149999999999999" customHeight="1" x14ac:dyDescent="0.35">
      <c r="A48" s="8" t="s">
        <v>87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34</v>
      </c>
      <c r="W48" s="104"/>
    </row>
    <row r="49" spans="1:23" ht="17.149999999999999" customHeight="1" x14ac:dyDescent="0.35">
      <c r="A49" s="8" t="s">
        <v>102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48</v>
      </c>
      <c r="W49" s="104"/>
    </row>
    <row r="50" spans="1:23" ht="17.149999999999999" customHeight="1" x14ac:dyDescent="0.35">
      <c r="A50" s="8" t="s">
        <v>105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48</v>
      </c>
      <c r="W50" s="104"/>
    </row>
    <row r="51" spans="1:23" ht="17.149999999999999" customHeight="1" x14ac:dyDescent="0.35">
      <c r="A51" s="8" t="s">
        <v>103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48</v>
      </c>
      <c r="W51" s="104"/>
    </row>
    <row r="52" spans="1:23" ht="17.149999999999999" customHeight="1" x14ac:dyDescent="0.35">
      <c r="A52" s="8" t="s">
        <v>111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48</v>
      </c>
      <c r="W52" s="104" t="s">
        <v>387</v>
      </c>
    </row>
    <row r="53" spans="1:23" ht="17.149999999999999" customHeight="1" x14ac:dyDescent="0.35">
      <c r="A53" s="8" t="s">
        <v>107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48</v>
      </c>
      <c r="W53" s="104"/>
    </row>
    <row r="54" spans="1:23" ht="17.149999999999999" customHeight="1" x14ac:dyDescent="0.35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104"/>
    </row>
    <row r="55" spans="1:23" ht="17.149999999999999" customHeight="1" x14ac:dyDescent="0.35">
      <c r="A55" s="8" t="s">
        <v>64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104"/>
    </row>
    <row r="56" spans="1:23" ht="17.149999999999999" customHeight="1" x14ac:dyDescent="0.35">
      <c r="A56" s="8" t="s">
        <v>61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104"/>
    </row>
    <row r="57" spans="1:23" ht="17.149999999999999" customHeight="1" x14ac:dyDescent="0.35">
      <c r="A57" s="8" t="s">
        <v>62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104"/>
    </row>
    <row r="58" spans="1:23" ht="17.149999999999999" customHeight="1" x14ac:dyDescent="0.35">
      <c r="A58" s="8" t="s">
        <v>70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104"/>
    </row>
    <row r="59" spans="1:23" ht="17.149999999999999" customHeight="1" x14ac:dyDescent="0.35">
      <c r="A59" s="8" t="s">
        <v>71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104"/>
    </row>
    <row r="60" spans="1:23" ht="17.149999999999999" customHeight="1" x14ac:dyDescent="0.35">
      <c r="A60" s="8" t="s">
        <v>96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104"/>
    </row>
    <row r="61" spans="1:23" ht="17.149999999999999" customHeight="1" x14ac:dyDescent="0.35">
      <c r="A61" s="8" t="s">
        <v>100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104"/>
    </row>
    <row r="62" spans="1:23" ht="17.149999999999999" customHeight="1" x14ac:dyDescent="0.35">
      <c r="A62" s="8" t="s">
        <v>97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104"/>
    </row>
    <row r="63" spans="1:23" ht="17.149999999999999" customHeight="1" x14ac:dyDescent="0.35">
      <c r="A63" s="8" t="s">
        <v>73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104"/>
    </row>
    <row r="64" spans="1:23" ht="17.149999999999999" customHeight="1" x14ac:dyDescent="0.35">
      <c r="A64" s="8" t="s">
        <v>72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104"/>
    </row>
    <row r="65" spans="1:23" ht="17.149999999999999" customHeight="1" x14ac:dyDescent="0.35">
      <c r="A65" s="8" t="s">
        <v>76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104"/>
    </row>
    <row r="66" spans="1:23" ht="17.149999999999999" customHeight="1" thickBot="1" x14ac:dyDescent="0.4">
      <c r="A66" s="8" t="s">
        <v>99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9"/>
    </row>
    <row r="67" spans="1:23" ht="17.149999999999999" customHeight="1" x14ac:dyDescent="0.35">
      <c r="A67" s="14" t="s">
        <v>385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111"/>
    </row>
    <row r="68" spans="1:23" ht="17.149999999999999" customHeight="1" x14ac:dyDescent="0.35">
      <c r="A68" s="8" t="s">
        <v>98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111"/>
    </row>
    <row r="69" spans="1:23" ht="17.149999999999999" customHeight="1" x14ac:dyDescent="0.35">
      <c r="A69" s="8" t="s">
        <v>74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111"/>
    </row>
    <row r="70" spans="1:23" ht="17.149999999999999" customHeight="1" x14ac:dyDescent="0.35">
      <c r="A70" s="8" t="s">
        <v>78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111"/>
    </row>
    <row r="71" spans="1:23" ht="17.149999999999999" customHeight="1" x14ac:dyDescent="0.35">
      <c r="A71" s="8" t="s">
        <v>80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111"/>
    </row>
    <row r="72" spans="1:23" ht="17.149999999999999" customHeight="1" x14ac:dyDescent="0.35">
      <c r="A72" s="8" t="s">
        <v>101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111"/>
    </row>
    <row r="73" spans="1:23" ht="17.149999999999999" customHeight="1" x14ac:dyDescent="0.35">
      <c r="A73" s="8" t="s">
        <v>82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111"/>
    </row>
    <row r="74" spans="1:23" ht="17.149999999999999" customHeight="1" x14ac:dyDescent="0.35">
      <c r="A74" s="8" t="s">
        <v>104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111"/>
    </row>
    <row r="75" spans="1:23" ht="17.149999999999999" customHeight="1" x14ac:dyDescent="0.35">
      <c r="A75" s="8" t="s">
        <v>81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111"/>
    </row>
    <row r="76" spans="1:23" ht="17.149999999999999" customHeight="1" x14ac:dyDescent="0.35">
      <c r="A76" s="8" t="s">
        <v>109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111"/>
    </row>
    <row r="77" spans="1:23" ht="17.149999999999999" customHeight="1" x14ac:dyDescent="0.35">
      <c r="A77" s="8" t="s">
        <v>77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111"/>
    </row>
    <row r="78" spans="1:23" ht="17.149999999999999" customHeight="1" x14ac:dyDescent="0.35">
      <c r="A78" s="8" t="s">
        <v>88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111"/>
    </row>
    <row r="79" spans="1:23" ht="17.149999999999999" customHeight="1" x14ac:dyDescent="0.35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111"/>
    </row>
    <row r="80" spans="1:23" ht="17.149999999999999" customHeight="1" x14ac:dyDescent="0.35">
      <c r="A80" s="8" t="s">
        <v>85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111"/>
    </row>
    <row r="81" spans="1:23" ht="17.149999999999999" customHeight="1" x14ac:dyDescent="0.35">
      <c r="A81" s="8" t="s">
        <v>90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111"/>
    </row>
    <row r="82" spans="1:23" ht="17.149999999999999" customHeight="1" x14ac:dyDescent="0.35">
      <c r="A82" s="8" t="s">
        <v>83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111"/>
    </row>
    <row r="83" spans="1:23" ht="17.149999999999999" customHeight="1" x14ac:dyDescent="0.35">
      <c r="A83" s="8" t="s">
        <v>86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111"/>
    </row>
    <row r="84" spans="1:23" ht="17.149999999999999" customHeight="1" x14ac:dyDescent="0.35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111"/>
    </row>
    <row r="85" spans="1:23" ht="17.149999999999999" customHeight="1" x14ac:dyDescent="0.35">
      <c r="A85" s="8" t="s">
        <v>110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49999999999999" customHeight="1" x14ac:dyDescent="0.35">
      <c r="A86" s="8" t="s">
        <v>108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15"/>
    </row>
    <row r="87" spans="1:23" ht="17.149999999999999" customHeight="1" x14ac:dyDescent="0.35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15"/>
    </row>
    <row r="88" spans="1:23" ht="17.149999999999999" customHeight="1" x14ac:dyDescent="0.35">
      <c r="A88" s="8" t="s">
        <v>67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15"/>
    </row>
    <row r="89" spans="1:23" ht="17.149999999999999" customHeight="1" x14ac:dyDescent="0.35">
      <c r="A89" s="8" t="s">
        <v>68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15"/>
    </row>
    <row r="90" spans="1:23" ht="17.149999999999999" customHeight="1" x14ac:dyDescent="0.35">
      <c r="A90" s="8" t="s">
        <v>92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15"/>
    </row>
    <row r="91" spans="1:23" ht="17.149999999999999" customHeight="1" x14ac:dyDescent="0.35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15"/>
    </row>
    <row r="92" spans="1:23" ht="17.149999999999999" customHeight="1" x14ac:dyDescent="0.35">
      <c r="A92" s="8" t="s">
        <v>112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49999999999999" customHeight="1" x14ac:dyDescent="0.35">
      <c r="A93" s="8" t="s">
        <v>91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49999999999999" customHeight="1" x14ac:dyDescent="0.35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111"/>
    </row>
    <row r="95" spans="1:23" ht="17.149999999999999" customHeight="1" x14ac:dyDescent="0.35">
      <c r="A95" s="8" t="s">
        <v>94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 t="s">
        <v>93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93A-9519-43A1-AB2F-37F8DFEDD468}">
  <sheetPr>
    <pageSetUpPr fitToPage="1"/>
  </sheetPr>
  <dimension ref="A1:W99"/>
  <sheetViews>
    <sheetView topLeftCell="A67" workbookViewId="0">
      <selection activeCell="Q75" sqref="Q75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5" max="25" width="12.1796875" bestFit="1" customWidth="1"/>
  </cols>
  <sheetData>
    <row r="1" spans="1:23" ht="14.5" customHeight="1" x14ac:dyDescent="0.35">
      <c r="A1" s="14" t="s">
        <v>127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128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131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4" si="0">C2/4</f>
        <v>8.6805555555555551E-4</v>
      </c>
      <c r="G2" s="9">
        <f t="shared" ref="G2:G14" si="1">D2/7.5</f>
        <v>9.4273148148148146E-4</v>
      </c>
      <c r="H2" s="9">
        <f t="shared" ref="H2:H14" si="2">B2/12.5</f>
        <v>9.7222222222222219E-4</v>
      </c>
      <c r="I2" s="9">
        <f t="shared" ref="I2:I14" si="3">G2/0.93</f>
        <v>1.0136897650338511E-3</v>
      </c>
      <c r="J2" s="9">
        <f t="shared" ref="J2:J14" si="4">G2/0.92</f>
        <v>1.0247081320450884E-3</v>
      </c>
      <c r="K2" s="9">
        <f t="shared" ref="K2:K14" si="5">G2/0.88</f>
        <v>1.0712857744107744E-3</v>
      </c>
      <c r="L2" s="9">
        <f t="shared" ref="L2:L14" si="6">G2/0.84</f>
        <v>1.1222993827160494E-3</v>
      </c>
      <c r="M2" s="11">
        <f>Table14610121424223234363840444850524811131517192123252729313335394143[[#This Row],[Thresh]]</f>
        <v>1.0712857744107744E-3</v>
      </c>
      <c r="N2" s="9">
        <f>Table14610121424223234363840444850524811131517192123252729313335394143[[#This Row],[Thresh]]*2</f>
        <v>2.1425715488215488E-3</v>
      </c>
      <c r="O2" s="12"/>
      <c r="P2" s="9"/>
      <c r="Q2" s="12"/>
      <c r="R2" s="9"/>
      <c r="S2" s="12"/>
      <c r="T2" s="9"/>
      <c r="U2" s="9"/>
      <c r="V2" s="13" t="s">
        <v>132</v>
      </c>
      <c r="W2" s="108"/>
    </row>
    <row r="3" spans="1:23" ht="17.149999999999999" customHeight="1" x14ac:dyDescent="0.35">
      <c r="A3" s="8" t="s">
        <v>36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Table14610121424223234363840444850524811131517192123252729313335394143[[#This Row],[Thresh]]</f>
        <v>1.1478061868686869E-3</v>
      </c>
      <c r="N3" s="9">
        <f>Table14610121424223234363840444850524811131517192123252729313335394143[[#This Row],[Thresh]]*2</f>
        <v>2.2956123737373738E-3</v>
      </c>
      <c r="O3" s="12"/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Table14610121424223234363840444850524811131517192123252729313335394143[[#This Row],[Thresh]]</f>
        <v>1.1478061868686869E-3</v>
      </c>
      <c r="N4" s="9">
        <f>Table14610121424223234363840444850524811131517192123252729313335394143[[#This Row],[Thresh]]*2</f>
        <v>2.2956123737373738E-3</v>
      </c>
      <c r="O4" s="12"/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 t="s">
        <v>25</v>
      </c>
      <c r="B5" s="9">
        <v>1.3020833333333334E-2</v>
      </c>
      <c r="C5" s="9">
        <v>3.7037037037037038E-3</v>
      </c>
      <c r="D5" s="9">
        <f>B5*E5</f>
        <v>7.5755208333333334E-3</v>
      </c>
      <c r="E5" s="10">
        <v>0.58179999999999998</v>
      </c>
      <c r="F5" s="9">
        <f t="shared" si="0"/>
        <v>9.2592592592592596E-4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Table14610121424223234363840444850524811131517192123252729313335394143[[#This Row],[Thresh]]</f>
        <v>1.1478061868686869E-3</v>
      </c>
      <c r="N5" s="9">
        <f>Table14610121424223234363840444850524811131517192123252729313335394143[[#This Row],[Thresh]]*2</f>
        <v>2.2956123737373738E-3</v>
      </c>
      <c r="O5" s="12"/>
      <c r="P5" s="9"/>
      <c r="Q5" s="12"/>
      <c r="R5" s="9"/>
      <c r="S5" s="12"/>
      <c r="T5" s="9"/>
      <c r="U5" s="9"/>
      <c r="V5" s="13" t="s">
        <v>24</v>
      </c>
      <c r="W5" s="108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133</v>
      </c>
      <c r="P7" s="15"/>
      <c r="Q7" s="15"/>
      <c r="R7" s="101"/>
      <c r="S7" s="15"/>
      <c r="T7" s="15"/>
      <c r="U7" s="15"/>
      <c r="V7" s="17"/>
      <c r="W7" s="108"/>
    </row>
    <row r="8" spans="1:23" ht="17.149999999999999" customHeight="1" x14ac:dyDescent="0.35">
      <c r="A8" s="8" t="s">
        <v>28</v>
      </c>
      <c r="B8" s="9">
        <v>1.1689814814814814E-2</v>
      </c>
      <c r="C8" s="9">
        <v>3.3564814814814811E-3</v>
      </c>
      <c r="D8" s="9">
        <f t="shared" ref="D8:D14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Table14610121424223234363840444850524811131517192123252729313335394143[[#This Row],[Thresh]]</f>
        <v>1.0304748877665545E-3</v>
      </c>
      <c r="N8" s="9">
        <f>Table14610121424223234363840444850524811131517192123252729313335394143[[#This Row],[Thresh]]*2</f>
        <v>2.0609497755331089E-3</v>
      </c>
      <c r="O8" s="12">
        <f>Table14610121424223234363840444850524811131517192123252729313335394143[[#This Row],[R]]/2</f>
        <v>4.1956018518518514E-4</v>
      </c>
      <c r="P8" s="9"/>
      <c r="Q8" s="12"/>
      <c r="R8" s="9"/>
      <c r="S8" s="12"/>
      <c r="T8" s="12"/>
      <c r="U8" s="9"/>
      <c r="V8" s="13" t="s">
        <v>134</v>
      </c>
      <c r="W8" s="108"/>
    </row>
    <row r="9" spans="1:23" ht="17.149999999999999" customHeight="1" x14ac:dyDescent="0.35">
      <c r="A9" s="8" t="s">
        <v>31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Table14610121424223234363840444850524811131517192123252729313335394143[[#This Row],[Thresh]]</f>
        <v>1.0304748877665545E-3</v>
      </c>
      <c r="N9" s="9">
        <f>Table14610121424223234363840444850524811131517192123252729313335394143[[#This Row],[Thresh]]*2</f>
        <v>2.0609497755331089E-3</v>
      </c>
      <c r="O9" s="12">
        <f>Table14610121424223234363840444850524811131517192123252729313335394143[[#This Row],[R]]/2</f>
        <v>4.1956018518518514E-4</v>
      </c>
      <c r="P9" s="9"/>
      <c r="Q9" s="12"/>
      <c r="R9" s="9"/>
      <c r="S9" s="12"/>
      <c r="T9" s="9"/>
      <c r="U9" s="9"/>
      <c r="V9" s="13" t="s">
        <v>134</v>
      </c>
      <c r="W9" s="108"/>
    </row>
    <row r="10" spans="1:23" ht="17.149999999999999" customHeight="1" x14ac:dyDescent="0.35">
      <c r="A10" s="8" t="s">
        <v>52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Table14610121424223234363840444850524811131517192123252729313335394143[[#This Row],[Thresh]]</f>
        <v>1.0406776094276093E-3</v>
      </c>
      <c r="N10" s="9">
        <f>Table14610121424223234363840444850524811131517192123252729313335394143[[#This Row],[Thresh]]*2</f>
        <v>2.0813552188552187E-3</v>
      </c>
      <c r="O10" s="12">
        <f>Table14610121424223234363840444850524811131517192123252729313335394143[[#This Row],[R]]/2</f>
        <v>4.3402777777777775E-4</v>
      </c>
      <c r="P10" s="9"/>
      <c r="Q10" s="12"/>
      <c r="R10" s="9"/>
      <c r="S10" s="12"/>
      <c r="T10" s="9"/>
      <c r="U10" s="9"/>
      <c r="V10" s="13" t="s">
        <v>134</v>
      </c>
      <c r="W10" s="104" t="s">
        <v>135</v>
      </c>
    </row>
    <row r="11" spans="1:23" ht="17.149999999999999" customHeight="1" x14ac:dyDescent="0.35">
      <c r="A11" s="8" t="s">
        <v>41</v>
      </c>
      <c r="B11" s="9">
        <v>1.3541666666666667E-2</v>
      </c>
      <c r="C11" s="9">
        <v>4.0509259259259257E-3</v>
      </c>
      <c r="D11" s="9">
        <f t="shared" si="7"/>
        <v>7.8785416666666674E-3</v>
      </c>
      <c r="E11" s="10">
        <v>0.58179999999999998</v>
      </c>
      <c r="F11" s="9">
        <f t="shared" si="0"/>
        <v>1.0127314814814814E-3</v>
      </c>
      <c r="G11" s="9">
        <f t="shared" si="1"/>
        <v>1.0504722222222224E-3</v>
      </c>
      <c r="H11" s="9">
        <f t="shared" si="2"/>
        <v>1.0833333333333333E-3</v>
      </c>
      <c r="I11" s="9">
        <f t="shared" si="3"/>
        <v>1.1295400238948627E-3</v>
      </c>
      <c r="J11" s="9">
        <f t="shared" si="4"/>
        <v>1.1418176328502417E-3</v>
      </c>
      <c r="K11" s="9">
        <f t="shared" si="5"/>
        <v>1.1937184343434346E-3</v>
      </c>
      <c r="L11" s="9">
        <f t="shared" si="6"/>
        <v>1.2505621693121695E-3</v>
      </c>
      <c r="M11" s="11">
        <f>Table14610121424223234363840444850524811131517192123252729313335394143[[#This Row],[Thresh]]</f>
        <v>1.1937184343434346E-3</v>
      </c>
      <c r="N11" s="9">
        <f>Table14610121424223234363840444850524811131517192123252729313335394143[[#This Row],[Thresh]]*2</f>
        <v>2.3874368686868691E-3</v>
      </c>
      <c r="O11" s="12">
        <f>Table14610121424223234363840444850524811131517192123252729313335394143[[#This Row],[R]]/2</f>
        <v>5.0636574074074071E-4</v>
      </c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42</v>
      </c>
      <c r="B12" s="9">
        <v>1.4236111111111111E-2</v>
      </c>
      <c r="C12" s="9">
        <v>4.0509259259259257E-3</v>
      </c>
      <c r="D12" s="9">
        <f t="shared" si="7"/>
        <v>8.2825694444444448E-3</v>
      </c>
      <c r="E12" s="10">
        <v>0.58179999999999998</v>
      </c>
      <c r="F12" s="9">
        <f t="shared" si="0"/>
        <v>1.0127314814814814E-3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Table14610121424223234363840444850524811131517192123252729313335394143[[#This Row],[Thresh]]</f>
        <v>1.2549347643097644E-3</v>
      </c>
      <c r="N12" s="9">
        <f>Table14610121424223234363840444850524811131517192123252729313335394143[[#This Row],[Thresh]]*2</f>
        <v>2.5098695286195289E-3</v>
      </c>
      <c r="O12" s="12">
        <f>Table14610121424223234363840444850524811131517192123252729313335394143[[#This Row],[R]]/2</f>
        <v>5.0636574074074071E-4</v>
      </c>
      <c r="P12" s="9"/>
      <c r="Q12" s="12"/>
      <c r="R12" s="9"/>
      <c r="S12" s="12"/>
      <c r="T12" s="9"/>
      <c r="U12" s="9"/>
      <c r="V12" s="13" t="s">
        <v>30</v>
      </c>
      <c r="W12" s="104"/>
    </row>
    <row r="13" spans="1:23" ht="17.149999999999999" customHeight="1" x14ac:dyDescent="0.35">
      <c r="A13" s="8" t="s">
        <v>43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Table14610121424223234363840444850524811131517192123252729313335394143[[#This Row],[Thresh]]</f>
        <v>1.2549347643097644E-3</v>
      </c>
      <c r="N13" s="9">
        <f>Table14610121424223234363840444850524811131517192123252729313335394143[[#This Row],[Thresh]]*2</f>
        <v>2.5098695286195289E-3</v>
      </c>
      <c r="O13" s="12">
        <f>Table14610121424223234363840444850524811131517192123252729313335394143[[#This Row],[R]]/2</f>
        <v>5.0636574074074071E-4</v>
      </c>
      <c r="P13" s="9"/>
      <c r="Q13" s="12"/>
      <c r="R13" s="9"/>
      <c r="S13" s="12"/>
      <c r="T13" s="9"/>
      <c r="U13" s="9"/>
      <c r="V13" s="13" t="s">
        <v>30</v>
      </c>
      <c r="W13" s="104"/>
    </row>
    <row r="14" spans="1:23" ht="17.149999999999999" customHeight="1" x14ac:dyDescent="0.35">
      <c r="A14" s="8" t="s">
        <v>44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Table14610121424223234363840444850524811131517192123252729313335394143[[#This Row],[Thresh]]</f>
        <v>1.2549347643097644E-3</v>
      </c>
      <c r="N14" s="9">
        <f>Table14610121424223234363840444850524811131517192123252729313335394143[[#This Row],[Thresh]]*2</f>
        <v>2.5098695286195289E-3</v>
      </c>
      <c r="O14" s="12">
        <f>Table14610121424223234363840444850524811131517192123252729313335394143[[#This Row],[R]]/2</f>
        <v>5.2083333333333333E-4</v>
      </c>
      <c r="P14" s="9"/>
      <c r="Q14" s="12"/>
      <c r="R14" s="9"/>
      <c r="S14" s="12"/>
      <c r="T14" s="9"/>
      <c r="U14" s="9"/>
      <c r="V14" s="13" t="s">
        <v>30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 t="s">
        <v>136</v>
      </c>
      <c r="N16" s="15" t="s">
        <v>137</v>
      </c>
      <c r="O16" s="15" t="s">
        <v>138</v>
      </c>
      <c r="P16" s="15" t="s">
        <v>139</v>
      </c>
      <c r="Q16" s="15" t="s">
        <v>140</v>
      </c>
      <c r="R16" s="15"/>
      <c r="S16" s="15"/>
      <c r="T16" s="15"/>
      <c r="U16" s="15"/>
      <c r="V16" s="17"/>
      <c r="W16" s="104"/>
    </row>
    <row r="17" spans="1:23" ht="17.149999999999999" customHeight="1" x14ac:dyDescent="0.35">
      <c r="A17" s="8" t="s">
        <v>32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>
        <f>Table14610121424223234363840444850524811131517192123252729313335394143[[#This Row],[CV]]</f>
        <v>1.0442263821792807E-3</v>
      </c>
      <c r="N17" s="9">
        <f>Table14610121424223234363840444850524811131517192123252729313335394143[[#This Row],[CV]]*1.5</f>
        <v>1.566339573268921E-3</v>
      </c>
      <c r="O17" s="12">
        <f>Table14610121424223234363840444850524811131517192123252729313335394143[[#This Row],[Thresh]]</f>
        <v>1.0916912177328843E-3</v>
      </c>
      <c r="P17" s="12">
        <f>Table14610121424223234363840444850524811131517192123252729313335394143[[#This Row],[VO2]]</f>
        <v>9.6068827160493821E-4</v>
      </c>
      <c r="Q17" s="9">
        <f>Table14610121424223234363840444850524811131517192123252729313335394143[[#This Row],[Thresh]]+Table14610121424223234363840444850524811131517192123252729313335394143[[#This Row],[VO2]]</f>
        <v>2.0523794893378224E-3</v>
      </c>
      <c r="R17" s="9"/>
      <c r="S17" s="12"/>
      <c r="T17" s="12"/>
      <c r="U17" s="9"/>
      <c r="V17" s="13" t="s">
        <v>34</v>
      </c>
      <c r="W17" s="104"/>
    </row>
    <row r="18" spans="1:23" ht="17.149999999999999" customHeight="1" x14ac:dyDescent="0.35">
      <c r="A18" s="8" t="s">
        <v>37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>
        <f>Table14610121424223234363840444850524811131517192123252729313335394143[[#This Row],[CV]]</f>
        <v>1.0442263821792807E-3</v>
      </c>
      <c r="N18" s="9">
        <f>Table14610121424223234363840444850524811131517192123252729313335394143[[#This Row],[CV]]*1.5</f>
        <v>1.566339573268921E-3</v>
      </c>
      <c r="O18" s="12">
        <f>Table14610121424223234363840444850524811131517192123252729313335394143[[#This Row],[Thresh]]</f>
        <v>1.0916912177328843E-3</v>
      </c>
      <c r="P18" s="12">
        <f>Table14610121424223234363840444850524811131517192123252729313335394143[[#This Row],[VO2]]</f>
        <v>9.6068827160493821E-4</v>
      </c>
      <c r="Q18" s="9">
        <f>Table14610121424223234363840444850524811131517192123252729313335394143[[#This Row],[Thresh]]+Table14610121424223234363840444850524811131517192123252729313335394143[[#This Row],[VO2]]</f>
        <v>2.0523794893378224E-3</v>
      </c>
      <c r="R18" s="12"/>
      <c r="S18" s="12"/>
      <c r="T18" s="12"/>
      <c r="U18" s="9"/>
      <c r="V18" s="13" t="s">
        <v>34</v>
      </c>
      <c r="W18" s="104"/>
    </row>
    <row r="19" spans="1:23" ht="17.149999999999999" customHeight="1" x14ac:dyDescent="0.35">
      <c r="A19" s="8" t="s">
        <v>38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>
        <f>Table14610121424223234363840444850524811131517192123252729313335394143[[#This Row],[CV]]</f>
        <v>1.0442263821792807E-3</v>
      </c>
      <c r="N19" s="9">
        <f>Table14610121424223234363840444850524811131517192123252729313335394143[[#This Row],[CV]]*1.5</f>
        <v>1.566339573268921E-3</v>
      </c>
      <c r="O19" s="12">
        <f>Table14610121424223234363840444850524811131517192123252729313335394143[[#This Row],[Thresh]]</f>
        <v>1.0916912177328843E-3</v>
      </c>
      <c r="P19" s="12">
        <f>Table14610121424223234363840444850524811131517192123252729313335394143[[#This Row],[VO2]]</f>
        <v>9.6068827160493821E-4</v>
      </c>
      <c r="Q19" s="9">
        <f>Table14610121424223234363840444850524811131517192123252729313335394143[[#This Row],[Thresh]]+Table14610121424223234363840444850524811131517192123252729313335394143[[#This Row],[VO2]]</f>
        <v>2.0523794893378224E-3</v>
      </c>
      <c r="R19" s="9"/>
      <c r="S19" s="12"/>
      <c r="T19" s="9"/>
      <c r="U19" s="9"/>
      <c r="V19" s="13" t="s">
        <v>34</v>
      </c>
      <c r="W19" s="104" t="s">
        <v>141</v>
      </c>
    </row>
    <row r="20" spans="1:23" ht="17.149999999999999" customHeight="1" x14ac:dyDescent="0.35">
      <c r="A20" s="8" t="s">
        <v>39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>
        <f>Table14610121424223234363840444850524811131517192123252729313335394143[[#This Row],[CV]]</f>
        <v>1.0979015700483092E-3</v>
      </c>
      <c r="N20" s="9">
        <f>Table14610121424223234363840444850524811131517192123252729313335394143[[#This Row],[CV]]*1.5</f>
        <v>1.6468523550724639E-3</v>
      </c>
      <c r="O20" s="12">
        <f>Table14610121424223234363840444850524811131517192123252729313335394143[[#This Row],[Thresh]]</f>
        <v>1.1478061868686869E-3</v>
      </c>
      <c r="P20" s="12">
        <f>Table14610121424223234363840444850524811131517192123252729313335394143[[#This Row],[VO2]]</f>
        <v>1.0100694444444445E-3</v>
      </c>
      <c r="Q20" s="9">
        <f>Table14610121424223234363840444850524811131517192123252729313335394143[[#This Row],[Thresh]]+Table14610121424223234363840444850524811131517192123252729313335394143[[#This Row],[VO2]]</f>
        <v>2.1578756313131312E-3</v>
      </c>
      <c r="R20" s="9"/>
      <c r="S20" s="12"/>
      <c r="T20" s="9"/>
      <c r="U20" s="9"/>
      <c r="V20" s="13" t="s">
        <v>34</v>
      </c>
      <c r="W20" s="104"/>
    </row>
    <row r="21" spans="1:23" ht="17.149999999999999" customHeight="1" x14ac:dyDescent="0.35">
      <c r="A21" s="8" t="s">
        <v>40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>
        <f>Table14610121424223234363840444850524811131517192123252729313335394143[[#This Row],[CV]]</f>
        <v>1.0979015700483092E-3</v>
      </c>
      <c r="N21" s="9">
        <f>Table14610121424223234363840444850524811131517192123252729313335394143[[#This Row],[CV]]*1.5</f>
        <v>1.6468523550724639E-3</v>
      </c>
      <c r="O21" s="12">
        <f>Table14610121424223234363840444850524811131517192123252729313335394143[[#This Row],[Thresh]]</f>
        <v>1.1478061868686869E-3</v>
      </c>
      <c r="P21" s="12">
        <f>Table14610121424223234363840444850524811131517192123252729313335394143[[#This Row],[VO2]]</f>
        <v>1.0100694444444445E-3</v>
      </c>
      <c r="Q21" s="9">
        <f>Table14610121424223234363840444850524811131517192123252729313335394143[[#This Row],[Thresh]]+Table14610121424223234363840444850524811131517192123252729313335394143[[#This Row],[VO2]]</f>
        <v>2.1578756313131312E-3</v>
      </c>
      <c r="R21" s="9"/>
      <c r="S21" s="12"/>
      <c r="T21" s="9"/>
      <c r="U21" s="9"/>
      <c r="V21" s="13" t="s">
        <v>34</v>
      </c>
      <c r="W21" s="104"/>
    </row>
    <row r="22" spans="1:23" ht="17.149999999999999" customHeight="1" x14ac:dyDescent="0.35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4"/>
    </row>
    <row r="23" spans="1:23" ht="17.149999999999999" customHeight="1" x14ac:dyDescent="0.35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 t="s">
        <v>12</v>
      </c>
      <c r="N23" s="15" t="s">
        <v>13</v>
      </c>
      <c r="O23" s="15" t="s">
        <v>142</v>
      </c>
      <c r="P23" s="15" t="s">
        <v>143</v>
      </c>
      <c r="Q23" s="15" t="s">
        <v>136</v>
      </c>
      <c r="R23" s="15" t="s">
        <v>144</v>
      </c>
      <c r="S23" s="15" t="s">
        <v>139</v>
      </c>
      <c r="T23" s="15"/>
      <c r="U23" s="15"/>
      <c r="V23" s="17"/>
      <c r="W23" s="104"/>
    </row>
    <row r="24" spans="1:23" ht="17.149999999999999" customHeight="1" x14ac:dyDescent="0.35">
      <c r="A24" s="8" t="s">
        <v>55</v>
      </c>
      <c r="B24" s="9">
        <v>1.1574074074074073E-2</v>
      </c>
      <c r="C24" s="9">
        <v>3.472222222222222E-3</v>
      </c>
      <c r="D24" s="9">
        <f t="shared" ref="D24:D31" si="22">B24*E24</f>
        <v>6.7337962962962959E-3</v>
      </c>
      <c r="E24" s="10">
        <v>0.58179999999999998</v>
      </c>
      <c r="F24" s="9">
        <f t="shared" si="15"/>
        <v>8.6805555555555551E-4</v>
      </c>
      <c r="G24" s="9">
        <f t="shared" si="16"/>
        <v>8.9783950617283942E-4</v>
      </c>
      <c r="H24" s="9">
        <f t="shared" si="17"/>
        <v>9.2592592592592585E-4</v>
      </c>
      <c r="I24" s="9">
        <f t="shared" si="18"/>
        <v>9.6541882384176272E-4</v>
      </c>
      <c r="J24" s="9">
        <f t="shared" si="19"/>
        <v>9.7591250670960798E-4</v>
      </c>
      <c r="K24" s="9">
        <f t="shared" si="20"/>
        <v>1.0202721661054994E-3</v>
      </c>
      <c r="L24" s="9">
        <f t="shared" si="21"/>
        <v>1.068856554967666E-3</v>
      </c>
      <c r="M24" s="11">
        <f>Table14610121424223234363840444850524811131517192123252729313335394143[[#This Row],[Thresh]]</f>
        <v>1.0202721661054994E-3</v>
      </c>
      <c r="N24" s="9">
        <f>Table14610121424223234363840444850524811131517192123252729313335394143[[#This Row],[Thresh]]*2</f>
        <v>2.0405443322109988E-3</v>
      </c>
      <c r="O24" s="12"/>
      <c r="P24" s="9"/>
      <c r="Q24" s="12">
        <f>Table14610121424223234363840444850524811131517192123252729313335394143[[#This Row],[CV]]</f>
        <v>9.7591250670960798E-4</v>
      </c>
      <c r="R24" s="9">
        <f>Table14610121424223234363840444850524811131517192123252729313335394143[[#This Row],[CV]]*2</f>
        <v>1.951825013419216E-3</v>
      </c>
      <c r="S24" s="12">
        <f>Table14610121424223234363840444850524811131517192123252729313335394143[[#This Row],[VO2]]</f>
        <v>8.9783950617283942E-4</v>
      </c>
      <c r="T24" s="12"/>
      <c r="U24" s="9"/>
      <c r="V24" s="13" t="s">
        <v>145</v>
      </c>
      <c r="W24" s="104"/>
    </row>
    <row r="25" spans="1:23" ht="17.149999999999999" customHeight="1" x14ac:dyDescent="0.35">
      <c r="A25" s="8" t="s">
        <v>47</v>
      </c>
      <c r="B25" s="9">
        <v>1.2268518518518519E-2</v>
      </c>
      <c r="C25" s="9">
        <v>3.7037037037037034E-3</v>
      </c>
      <c r="D25" s="9">
        <f t="shared" si="22"/>
        <v>7.1378240740740742E-3</v>
      </c>
      <c r="E25" s="10">
        <v>0.58179999999999998</v>
      </c>
      <c r="F25" s="9">
        <f t="shared" si="15"/>
        <v>9.2592592592592585E-4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>
        <f>Table14610121424223234363840444850524811131517192123252729313335394143[[#This Row],[Thresh]]</f>
        <v>1.0814884960718295E-3</v>
      </c>
      <c r="N25" s="9">
        <f>Table14610121424223234363840444850524811131517192123252729313335394143[[#This Row],[Thresh]]*2</f>
        <v>2.1629769921436589E-3</v>
      </c>
      <c r="O25" s="12">
        <f>Table14610121424223234363840444850524811131517192123252729313335394143[[#This Row],[I]]</f>
        <v>9.8148148148148161E-4</v>
      </c>
      <c r="P25" s="9">
        <f>Table14610121424223234363840444850524811131517192123252729313335394143[[#This Row],[I]]*1.5</f>
        <v>1.4722222222222224E-3</v>
      </c>
      <c r="Q25" s="12"/>
      <c r="R25" s="12"/>
      <c r="S25" s="12"/>
      <c r="T25" s="12"/>
      <c r="U25" s="9"/>
      <c r="V25" s="13" t="s">
        <v>48</v>
      </c>
      <c r="W25" s="104"/>
    </row>
    <row r="26" spans="1:23" ht="17.149999999999999" customHeight="1" x14ac:dyDescent="0.35">
      <c r="A26" s="8" t="s">
        <v>49</v>
      </c>
      <c r="B26" s="9">
        <v>1.238425925925926E-2</v>
      </c>
      <c r="C26" s="9">
        <v>3.7037037037037034E-3</v>
      </c>
      <c r="D26" s="9">
        <f t="shared" si="22"/>
        <v>7.2051620370370368E-3</v>
      </c>
      <c r="E26" s="10">
        <v>0.58179999999999998</v>
      </c>
      <c r="F26" s="9">
        <f t="shared" si="15"/>
        <v>9.2592592592592585E-4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>
        <f>Table14610121424223234363840444850524811131517192123252729313335394143[[#This Row],[Thresh]]</f>
        <v>1.0916912177328843E-3</v>
      </c>
      <c r="N26" s="9">
        <f>Table14610121424223234363840444850524811131517192123252729313335394143[[#This Row],[Thresh]]*2</f>
        <v>2.1833824354657687E-3</v>
      </c>
      <c r="O26" s="12">
        <f>Table14610121424223234363840444850524811131517192123252729313335394143[[#This Row],[I]]</f>
        <v>9.9074074074074082E-4</v>
      </c>
      <c r="P26" s="9">
        <f>Table14610121424223234363840444850524811131517192123252729313335394143[[#This Row],[I]]*1.5</f>
        <v>1.4861111111111112E-3</v>
      </c>
      <c r="Q26" s="12"/>
      <c r="R26" s="12"/>
      <c r="S26" s="12"/>
      <c r="T26" s="12"/>
      <c r="U26" s="9"/>
      <c r="V26" s="13" t="s">
        <v>48</v>
      </c>
      <c r="W26" s="104"/>
    </row>
    <row r="27" spans="1:23" ht="17.149999999999999" customHeight="1" x14ac:dyDescent="0.35">
      <c r="A27" s="8" t="s">
        <v>33</v>
      </c>
      <c r="B27" s="9">
        <v>1.238425925925926E-2</v>
      </c>
      <c r="C27" s="9">
        <v>3.645833333333333E-3</v>
      </c>
      <c r="D27" s="9">
        <f t="shared" si="22"/>
        <v>7.2051620370370368E-3</v>
      </c>
      <c r="E27" s="10">
        <v>0.58179999999999998</v>
      </c>
      <c r="F27" s="9">
        <f t="shared" si="15"/>
        <v>9.1145833333333324E-4</v>
      </c>
      <c r="G27" s="9">
        <f t="shared" si="16"/>
        <v>9.6068827160493821E-4</v>
      </c>
      <c r="H27" s="9">
        <f t="shared" si="17"/>
        <v>9.9074074074074082E-4</v>
      </c>
      <c r="I27" s="9">
        <f t="shared" si="18"/>
        <v>1.0329981415106862E-3</v>
      </c>
      <c r="J27" s="9">
        <f t="shared" si="19"/>
        <v>1.0442263821792807E-3</v>
      </c>
      <c r="K27" s="9">
        <f t="shared" si="20"/>
        <v>1.0916912177328843E-3</v>
      </c>
      <c r="L27" s="9">
        <f t="shared" si="21"/>
        <v>1.1436765138154027E-3</v>
      </c>
      <c r="M27" s="11">
        <f>Table14610121424223234363840444850524811131517192123252729313335394143[[#This Row],[Thresh]]</f>
        <v>1.0916912177328843E-3</v>
      </c>
      <c r="N27" s="9">
        <f>Table14610121424223234363840444850524811131517192123252729313335394143[[#This Row],[Thresh]]*2</f>
        <v>2.1833824354657687E-3</v>
      </c>
      <c r="O27" s="12">
        <f>Table14610121424223234363840444850524811131517192123252729313335394143[[#This Row],[I]]</f>
        <v>9.9074074074074082E-4</v>
      </c>
      <c r="P27" s="9">
        <f>Table14610121424223234363840444850524811131517192123252729313335394143[[#This Row],[I]]*1.5</f>
        <v>1.4861111111111112E-3</v>
      </c>
      <c r="Q27" s="12"/>
      <c r="R27" s="12"/>
      <c r="S27" s="12"/>
      <c r="T27" s="12"/>
      <c r="U27" s="9"/>
      <c r="V27" s="13" t="s">
        <v>48</v>
      </c>
      <c r="W27" s="104"/>
    </row>
    <row r="28" spans="1:23" ht="17.149999999999999" customHeight="1" x14ac:dyDescent="0.35">
      <c r="A28" s="8" t="s">
        <v>50</v>
      </c>
      <c r="B28" s="9">
        <v>1.2499999999999999E-2</v>
      </c>
      <c r="C28" s="9">
        <v>3.9351851851851857E-3</v>
      </c>
      <c r="D28" s="9">
        <f t="shared" si="22"/>
        <v>7.2724999999999995E-3</v>
      </c>
      <c r="E28" s="10">
        <v>0.58179999999999998</v>
      </c>
      <c r="F28" s="9">
        <f t="shared" si="15"/>
        <v>9.8379629629629642E-4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>
        <f>Table14610121424223234363840444850524811131517192123252729313335394143[[#This Row],[Thresh]]</f>
        <v>1.1018939393939394E-3</v>
      </c>
      <c r="N28" s="9">
        <f>Table14610121424223234363840444850524811131517192123252729313335394143[[#This Row],[Thresh]]*2</f>
        <v>2.2037878787878789E-3</v>
      </c>
      <c r="O28" s="12">
        <f>Table14610121424223234363840444850524811131517192123252729313335394143[[#This Row],[I]]</f>
        <v>1E-3</v>
      </c>
      <c r="P28" s="9">
        <f>Table14610121424223234363840444850524811131517192123252729313335394143[[#This Row],[I]]*1.5</f>
        <v>1.5E-3</v>
      </c>
      <c r="Q28" s="12"/>
      <c r="R28" s="9"/>
      <c r="S28" s="12"/>
      <c r="T28" s="9"/>
      <c r="U28" s="9"/>
      <c r="V28" s="13" t="s">
        <v>48</v>
      </c>
      <c r="W28" s="105" t="s">
        <v>146</v>
      </c>
    </row>
    <row r="29" spans="1:23" ht="17.149999999999999" customHeight="1" x14ac:dyDescent="0.35">
      <c r="A29" s="8" t="s">
        <v>51</v>
      </c>
      <c r="B29" s="9">
        <v>1.2499999999999999E-2</v>
      </c>
      <c r="C29" s="9">
        <v>3.7037037037037034E-3</v>
      </c>
      <c r="D29" s="9">
        <f t="shared" si="22"/>
        <v>7.2724999999999995E-3</v>
      </c>
      <c r="E29" s="10">
        <v>0.58179999999999998</v>
      </c>
      <c r="F29" s="9">
        <f t="shared" si="15"/>
        <v>9.2592592592592585E-4</v>
      </c>
      <c r="G29" s="9">
        <f t="shared" si="16"/>
        <v>9.6966666666666664E-4</v>
      </c>
      <c r="H29" s="9">
        <f t="shared" si="17"/>
        <v>1E-3</v>
      </c>
      <c r="I29" s="9">
        <f t="shared" si="18"/>
        <v>1.0426523297491039E-3</v>
      </c>
      <c r="J29" s="9">
        <f t="shared" si="19"/>
        <v>1.0539855072463768E-3</v>
      </c>
      <c r="K29" s="9">
        <f t="shared" si="20"/>
        <v>1.1018939393939394E-3</v>
      </c>
      <c r="L29" s="9">
        <f t="shared" si="21"/>
        <v>1.1543650793650795E-3</v>
      </c>
      <c r="M29" s="11">
        <f>Table14610121424223234363840444850524811131517192123252729313335394143[[#This Row],[Thresh]]</f>
        <v>1.1018939393939394E-3</v>
      </c>
      <c r="N29" s="9">
        <f>Table14610121424223234363840444850524811131517192123252729313335394143[[#This Row],[Thresh]]*2</f>
        <v>2.2037878787878789E-3</v>
      </c>
      <c r="O29" s="12">
        <f>Table14610121424223234363840444850524811131517192123252729313335394143[[#This Row],[I]]</f>
        <v>1E-3</v>
      </c>
      <c r="P29" s="9">
        <f>Table14610121424223234363840444850524811131517192123252729313335394143[[#This Row],[I]]*1.5</f>
        <v>1.5E-3</v>
      </c>
      <c r="Q29" s="12"/>
      <c r="R29" s="12"/>
      <c r="S29" s="12"/>
      <c r="T29" s="12"/>
      <c r="U29" s="9"/>
      <c r="V29" s="13" t="s">
        <v>48</v>
      </c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thickBot="1" x14ac:dyDescent="0.4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127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128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147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6" si="23">B35*E35</f>
        <v>6.0604166666666662E-3</v>
      </c>
      <c r="E35" s="10">
        <v>0.58179999999999998</v>
      </c>
      <c r="F35" s="9">
        <f t="shared" ref="F35:F47" si="24">C35/4</f>
        <v>7.233796296296297E-4</v>
      </c>
      <c r="G35" s="9">
        <f t="shared" ref="G35:G47" si="25">D35/7.5</f>
        <v>8.0805555555555546E-4</v>
      </c>
      <c r="H35" s="9">
        <f t="shared" ref="H35:H47" si="26">B35/12.5</f>
        <v>8.3333333333333328E-4</v>
      </c>
      <c r="I35" s="9">
        <f t="shared" ref="I35:I47" si="27">G35/0.93</f>
        <v>8.6887694145758646E-4</v>
      </c>
      <c r="J35" s="9">
        <f t="shared" ref="J35:J47" si="28">G35/0.92</f>
        <v>8.7832125603864715E-4</v>
      </c>
      <c r="K35" s="9">
        <f t="shared" ref="K35:K47" si="29">G35/0.88</f>
        <v>9.1824494949494938E-4</v>
      </c>
      <c r="L35" s="9">
        <f t="shared" ref="L35:L47" si="30">G35/0.84</f>
        <v>9.6197089947089938E-4</v>
      </c>
      <c r="M35" s="11">
        <f>Table25711131525233335373941454951535912141618202224262830323436404244[[#This Row],[Thresh]]</f>
        <v>9.1824494949494938E-4</v>
      </c>
      <c r="N35" s="9">
        <f>Table25711131525233335373941454951535912141618202224262830323436404244[[#This Row],[Thresh]]*2</f>
        <v>1.8364898989898988E-3</v>
      </c>
      <c r="O35" s="24"/>
      <c r="P35" s="9"/>
      <c r="Q35" s="24"/>
      <c r="R35" s="9"/>
      <c r="S35" s="12"/>
      <c r="T35" s="9"/>
      <c r="U35" s="9"/>
      <c r="V35" s="23" t="s">
        <v>132</v>
      </c>
      <c r="W35" s="108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Table25711131525233335373941454951535912141618202224262830323436404244[[#This Row],[Thresh]]</f>
        <v>9.1824494949494938E-4</v>
      </c>
      <c r="N36" s="9">
        <f>Table25711131525233335373941454951535912141618202224262830323436404244[[#This Row],[Thresh]]*2</f>
        <v>1.8364898989898988E-3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Table25711131525233335373941454951535912141618202224262830323436404244[[#This Row],[Thresh]]</f>
        <v>9.1824494949494938E-4</v>
      </c>
      <c r="N37" s="9">
        <f>Table25711131525233335373941454951535912141618202224262830323436404244[[#This Row],[Thresh]]*2</f>
        <v>1.8364898989898988E-3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8"/>
    </row>
    <row r="38" spans="1:23" ht="17.149999999999999" customHeight="1" x14ac:dyDescent="0.35">
      <c r="A38" s="8" t="s">
        <v>81</v>
      </c>
      <c r="B38" s="9">
        <v>1.0763888888888891E-2</v>
      </c>
      <c r="C38" s="9">
        <v>3.0092592592592593E-3</v>
      </c>
      <c r="D38" s="9">
        <f t="shared" si="23"/>
        <v>6.2624305555555567E-3</v>
      </c>
      <c r="E38" s="10">
        <v>0.58179999999999998</v>
      </c>
      <c r="F38" s="9">
        <f t="shared" si="24"/>
        <v>7.5231481481481482E-4</v>
      </c>
      <c r="G38" s="9">
        <f t="shared" si="25"/>
        <v>8.3499074074074085E-4</v>
      </c>
      <c r="H38" s="9">
        <f t="shared" si="26"/>
        <v>8.6111111111111121E-4</v>
      </c>
      <c r="I38" s="9">
        <f t="shared" si="27"/>
        <v>8.9783950617283953E-4</v>
      </c>
      <c r="J38" s="9">
        <f t="shared" si="28"/>
        <v>9.0759863123993567E-4</v>
      </c>
      <c r="K38" s="9">
        <f t="shared" si="29"/>
        <v>9.4885311447811464E-4</v>
      </c>
      <c r="L38" s="9">
        <f t="shared" si="30"/>
        <v>9.9403659611992969E-4</v>
      </c>
      <c r="M38" s="11">
        <f>Table25711131525233335373941454951535912141618202224262830323436404244[[#This Row],[Thresh]]</f>
        <v>9.4885311447811464E-4</v>
      </c>
      <c r="N38" s="9">
        <f>Table25711131525233335373941454951535912141618202224262830323436404244[[#This Row],[Thresh]]*2</f>
        <v>1.8977062289562293E-3</v>
      </c>
      <c r="O38" s="24"/>
      <c r="P38" s="9"/>
      <c r="Q38" s="24"/>
      <c r="R38" s="9"/>
      <c r="S38" s="12"/>
      <c r="T38" s="25"/>
      <c r="V38" s="23" t="s">
        <v>24</v>
      </c>
      <c r="W38" s="108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Table25711131525233335373941454951535912141618202224262830323436404244[[#This Row],[Thresh]]</f>
        <v>9.5905583613916951E-4</v>
      </c>
      <c r="N39" s="9">
        <f>Table25711131525233335373941454951535912141618202224262830323436404244[[#This Row],[Thresh]]*2</f>
        <v>1.918111672278339E-3</v>
      </c>
      <c r="O39" s="24"/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63</v>
      </c>
      <c r="B40" s="9">
        <v>1.087962962962963E-2</v>
      </c>
      <c r="C40" s="9">
        <v>3.0092592592592588E-3</v>
      </c>
      <c r="D40" s="9">
        <f t="shared" si="23"/>
        <v>6.3297685185185184E-3</v>
      </c>
      <c r="E40" s="10">
        <v>0.58179999999999998</v>
      </c>
      <c r="F40" s="9">
        <f t="shared" si="24"/>
        <v>7.5231481481481471E-4</v>
      </c>
      <c r="G40" s="9">
        <f t="shared" si="25"/>
        <v>8.4396913580246917E-4</v>
      </c>
      <c r="H40" s="9">
        <f t="shared" si="26"/>
        <v>8.7037037037037042E-4</v>
      </c>
      <c r="I40" s="9">
        <f t="shared" si="27"/>
        <v>9.0749369441125711E-4</v>
      </c>
      <c r="J40" s="9">
        <f t="shared" si="28"/>
        <v>9.173577563070317E-4</v>
      </c>
      <c r="K40" s="9">
        <f t="shared" si="29"/>
        <v>9.5905583613916951E-4</v>
      </c>
      <c r="L40" s="9">
        <f t="shared" si="30"/>
        <v>1.0047251616696062E-3</v>
      </c>
      <c r="M40" s="11">
        <f>Table25711131525233335373941454951535912141618202224262830323436404244[[#This Row],[Thresh]]</f>
        <v>9.5905583613916951E-4</v>
      </c>
      <c r="N40" s="9">
        <f>Table25711131525233335373941454951535912141618202224262830323436404244[[#This Row],[Thresh]]*2</f>
        <v>1.918111672278339E-3</v>
      </c>
      <c r="O40" s="24"/>
      <c r="P40" s="9"/>
      <c r="Q40" s="24"/>
      <c r="R40" s="9"/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75</v>
      </c>
      <c r="B41" s="9">
        <v>1.087962962962963E-2</v>
      </c>
      <c r="C41" s="9">
        <v>2.9513888888888888E-3</v>
      </c>
      <c r="D41" s="9">
        <f t="shared" si="23"/>
        <v>6.3297685185185184E-3</v>
      </c>
      <c r="E41" s="10">
        <v>0.58179999999999998</v>
      </c>
      <c r="F41" s="9">
        <f t="shared" si="24"/>
        <v>7.378472222222222E-4</v>
      </c>
      <c r="G41" s="9">
        <f t="shared" si="25"/>
        <v>8.4396913580246917E-4</v>
      </c>
      <c r="H41" s="9">
        <f t="shared" si="26"/>
        <v>8.7037037037037042E-4</v>
      </c>
      <c r="I41" s="9">
        <f t="shared" si="27"/>
        <v>9.0749369441125711E-4</v>
      </c>
      <c r="J41" s="9">
        <f t="shared" si="28"/>
        <v>9.173577563070317E-4</v>
      </c>
      <c r="K41" s="9">
        <f t="shared" si="29"/>
        <v>9.5905583613916951E-4</v>
      </c>
      <c r="L41" s="9">
        <f t="shared" si="30"/>
        <v>1.0047251616696062E-3</v>
      </c>
      <c r="M41" s="11">
        <f>Table25711131525233335373941454951535912141618202224262830323436404244[[#This Row],[Thresh]]</f>
        <v>9.5905583613916951E-4</v>
      </c>
      <c r="N41" s="9">
        <f>Table25711131525233335373941454951535912141618202224262830323436404244[[#This Row],[Thresh]]*2</f>
        <v>1.918111672278339E-3</v>
      </c>
      <c r="O41" s="24"/>
      <c r="P41" s="9"/>
      <c r="Q41" s="24"/>
      <c r="R41" s="9"/>
      <c r="S41" s="12"/>
      <c r="T41" s="25"/>
      <c r="U41" s="9"/>
      <c r="V41" s="23" t="s">
        <v>24</v>
      </c>
      <c r="W41" s="108"/>
    </row>
    <row r="42" spans="1:23" ht="17.149999999999999" customHeight="1" x14ac:dyDescent="0.35">
      <c r="A42" s="8" t="s">
        <v>66</v>
      </c>
      <c r="B42" s="9">
        <v>1.1226851851851854E-2</v>
      </c>
      <c r="C42" s="9">
        <v>3.1249999999999997E-3</v>
      </c>
      <c r="D42" s="9">
        <f t="shared" si="23"/>
        <v>6.5317824074074089E-3</v>
      </c>
      <c r="E42" s="10">
        <v>0.58179999999999998</v>
      </c>
      <c r="F42" s="9">
        <f t="shared" si="24"/>
        <v>7.8124999999999993E-4</v>
      </c>
      <c r="G42" s="9">
        <f t="shared" si="25"/>
        <v>8.7090432098765457E-4</v>
      </c>
      <c r="H42" s="9">
        <f t="shared" si="26"/>
        <v>8.9814814814814835E-4</v>
      </c>
      <c r="I42" s="9">
        <f t="shared" si="27"/>
        <v>9.3645625912651019E-4</v>
      </c>
      <c r="J42" s="9">
        <f t="shared" si="28"/>
        <v>9.4663513150832011E-4</v>
      </c>
      <c r="K42" s="9">
        <f t="shared" si="29"/>
        <v>9.8966400112233477E-4</v>
      </c>
      <c r="L42" s="9">
        <f t="shared" si="30"/>
        <v>1.0367908583186363E-3</v>
      </c>
      <c r="M42" s="11">
        <f>Table25711131525233335373941454951535912141618202224262830323436404244[[#This Row],[Thresh]]</f>
        <v>9.8966400112233477E-4</v>
      </c>
      <c r="N42" s="9">
        <f>Table25711131525233335373941454951535912141618202224262830323436404244[[#This Row],[Thresh]]*2</f>
        <v>1.9793280022446695E-3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8"/>
    </row>
    <row r="43" spans="1:23" ht="17.149999999999999" customHeight="1" x14ac:dyDescent="0.35">
      <c r="A43" s="8" t="s">
        <v>67</v>
      </c>
      <c r="B43" s="9">
        <v>1.1226851851851854E-2</v>
      </c>
      <c r="C43" s="9">
        <v>3.1249999999999997E-3</v>
      </c>
      <c r="D43" s="9">
        <f t="shared" si="23"/>
        <v>6.5317824074074089E-3</v>
      </c>
      <c r="E43" s="10">
        <v>0.58179999999999998</v>
      </c>
      <c r="F43" s="9">
        <f t="shared" si="24"/>
        <v>7.8124999999999993E-4</v>
      </c>
      <c r="G43" s="9">
        <f t="shared" si="25"/>
        <v>8.7090432098765457E-4</v>
      </c>
      <c r="H43" s="9">
        <f t="shared" si="26"/>
        <v>8.9814814814814835E-4</v>
      </c>
      <c r="I43" s="9">
        <f t="shared" si="27"/>
        <v>9.3645625912651019E-4</v>
      </c>
      <c r="J43" s="9">
        <f t="shared" si="28"/>
        <v>9.4663513150832011E-4</v>
      </c>
      <c r="K43" s="9">
        <f t="shared" si="29"/>
        <v>9.8966400112233477E-4</v>
      </c>
      <c r="L43" s="9">
        <f t="shared" si="30"/>
        <v>1.0367908583186363E-3</v>
      </c>
      <c r="M43" s="11">
        <f>Table25711131525233335373941454951535912141618202224262830323436404244[[#This Row],[Thresh]]</f>
        <v>9.8966400112233477E-4</v>
      </c>
      <c r="N43" s="9">
        <f>Table25711131525233335373941454951535912141618202224262830323436404244[[#This Row],[Thresh]]*2</f>
        <v>1.9793280022446695E-3</v>
      </c>
      <c r="O43" s="24"/>
      <c r="P43" s="9"/>
      <c r="Q43" s="24"/>
      <c r="R43" s="9"/>
      <c r="S43" s="12"/>
      <c r="T43" s="96"/>
      <c r="U43" s="9"/>
      <c r="V43" s="23" t="s">
        <v>24</v>
      </c>
      <c r="W43" s="104" t="s">
        <v>148</v>
      </c>
    </row>
    <row r="44" spans="1:23" ht="17.149999999999999" customHeight="1" x14ac:dyDescent="0.35">
      <c r="A44" s="8" t="s">
        <v>91</v>
      </c>
      <c r="B44" s="9">
        <v>1.1458333333333334E-2</v>
      </c>
      <c r="C44" s="9">
        <v>3.2407407407407406E-3</v>
      </c>
      <c r="D44" s="9">
        <f t="shared" si="23"/>
        <v>6.6664583333333333E-3</v>
      </c>
      <c r="E44" s="10">
        <v>0.58179999999999998</v>
      </c>
      <c r="F44" s="9">
        <f t="shared" si="24"/>
        <v>8.1018518518518516E-4</v>
      </c>
      <c r="G44" s="9">
        <f t="shared" si="25"/>
        <v>8.888611111111111E-4</v>
      </c>
      <c r="H44" s="9">
        <f t="shared" si="26"/>
        <v>9.1666666666666676E-4</v>
      </c>
      <c r="I44" s="9">
        <f t="shared" si="27"/>
        <v>9.5576463560334524E-4</v>
      </c>
      <c r="J44" s="9">
        <f t="shared" si="28"/>
        <v>9.6615338164251206E-4</v>
      </c>
      <c r="K44" s="9">
        <f t="shared" si="29"/>
        <v>1.0100694444444445E-3</v>
      </c>
      <c r="L44" s="9">
        <f t="shared" si="30"/>
        <v>1.0581679894179894E-3</v>
      </c>
      <c r="M44" s="11">
        <f>Table25711131525233335373941454951535912141618202224262830323436404244[[#This Row],[Thresh]]</f>
        <v>1.0100694444444445E-3</v>
      </c>
      <c r="N44" s="9">
        <f>Table25711131525233335373941454951535912141618202224262830323436404244[[#This Row],[Thresh]]*2</f>
        <v>2.020138888888889E-3</v>
      </c>
      <c r="O44" s="24"/>
      <c r="P44" s="9"/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112</v>
      </c>
      <c r="B45" s="9">
        <v>1.1458333333333334E-2</v>
      </c>
      <c r="C45" s="9">
        <v>3.0671296296296297E-3</v>
      </c>
      <c r="D45" s="9">
        <f t="shared" si="23"/>
        <v>6.6664583333333333E-3</v>
      </c>
      <c r="E45" s="10">
        <v>0.58179999999999998</v>
      </c>
      <c r="F45" s="9">
        <f t="shared" si="24"/>
        <v>7.6678240740740743E-4</v>
      </c>
      <c r="G45" s="9">
        <f t="shared" si="25"/>
        <v>8.888611111111111E-4</v>
      </c>
      <c r="H45" s="9">
        <f t="shared" si="26"/>
        <v>9.1666666666666676E-4</v>
      </c>
      <c r="I45" s="9">
        <f t="shared" si="27"/>
        <v>9.5576463560334524E-4</v>
      </c>
      <c r="J45" s="9">
        <f t="shared" si="28"/>
        <v>9.6615338164251206E-4</v>
      </c>
      <c r="K45" s="9">
        <f t="shared" si="29"/>
        <v>1.0100694444444445E-3</v>
      </c>
      <c r="L45" s="9">
        <f t="shared" si="30"/>
        <v>1.0581679894179894E-3</v>
      </c>
      <c r="M45" s="11">
        <f>Table25711131525233335373941454951535912141618202224262830323436404244[[#This Row],[Thresh]]</f>
        <v>1.0100694444444445E-3</v>
      </c>
      <c r="N45" s="9">
        <f>Table25711131525233335373941454951535912141618202224262830323436404244[[#This Row],[Thresh]]*2</f>
        <v>2.020138888888889E-3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4"/>
    </row>
    <row r="46" spans="1:23" ht="17.149999999999999" customHeight="1" x14ac:dyDescent="0.35">
      <c r="A46" s="8" t="s">
        <v>113</v>
      </c>
      <c r="B46" s="9">
        <v>1.1805555555555555E-2</v>
      </c>
      <c r="C46" s="9">
        <v>3.414351851851852E-3</v>
      </c>
      <c r="D46" s="9">
        <f t="shared" si="23"/>
        <v>6.868472222222222E-3</v>
      </c>
      <c r="E46" s="10">
        <v>0.58179999999999998</v>
      </c>
      <c r="F46" s="9">
        <f t="shared" si="24"/>
        <v>8.53587962962963E-4</v>
      </c>
      <c r="G46" s="9">
        <f t="shared" si="25"/>
        <v>9.1579629629629628E-4</v>
      </c>
      <c r="H46" s="9">
        <f t="shared" si="26"/>
        <v>9.4444444444444437E-4</v>
      </c>
      <c r="I46" s="9">
        <f t="shared" si="27"/>
        <v>9.8472720031859799E-4</v>
      </c>
      <c r="J46" s="9">
        <f t="shared" si="28"/>
        <v>9.9543075684380036E-4</v>
      </c>
      <c r="K46" s="9">
        <f t="shared" si="29"/>
        <v>1.0406776094276093E-3</v>
      </c>
      <c r="L46" s="9">
        <f t="shared" si="30"/>
        <v>1.0902336860670195E-3</v>
      </c>
      <c r="M46" s="11">
        <f>Table25711131525233335373941454951535912141618202224262830323436404244[[#This Row],[Thresh]]</f>
        <v>1.0406776094276093E-3</v>
      </c>
      <c r="N46" s="9">
        <f>Table25711131525233335373941454951535912141618202224262830323436404244[[#This Row],[Thresh]]*2</f>
        <v>2.0813552188552187E-3</v>
      </c>
      <c r="O46" s="24"/>
      <c r="P46" s="9"/>
      <c r="Q46" s="12"/>
      <c r="R46" s="9"/>
      <c r="S46" s="24"/>
      <c r="T46" s="24"/>
      <c r="V46" s="23" t="s">
        <v>24</v>
      </c>
      <c r="W46" s="104"/>
    </row>
    <row r="47" spans="1:23" ht="17.149999999999999" customHeight="1" x14ac:dyDescent="0.35">
      <c r="A47" s="8"/>
      <c r="B47" s="9"/>
      <c r="C47" s="9"/>
      <c r="D47" s="9"/>
      <c r="E47" s="10"/>
      <c r="F47" s="9">
        <f t="shared" si="24"/>
        <v>0</v>
      </c>
      <c r="G47" s="9">
        <f t="shared" si="25"/>
        <v>0</v>
      </c>
      <c r="H47" s="9">
        <f t="shared" si="26"/>
        <v>0</v>
      </c>
      <c r="I47" s="9">
        <f t="shared" si="27"/>
        <v>0</v>
      </c>
      <c r="J47" s="9">
        <f t="shared" si="28"/>
        <v>0</v>
      </c>
      <c r="K47" s="9">
        <f t="shared" si="29"/>
        <v>0</v>
      </c>
      <c r="L47" s="9">
        <f t="shared" si="30"/>
        <v>0</v>
      </c>
      <c r="M47" s="11"/>
      <c r="P47" s="25"/>
      <c r="Q47" s="25"/>
      <c r="R47" s="25"/>
      <c r="S47" s="25"/>
      <c r="V47" s="23"/>
      <c r="W47" s="104"/>
    </row>
    <row r="48" spans="1:23" ht="17.149999999999999" customHeight="1" x14ac:dyDescent="0.35">
      <c r="A48" s="14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30" t="s">
        <v>12</v>
      </c>
      <c r="N48" s="15" t="s">
        <v>13</v>
      </c>
      <c r="O48" s="15" t="s">
        <v>133</v>
      </c>
      <c r="P48" s="15"/>
      <c r="Q48" s="15"/>
      <c r="R48" s="15"/>
      <c r="S48" s="15"/>
      <c r="T48" s="15"/>
      <c r="U48" s="15"/>
      <c r="V48" s="17"/>
      <c r="W48" s="104"/>
    </row>
    <row r="49" spans="1:23" ht="17.149999999999999" customHeight="1" x14ac:dyDescent="0.35">
      <c r="A49" s="8" t="s">
        <v>70</v>
      </c>
      <c r="B49" s="9">
        <v>9.780092592592592E-3</v>
      </c>
      <c r="C49" s="9">
        <v>2.8124999999999995E-3</v>
      </c>
      <c r="D49" s="9">
        <f t="shared" ref="D49:D62" si="31">B49*E49</f>
        <v>5.6900578703703696E-3</v>
      </c>
      <c r="E49" s="10">
        <v>0.58179999999999998</v>
      </c>
      <c r="F49" s="9">
        <f t="shared" ref="F49:F62" si="32">C49/4</f>
        <v>7.0312499999999987E-4</v>
      </c>
      <c r="G49" s="9">
        <f t="shared" ref="G49:G62" si="33">D49/7.5</f>
        <v>7.5867438271604926E-4</v>
      </c>
      <c r="H49" s="9">
        <f t="shared" ref="H49:H62" si="34">B49/12.5</f>
        <v>7.8240740740740734E-4</v>
      </c>
      <c r="I49" s="9">
        <f t="shared" ref="I49:I62" si="35">G49/0.93</f>
        <v>8.1577890614628948E-4</v>
      </c>
      <c r="J49" s="9">
        <f t="shared" ref="J49:J62" si="36">G49/0.92</f>
        <v>8.2464606816961877E-4</v>
      </c>
      <c r="K49" s="9">
        <f t="shared" ref="K49:K62" si="37">G49/0.88</f>
        <v>8.6212998035914683E-4</v>
      </c>
      <c r="L49" s="9">
        <f t="shared" ref="L49:L62" si="38">G49/0.84</f>
        <v>9.031837889476777E-4</v>
      </c>
      <c r="M49" s="11">
        <f>Table25711131525233335373941454951535912141618202224262830323436404244[[#This Row],[Thresh]]</f>
        <v>8.6212998035914683E-4</v>
      </c>
      <c r="N49" s="9">
        <f>Table25711131525233335373941454951535912141618202224262830323436404244[[#This Row],[Thresh]]*2</f>
        <v>1.7242599607182937E-3</v>
      </c>
      <c r="O49" s="24">
        <f>Table25711131525233335373941454951535912141618202224262830323436404244[[#This Row],[R]]/2</f>
        <v>3.5156249999999993E-4</v>
      </c>
      <c r="P49" s="9"/>
      <c r="Q49" s="24"/>
      <c r="R49" s="9"/>
      <c r="S49" s="12"/>
      <c r="T49" s="25"/>
      <c r="V49" s="23" t="s">
        <v>134</v>
      </c>
      <c r="W49" s="104"/>
    </row>
    <row r="50" spans="1:23" ht="17.149999999999999" customHeight="1" x14ac:dyDescent="0.35">
      <c r="A50" s="8" t="s">
        <v>71</v>
      </c>
      <c r="B50" s="9">
        <v>1.0011574074074074E-2</v>
      </c>
      <c r="C50" s="9">
        <v>2.8935185185185188E-3</v>
      </c>
      <c r="D50" s="9">
        <f t="shared" si="31"/>
        <v>5.8247337962962957E-3</v>
      </c>
      <c r="E50" s="10">
        <v>0.58179999999999998</v>
      </c>
      <c r="F50" s="9">
        <f t="shared" si="32"/>
        <v>7.233796296296297E-4</v>
      </c>
      <c r="G50" s="9">
        <f t="shared" si="33"/>
        <v>7.7663117283950612E-4</v>
      </c>
      <c r="H50" s="9">
        <f t="shared" si="34"/>
        <v>8.0092592592592585E-4</v>
      </c>
      <c r="I50" s="9">
        <f t="shared" si="35"/>
        <v>8.3508728262312486E-4</v>
      </c>
      <c r="J50" s="9">
        <f t="shared" si="36"/>
        <v>8.4416431830381094E-4</v>
      </c>
      <c r="K50" s="9">
        <f t="shared" si="37"/>
        <v>8.825354236812569E-4</v>
      </c>
      <c r="L50" s="9">
        <f t="shared" si="38"/>
        <v>9.2456092004703113E-4</v>
      </c>
      <c r="M50" s="11">
        <f>Table25711131525233335373941454951535912141618202224262830323436404244[[#This Row],[Thresh]]</f>
        <v>8.825354236812569E-4</v>
      </c>
      <c r="N50" s="9">
        <f>Table25711131525233335373941454951535912141618202224262830323436404244[[#This Row],[Thresh]]*2</f>
        <v>1.7650708473625138E-3</v>
      </c>
      <c r="O50" s="24">
        <f>Table25711131525233335373941454951535912141618202224262830323436404244[[#This Row],[R]]/2</f>
        <v>3.6168981481481485E-4</v>
      </c>
      <c r="P50" s="9"/>
      <c r="Q50" s="24"/>
      <c r="R50" s="9"/>
      <c r="S50" s="24"/>
      <c r="T50" s="24"/>
      <c r="U50" s="24"/>
      <c r="V50" s="23" t="s">
        <v>134</v>
      </c>
      <c r="W50" s="104"/>
    </row>
    <row r="51" spans="1:23" ht="17.149999999999999" customHeight="1" x14ac:dyDescent="0.35">
      <c r="A51" s="8" t="s">
        <v>73</v>
      </c>
      <c r="B51" s="9">
        <v>1.0011574074074074E-2</v>
      </c>
      <c r="C51" s="9">
        <v>2.8935185185185188E-3</v>
      </c>
      <c r="D51" s="9">
        <f t="shared" si="31"/>
        <v>5.8247337962962957E-3</v>
      </c>
      <c r="E51" s="10">
        <v>0.58179999999999998</v>
      </c>
      <c r="F51" s="9">
        <f t="shared" si="32"/>
        <v>7.233796296296297E-4</v>
      </c>
      <c r="G51" s="9">
        <f t="shared" si="33"/>
        <v>7.7663117283950612E-4</v>
      </c>
      <c r="H51" s="9">
        <f t="shared" si="34"/>
        <v>8.0092592592592585E-4</v>
      </c>
      <c r="I51" s="9">
        <f t="shared" si="35"/>
        <v>8.3508728262312486E-4</v>
      </c>
      <c r="J51" s="9">
        <f t="shared" si="36"/>
        <v>8.4416431830381094E-4</v>
      </c>
      <c r="K51" s="9">
        <f t="shared" si="37"/>
        <v>8.825354236812569E-4</v>
      </c>
      <c r="L51" s="9">
        <f t="shared" si="38"/>
        <v>9.2456092004703113E-4</v>
      </c>
      <c r="M51" s="11">
        <f>Table25711131525233335373941454951535912141618202224262830323436404244[[#This Row],[Thresh]]</f>
        <v>8.825354236812569E-4</v>
      </c>
      <c r="N51" s="9">
        <f>Table25711131525233335373941454951535912141618202224262830323436404244[[#This Row],[Thresh]]*2</f>
        <v>1.7650708473625138E-3</v>
      </c>
      <c r="O51" s="24">
        <f>Table25711131525233335373941454951535912141618202224262830323436404244[[#This Row],[R]]/2</f>
        <v>3.6168981481481485E-4</v>
      </c>
      <c r="P51" s="9"/>
      <c r="Q51" s="24"/>
      <c r="R51" s="9"/>
      <c r="S51" s="24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72</v>
      </c>
      <c r="B52" s="9">
        <v>1.0127314814814815E-2</v>
      </c>
      <c r="C52" s="9">
        <v>2.8935185185185188E-3</v>
      </c>
      <c r="D52" s="9">
        <f t="shared" si="31"/>
        <v>5.8920717592592592E-3</v>
      </c>
      <c r="E52" s="10">
        <v>0.58179999999999998</v>
      </c>
      <c r="F52" s="9">
        <f t="shared" si="32"/>
        <v>7.233796296296297E-4</v>
      </c>
      <c r="G52" s="9">
        <f t="shared" si="33"/>
        <v>7.8560956790123455E-4</v>
      </c>
      <c r="H52" s="9">
        <f t="shared" si="34"/>
        <v>8.1018518518518516E-4</v>
      </c>
      <c r="I52" s="9">
        <f t="shared" si="35"/>
        <v>8.4474147086154245E-4</v>
      </c>
      <c r="J52" s="9">
        <f t="shared" si="36"/>
        <v>8.5392344337090708E-4</v>
      </c>
      <c r="K52" s="9">
        <f t="shared" si="37"/>
        <v>8.9273814534231199E-4</v>
      </c>
      <c r="L52" s="9">
        <f t="shared" si="38"/>
        <v>9.3524948559670779E-4</v>
      </c>
      <c r="M52" s="11">
        <f>Table25711131525233335373941454951535912141618202224262830323436404244[[#This Row],[Thresh]]</f>
        <v>8.9273814534231199E-4</v>
      </c>
      <c r="N52" s="9">
        <f>Table25711131525233335373941454951535912141618202224262830323436404244[[#This Row],[Thresh]]*2</f>
        <v>1.785476290684624E-3</v>
      </c>
      <c r="O52" s="24">
        <f>Table25711131525233335373941454951535912141618202224262830323436404244[[#This Row],[R]]/2</f>
        <v>3.6168981481481485E-4</v>
      </c>
      <c r="P52" s="9"/>
      <c r="Q52" s="24"/>
      <c r="R52" s="9"/>
      <c r="S52" s="12"/>
      <c r="T52" s="25"/>
      <c r="V52" s="23" t="s">
        <v>134</v>
      </c>
      <c r="W52" s="104" t="s">
        <v>149</v>
      </c>
    </row>
    <row r="53" spans="1:23" ht="17.149999999999999" customHeight="1" x14ac:dyDescent="0.35">
      <c r="A53" s="8" t="s">
        <v>76</v>
      </c>
      <c r="B53" s="9">
        <v>1.0011574074074074E-2</v>
      </c>
      <c r="C53" s="9">
        <v>2.9513888888888888E-3</v>
      </c>
      <c r="D53" s="9">
        <f t="shared" si="31"/>
        <v>5.8247337962962957E-3</v>
      </c>
      <c r="E53" s="10">
        <v>0.58179999999999998</v>
      </c>
      <c r="F53" s="9">
        <f t="shared" si="32"/>
        <v>7.378472222222222E-4</v>
      </c>
      <c r="G53" s="9">
        <f t="shared" si="33"/>
        <v>7.7663117283950612E-4</v>
      </c>
      <c r="H53" s="9">
        <f t="shared" si="34"/>
        <v>8.0092592592592585E-4</v>
      </c>
      <c r="I53" s="9">
        <f t="shared" si="35"/>
        <v>8.3508728262312486E-4</v>
      </c>
      <c r="J53" s="9">
        <f t="shared" si="36"/>
        <v>8.4416431830381094E-4</v>
      </c>
      <c r="K53" s="9">
        <f t="shared" si="37"/>
        <v>8.825354236812569E-4</v>
      </c>
      <c r="L53" s="9">
        <f t="shared" si="38"/>
        <v>9.2456092004703113E-4</v>
      </c>
      <c r="M53" s="11">
        <f>Table25711131525233335373941454951535912141618202224262830323436404244[[#This Row],[Thresh]]</f>
        <v>8.825354236812569E-4</v>
      </c>
      <c r="N53" s="9">
        <f>Table25711131525233335373941454951535912141618202224262830323436404244[[#This Row],[Thresh]]*2</f>
        <v>1.7650708473625138E-3</v>
      </c>
      <c r="O53" s="24">
        <f>Table25711131525233335373941454951535912141618202224262830323436404244[[#This Row],[R]]/2</f>
        <v>3.689236111111111E-4</v>
      </c>
      <c r="P53" s="9"/>
      <c r="Q53" s="24"/>
      <c r="R53" s="9"/>
      <c r="S53" s="24"/>
      <c r="T53" s="24"/>
      <c r="U53" s="24"/>
      <c r="V53" s="23" t="s">
        <v>134</v>
      </c>
      <c r="W53" s="104"/>
    </row>
    <row r="54" spans="1:23" ht="17.149999999999999" customHeight="1" x14ac:dyDescent="0.35">
      <c r="A54" s="8" t="s">
        <v>74</v>
      </c>
      <c r="B54" s="9">
        <v>1.0243055555555556E-2</v>
      </c>
      <c r="C54" s="9">
        <v>2.9513888888888888E-3</v>
      </c>
      <c r="D54" s="9">
        <f t="shared" si="31"/>
        <v>5.9594097222222218E-3</v>
      </c>
      <c r="E54" s="10">
        <v>0.58179999999999998</v>
      </c>
      <c r="F54" s="9">
        <f t="shared" si="32"/>
        <v>7.378472222222222E-4</v>
      </c>
      <c r="G54" s="9">
        <f t="shared" si="33"/>
        <v>7.9458796296296287E-4</v>
      </c>
      <c r="H54" s="9">
        <f t="shared" si="34"/>
        <v>8.1944444444444447E-4</v>
      </c>
      <c r="I54" s="9">
        <f t="shared" si="35"/>
        <v>8.5439565909996003E-4</v>
      </c>
      <c r="J54" s="9">
        <f t="shared" si="36"/>
        <v>8.636825684380031E-4</v>
      </c>
      <c r="K54" s="9">
        <f t="shared" si="37"/>
        <v>9.0294086700336686E-4</v>
      </c>
      <c r="L54" s="9">
        <f t="shared" si="38"/>
        <v>9.4593805114638445E-4</v>
      </c>
      <c r="M54" s="11">
        <f>Table25711131525233335373941454951535912141618202224262830323436404244[[#This Row],[Thresh]]</f>
        <v>9.0294086700336686E-4</v>
      </c>
      <c r="N54" s="9">
        <f>Table25711131525233335373941454951535912141618202224262830323436404244[[#This Row],[Thresh]]*2</f>
        <v>1.8058817340067337E-3</v>
      </c>
      <c r="O54" s="24">
        <f>Table25711131525233335373941454951535912141618202224262830323436404244[[#This Row],[R]]/2</f>
        <v>3.689236111111111E-4</v>
      </c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82</v>
      </c>
      <c r="B55" s="9">
        <v>1.0416666666666666E-2</v>
      </c>
      <c r="C55" s="9">
        <v>3.0092592592592588E-3</v>
      </c>
      <c r="D55" s="9">
        <f t="shared" si="31"/>
        <v>6.0604166666666662E-3</v>
      </c>
      <c r="E55" s="10">
        <v>0.58179999999999998</v>
      </c>
      <c r="F55" s="9">
        <f t="shared" si="32"/>
        <v>7.5231481481481471E-4</v>
      </c>
      <c r="G55" s="9">
        <f t="shared" si="33"/>
        <v>8.0805555555555546E-4</v>
      </c>
      <c r="H55" s="9">
        <f t="shared" si="34"/>
        <v>8.3333333333333328E-4</v>
      </c>
      <c r="I55" s="9">
        <f t="shared" si="35"/>
        <v>8.6887694145758646E-4</v>
      </c>
      <c r="J55" s="9">
        <f t="shared" si="36"/>
        <v>8.7832125603864715E-4</v>
      </c>
      <c r="K55" s="9">
        <f t="shared" si="37"/>
        <v>9.1824494949494938E-4</v>
      </c>
      <c r="L55" s="9">
        <f t="shared" si="38"/>
        <v>9.6197089947089938E-4</v>
      </c>
      <c r="M55" s="11">
        <f>Table25711131525233335373941454951535912141618202224262830323436404244[[#This Row],[Thresh]]</f>
        <v>9.1824494949494938E-4</v>
      </c>
      <c r="N55" s="9">
        <f>Table25711131525233335373941454951535912141618202224262830323436404244[[#This Row],[Thresh]]*2</f>
        <v>1.8364898989898988E-3</v>
      </c>
      <c r="O55" s="24">
        <f>Table25711131525233335373941454951535912141618202224262830323436404244[[#This Row],[R]]/2</f>
        <v>3.7615740740740735E-4</v>
      </c>
      <c r="P55" s="9"/>
      <c r="Q55" s="24"/>
      <c r="R55" s="9"/>
      <c r="S55" s="24"/>
      <c r="T55" s="97"/>
      <c r="U55" s="24"/>
      <c r="V55" s="23" t="s">
        <v>30</v>
      </c>
      <c r="W55" s="104"/>
    </row>
    <row r="56" spans="1:23" ht="17.149999999999999" customHeight="1" x14ac:dyDescent="0.35">
      <c r="A56" s="8" t="s">
        <v>83</v>
      </c>
      <c r="B56" s="9">
        <v>1.0763888888888891E-2</v>
      </c>
      <c r="C56" s="9">
        <v>3.0092592592592588E-3</v>
      </c>
      <c r="D56" s="9">
        <f t="shared" si="31"/>
        <v>6.2624305555555567E-3</v>
      </c>
      <c r="E56" s="10">
        <v>0.58179999999999998</v>
      </c>
      <c r="F56" s="9">
        <f t="shared" si="32"/>
        <v>7.5231481481481471E-4</v>
      </c>
      <c r="G56" s="9">
        <f t="shared" si="33"/>
        <v>8.3499074074074085E-4</v>
      </c>
      <c r="H56" s="9">
        <f t="shared" si="34"/>
        <v>8.6111111111111121E-4</v>
      </c>
      <c r="I56" s="9">
        <f t="shared" si="35"/>
        <v>8.9783950617283953E-4</v>
      </c>
      <c r="J56" s="9">
        <f t="shared" si="36"/>
        <v>9.0759863123993567E-4</v>
      </c>
      <c r="K56" s="9">
        <f t="shared" si="37"/>
        <v>9.4885311447811464E-4</v>
      </c>
      <c r="L56" s="9">
        <f t="shared" si="38"/>
        <v>9.9403659611992969E-4</v>
      </c>
      <c r="M56" s="11">
        <f>Table25711131525233335373941454951535912141618202224262830323436404244[[#This Row],[Thresh]]</f>
        <v>9.4885311447811464E-4</v>
      </c>
      <c r="N56" s="9">
        <f>Table25711131525233335373941454951535912141618202224262830323436404244[[#This Row],[Thresh]]*2</f>
        <v>1.8977062289562293E-3</v>
      </c>
      <c r="O56" s="24">
        <f>Table25711131525233335373941454951535912141618202224262830323436404244[[#This Row],[R]]/2</f>
        <v>3.7615740740740735E-4</v>
      </c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84</v>
      </c>
      <c r="B57" s="9">
        <v>1.0763888888888891E-2</v>
      </c>
      <c r="C57" s="9">
        <v>3.0671296296296297E-3</v>
      </c>
      <c r="D57" s="9">
        <f t="shared" si="31"/>
        <v>6.2624305555555567E-3</v>
      </c>
      <c r="E57" s="10">
        <v>0.58179999999999998</v>
      </c>
      <c r="F57" s="9">
        <f t="shared" si="32"/>
        <v>7.6678240740740743E-4</v>
      </c>
      <c r="G57" s="9">
        <f t="shared" si="33"/>
        <v>8.3499074074074085E-4</v>
      </c>
      <c r="H57" s="9">
        <f t="shared" si="34"/>
        <v>8.6111111111111121E-4</v>
      </c>
      <c r="I57" s="9">
        <f t="shared" si="35"/>
        <v>8.9783950617283953E-4</v>
      </c>
      <c r="J57" s="9">
        <f t="shared" si="36"/>
        <v>9.0759863123993567E-4</v>
      </c>
      <c r="K57" s="9">
        <f t="shared" si="37"/>
        <v>9.4885311447811464E-4</v>
      </c>
      <c r="L57" s="9">
        <f t="shared" si="38"/>
        <v>9.9403659611992969E-4</v>
      </c>
      <c r="M57" s="11">
        <f>Table25711131525233335373941454951535912141618202224262830323436404244[[#This Row],[Thresh]]</f>
        <v>9.4885311447811464E-4</v>
      </c>
      <c r="N57" s="9">
        <f>Table25711131525233335373941454951535912141618202224262830323436404244[[#This Row],[Thresh]]*2</f>
        <v>1.8977062289562293E-3</v>
      </c>
      <c r="O57" s="24">
        <f>Table25711131525233335373941454951535912141618202224262830323436404244[[#This Row],[R]]/2</f>
        <v>3.8339120370370371E-4</v>
      </c>
      <c r="P57" s="9"/>
      <c r="Q57" s="24"/>
      <c r="R57" s="9"/>
      <c r="S57" s="9"/>
      <c r="T57" s="24"/>
      <c r="V57" s="23" t="s">
        <v>30</v>
      </c>
      <c r="W57" s="104"/>
    </row>
    <row r="58" spans="1:23" ht="17.149999999999999" customHeight="1" x14ac:dyDescent="0.35">
      <c r="A58" s="8" t="s">
        <v>86</v>
      </c>
      <c r="B58" s="9">
        <v>1.087962962962963E-2</v>
      </c>
      <c r="C58" s="9">
        <v>3.1249999999999997E-3</v>
      </c>
      <c r="D58" s="9">
        <f t="shared" si="31"/>
        <v>6.3297685185185184E-3</v>
      </c>
      <c r="E58" s="10">
        <v>0.58179999999999998</v>
      </c>
      <c r="F58" s="9">
        <f t="shared" si="32"/>
        <v>7.8124999999999993E-4</v>
      </c>
      <c r="G58" s="9">
        <f t="shared" si="33"/>
        <v>8.4396913580246917E-4</v>
      </c>
      <c r="H58" s="9">
        <f t="shared" si="34"/>
        <v>8.7037037037037042E-4</v>
      </c>
      <c r="I58" s="9">
        <f t="shared" si="35"/>
        <v>9.0749369441125711E-4</v>
      </c>
      <c r="J58" s="9">
        <f t="shared" si="36"/>
        <v>9.173577563070317E-4</v>
      </c>
      <c r="K58" s="9">
        <f t="shared" si="37"/>
        <v>9.5905583613916951E-4</v>
      </c>
      <c r="L58" s="9">
        <f t="shared" si="38"/>
        <v>1.0047251616696062E-3</v>
      </c>
      <c r="M58" s="11">
        <f>Table25711131525233335373941454951535912141618202224262830323436404244[[#This Row],[Thresh]]</f>
        <v>9.5905583613916951E-4</v>
      </c>
      <c r="N58" s="9">
        <f>Table25711131525233335373941454951535912141618202224262830323436404244[[#This Row],[Thresh]]*2</f>
        <v>1.918111672278339E-3</v>
      </c>
      <c r="O58" s="24">
        <f>Table25711131525233335373941454951535912141618202224262830323436404244[[#This Row],[R]]/2</f>
        <v>3.9062499999999997E-4</v>
      </c>
      <c r="P58" s="9"/>
      <c r="Q58" s="24"/>
      <c r="R58" s="9"/>
      <c r="S58" s="24"/>
      <c r="T58" s="24"/>
      <c r="U58" s="24"/>
      <c r="V58" s="23" t="s">
        <v>30</v>
      </c>
      <c r="W58" s="104"/>
    </row>
    <row r="59" spans="1:23" ht="17.149999999999999" customHeight="1" x14ac:dyDescent="0.35">
      <c r="A59" s="8" t="s">
        <v>90</v>
      </c>
      <c r="B59" s="9">
        <v>1.1111111111111112E-2</v>
      </c>
      <c r="C59" s="9">
        <v>3.1828703703703702E-3</v>
      </c>
      <c r="D59" s="9">
        <f t="shared" si="31"/>
        <v>6.4644444444444445E-3</v>
      </c>
      <c r="E59" s="10">
        <v>0.58179999999999998</v>
      </c>
      <c r="F59" s="9">
        <f t="shared" si="32"/>
        <v>7.9571759259259255E-4</v>
      </c>
      <c r="G59" s="9">
        <f t="shared" si="33"/>
        <v>8.6192592592592592E-4</v>
      </c>
      <c r="H59" s="9">
        <f t="shared" si="34"/>
        <v>8.8888888888888893E-4</v>
      </c>
      <c r="I59" s="9">
        <f t="shared" si="35"/>
        <v>9.2680207088809239E-4</v>
      </c>
      <c r="J59" s="9">
        <f t="shared" si="36"/>
        <v>9.3687600644122375E-4</v>
      </c>
      <c r="K59" s="9">
        <f t="shared" si="37"/>
        <v>9.7946127946127947E-4</v>
      </c>
      <c r="L59" s="9">
        <f t="shared" si="38"/>
        <v>1.0261022927689596E-3</v>
      </c>
      <c r="M59" s="11">
        <f>Table25711131525233335373941454951535912141618202224262830323436404244[[#This Row],[Thresh]]</f>
        <v>9.7946127946127947E-4</v>
      </c>
      <c r="N59" s="9">
        <f>Table25711131525233335373941454951535912141618202224262830323436404244[[#This Row],[Thresh]]*2</f>
        <v>1.9589225589225589E-3</v>
      </c>
      <c r="O59" s="24">
        <f>Table25711131525233335373941454951535912141618202224262830323436404244[[#This Row],[R]]/2</f>
        <v>3.9785879629629627E-4</v>
      </c>
      <c r="P59" s="9"/>
      <c r="Q59" s="24"/>
      <c r="R59" s="9"/>
      <c r="S59" s="12"/>
      <c r="T59" s="25"/>
      <c r="U59" s="28"/>
      <c r="V59" s="23" t="s">
        <v>30</v>
      </c>
      <c r="W59" s="104"/>
    </row>
    <row r="60" spans="1:23" ht="17.149999999999999" customHeight="1" x14ac:dyDescent="0.35">
      <c r="A60" s="8" t="s">
        <v>68</v>
      </c>
      <c r="B60" s="9">
        <v>1.1226851851851854E-2</v>
      </c>
      <c r="C60" s="9">
        <v>3.1828703703703702E-3</v>
      </c>
      <c r="D60" s="9">
        <f t="shared" si="31"/>
        <v>6.5317824074074089E-3</v>
      </c>
      <c r="E60" s="10">
        <v>0.58179999999999998</v>
      </c>
      <c r="F60" s="9">
        <f t="shared" si="32"/>
        <v>7.9571759259259255E-4</v>
      </c>
      <c r="G60" s="9">
        <f t="shared" si="33"/>
        <v>8.7090432098765457E-4</v>
      </c>
      <c r="H60" s="9">
        <f t="shared" si="34"/>
        <v>8.9814814814814835E-4</v>
      </c>
      <c r="I60" s="9">
        <f t="shared" si="35"/>
        <v>9.3645625912651019E-4</v>
      </c>
      <c r="J60" s="9">
        <f t="shared" si="36"/>
        <v>9.4663513150832011E-4</v>
      </c>
      <c r="K60" s="9">
        <f t="shared" si="37"/>
        <v>9.8966400112233477E-4</v>
      </c>
      <c r="L60" s="9">
        <f t="shared" si="38"/>
        <v>1.0367908583186363E-3</v>
      </c>
      <c r="M60" s="11">
        <f>Table25711131525233335373941454951535912141618202224262830323436404244[[#This Row],[Thresh]]</f>
        <v>9.8966400112233477E-4</v>
      </c>
      <c r="N60" s="9">
        <f>Table25711131525233335373941454951535912141618202224262830323436404244[[#This Row],[Thresh]]*2</f>
        <v>1.9793280022446695E-3</v>
      </c>
      <c r="O60" s="24">
        <f>Table25711131525233335373941454951535912141618202224262830323436404244[[#This Row],[R]]/2</f>
        <v>3.9785879629629627E-4</v>
      </c>
      <c r="P60" s="9"/>
      <c r="Q60" s="24"/>
      <c r="R60" s="9"/>
      <c r="S60" s="12"/>
      <c r="T60" s="25"/>
      <c r="V60" s="23" t="s">
        <v>30</v>
      </c>
      <c r="W60" s="104"/>
    </row>
    <row r="61" spans="1:23" ht="17.149999999999999" customHeight="1" x14ac:dyDescent="0.35">
      <c r="A61" s="8" t="s">
        <v>92</v>
      </c>
      <c r="B61" s="9">
        <v>1.1111111111111112E-2</v>
      </c>
      <c r="C61" s="9">
        <v>3.2407407407407406E-3</v>
      </c>
      <c r="D61" s="9">
        <f t="shared" si="31"/>
        <v>6.4644444444444445E-3</v>
      </c>
      <c r="E61" s="10">
        <v>0.58179999999999998</v>
      </c>
      <c r="F61" s="9">
        <f t="shared" si="32"/>
        <v>8.1018518518518516E-4</v>
      </c>
      <c r="G61" s="9">
        <f t="shared" si="33"/>
        <v>8.6192592592592592E-4</v>
      </c>
      <c r="H61" s="9">
        <f t="shared" si="34"/>
        <v>8.8888888888888893E-4</v>
      </c>
      <c r="I61" s="9">
        <f t="shared" si="35"/>
        <v>9.2680207088809239E-4</v>
      </c>
      <c r="J61" s="9">
        <f t="shared" si="36"/>
        <v>9.3687600644122375E-4</v>
      </c>
      <c r="K61" s="9">
        <f t="shared" si="37"/>
        <v>9.7946127946127947E-4</v>
      </c>
      <c r="L61" s="9">
        <f t="shared" si="38"/>
        <v>1.0261022927689596E-3</v>
      </c>
      <c r="M61" s="11">
        <f>Table25711131525233335373941454951535912141618202224262830323436404244[[#This Row],[Thresh]]</f>
        <v>9.7946127946127947E-4</v>
      </c>
      <c r="N61" s="9">
        <f>Table25711131525233335373941454951535912141618202224262830323436404244[[#This Row],[Thresh]]*2</f>
        <v>1.9589225589225589E-3</v>
      </c>
      <c r="O61" s="24">
        <f>Table25711131525233335373941454951535912141618202224262830323436404244[[#This Row],[R]]/2</f>
        <v>4.0509259259259258E-4</v>
      </c>
      <c r="P61" s="9"/>
      <c r="Q61" s="24"/>
      <c r="R61" s="9"/>
      <c r="S61" s="12"/>
      <c r="T61" s="25"/>
      <c r="V61" s="23" t="s">
        <v>30</v>
      </c>
      <c r="W61" s="105" t="s">
        <v>150</v>
      </c>
    </row>
    <row r="62" spans="1:23" ht="17.149999999999999" customHeight="1" x14ac:dyDescent="0.35">
      <c r="A62" s="8" t="s">
        <v>93</v>
      </c>
      <c r="B62" s="9">
        <v>1.1921296296296298E-2</v>
      </c>
      <c r="C62" s="9">
        <v>3.414351851851852E-3</v>
      </c>
      <c r="D62" s="9">
        <f t="shared" si="31"/>
        <v>6.9358101851851863E-3</v>
      </c>
      <c r="E62" s="10">
        <v>0.58179999999999998</v>
      </c>
      <c r="F62" s="9">
        <f t="shared" si="32"/>
        <v>8.53587962962963E-4</v>
      </c>
      <c r="G62" s="9">
        <f t="shared" si="33"/>
        <v>9.2477469135802482E-4</v>
      </c>
      <c r="H62" s="9">
        <f t="shared" si="34"/>
        <v>9.5370370370370379E-4</v>
      </c>
      <c r="I62" s="9">
        <f t="shared" si="35"/>
        <v>9.943813885570159E-4</v>
      </c>
      <c r="J62" s="9">
        <f t="shared" si="36"/>
        <v>1.0051898819108964E-3</v>
      </c>
      <c r="K62" s="9">
        <f t="shared" si="37"/>
        <v>1.0508803310886646E-3</v>
      </c>
      <c r="L62" s="9">
        <f t="shared" si="38"/>
        <v>1.1009222516166963E-3</v>
      </c>
      <c r="M62" s="11">
        <f>Table25711131525233335373941454951535912141618202224262830323436404244[[#This Row],[Thresh]]</f>
        <v>1.0508803310886646E-3</v>
      </c>
      <c r="N62" s="9">
        <f>Table25711131525233335373941454951535912141618202224262830323436404244[[#This Row],[Thresh]]*2</f>
        <v>2.1017606621773293E-3</v>
      </c>
      <c r="O62" s="24">
        <f>Table25711131525233335373941454951535912141618202224262830323436404244[[#This Row],[R]]/2</f>
        <v>4.267939814814815E-4</v>
      </c>
      <c r="P62" s="9"/>
      <c r="Q62" s="24"/>
      <c r="R62" s="9"/>
      <c r="S62" s="12"/>
      <c r="T62" s="25"/>
      <c r="V62" s="23" t="s">
        <v>30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thickBot="1" x14ac:dyDescent="0.4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127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 t="s">
        <v>136</v>
      </c>
      <c r="N67" s="15" t="s">
        <v>144</v>
      </c>
      <c r="O67" s="15" t="s">
        <v>138</v>
      </c>
      <c r="P67" s="15" t="s">
        <v>139</v>
      </c>
      <c r="Q67" s="15" t="s">
        <v>140</v>
      </c>
      <c r="R67" s="15"/>
      <c r="S67" s="15"/>
      <c r="T67" s="15"/>
      <c r="U67" s="15"/>
      <c r="V67" s="17"/>
      <c r="W67" s="107" t="s">
        <v>147</v>
      </c>
    </row>
    <row r="68" spans="1:23" ht="17.149999999999999" customHeight="1" x14ac:dyDescent="0.35">
      <c r="A68" s="8" t="s">
        <v>78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>
        <f>Table25711131525233335373941454951535912141618202224262830323436404244[[#This Row],[CV]]</f>
        <v>8.636825684380031E-4</v>
      </c>
      <c r="N68" s="9">
        <f>Table25711131525233335373941454951535912141618202224262830323436404244[[#This Row],[CV]]*2</f>
        <v>1.7273651368760062E-3</v>
      </c>
      <c r="O68" s="24">
        <f>Table25711131525233335373941454951535912141618202224262830323436404244[[#This Row],[Thresh]]</f>
        <v>9.0294086700336686E-4</v>
      </c>
      <c r="P68" s="12">
        <f>Table25711131525233335373941454951535912141618202224262830323436404244[[#This Row],[VO2]]</f>
        <v>7.9458796296296287E-4</v>
      </c>
      <c r="Q68" s="97">
        <f>Table25711131525233335373941454951535912141618202224262830323436404244[[#This Row],[Thresh]]+Table25711131525233335373941454951535912141618202224262830323436404244[[#This Row],[VO2]]</f>
        <v>1.6975288299663298E-3</v>
      </c>
      <c r="R68" s="9"/>
      <c r="S68" s="24"/>
      <c r="T68" s="97"/>
      <c r="U68" s="24"/>
      <c r="V68" s="23" t="s">
        <v>34</v>
      </c>
      <c r="W68" s="108"/>
    </row>
    <row r="69" spans="1:23" ht="17.149999999999999" customHeight="1" x14ac:dyDescent="0.35">
      <c r="A69" s="8" t="s">
        <v>99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>
        <f>Table25711131525233335373941454951535912141618202224262830323436404244[[#This Row],[CV]]</f>
        <v>8.636825684380031E-4</v>
      </c>
      <c r="N69" s="9">
        <f>Table25711131525233335373941454951535912141618202224262830323436404244[[#This Row],[CV]]*2</f>
        <v>1.7273651368760062E-3</v>
      </c>
      <c r="O69" s="24">
        <f>Table25711131525233335373941454951535912141618202224262830323436404244[[#This Row],[Thresh]]</f>
        <v>9.0294086700336686E-4</v>
      </c>
      <c r="P69" s="12">
        <f>Table25711131525233335373941454951535912141618202224262830323436404244[[#This Row],[VO2]]</f>
        <v>7.9458796296296287E-4</v>
      </c>
      <c r="Q69" s="97">
        <f>Table25711131525233335373941454951535912141618202224262830323436404244[[#This Row],[Thresh]]+Table25711131525233335373941454951535912141618202224262830323436404244[[#This Row],[VO2]]</f>
        <v>1.6975288299663298E-3</v>
      </c>
      <c r="R69" s="9"/>
      <c r="S69" s="24"/>
      <c r="T69" s="97"/>
      <c r="U69" s="24"/>
      <c r="V69" s="23" t="s">
        <v>34</v>
      </c>
      <c r="W69" s="108"/>
    </row>
    <row r="70" spans="1:23" ht="17.149999999999999" customHeight="1" x14ac:dyDescent="0.35">
      <c r="A70" s="8" t="s">
        <v>80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>
        <f>Table25711131525233335373941454951535912141618202224262830323436404244[[#This Row],[CV]]</f>
        <v>8.7832125603864715E-4</v>
      </c>
      <c r="N70" s="9">
        <f>Table25711131525233335373941454951535912141618202224262830323436404244[[#This Row],[CV]]*2</f>
        <v>1.7566425120772943E-3</v>
      </c>
      <c r="O70" s="24">
        <f>Table25711131525233335373941454951535912141618202224262830323436404244[[#This Row],[Thresh]]</f>
        <v>9.1824494949494938E-4</v>
      </c>
      <c r="P70" s="12">
        <f>Table25711131525233335373941454951535912141618202224262830323436404244[[#This Row],[VO2]]</f>
        <v>8.0805555555555546E-4</v>
      </c>
      <c r="Q70" s="97">
        <f>Table25711131525233335373941454951535912141618202224262830323436404244[[#This Row],[Thresh]]+Table25711131525233335373941454951535912141618202224262830323436404244[[#This Row],[VO2]]</f>
        <v>1.7263005050505049E-3</v>
      </c>
      <c r="R70" s="9"/>
      <c r="S70" s="24"/>
      <c r="T70" s="97"/>
      <c r="U70" s="24"/>
      <c r="V70" s="23" t="s">
        <v>34</v>
      </c>
      <c r="W70" s="108"/>
    </row>
    <row r="71" spans="1:23" ht="17.149999999999999" customHeight="1" x14ac:dyDescent="0.35">
      <c r="A71" s="8" t="s">
        <v>77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>
        <f>Table25711131525233335373941454951535912141618202224262830323436404244[[#This Row],[CV]]</f>
        <v>8.7832125603864715E-4</v>
      </c>
      <c r="N71" s="9">
        <f>Table25711131525233335373941454951535912141618202224262830323436404244[[#This Row],[CV]]*2</f>
        <v>1.7566425120772943E-3</v>
      </c>
      <c r="O71" s="24">
        <f>Table25711131525233335373941454951535912141618202224262830323436404244[[#This Row],[Thresh]]</f>
        <v>9.1824494949494938E-4</v>
      </c>
      <c r="P71" s="12">
        <f>Table25711131525233335373941454951535912141618202224262830323436404244[[#This Row],[VO2]]</f>
        <v>8.0805555555555546E-4</v>
      </c>
      <c r="Q71" s="97">
        <f>Table25711131525233335373941454951535912141618202224262830323436404244[[#This Row],[Thresh]]+Table25711131525233335373941454951535912141618202224262830323436404244[[#This Row],[VO2]]</f>
        <v>1.7263005050505049E-3</v>
      </c>
      <c r="R71" s="9"/>
      <c r="S71" s="9"/>
      <c r="T71" s="24"/>
      <c r="U71" s="24"/>
      <c r="V71" s="23" t="s">
        <v>34</v>
      </c>
      <c r="W71" s="108"/>
    </row>
    <row r="72" spans="1:23" ht="17.149999999999999" customHeight="1" x14ac:dyDescent="0.35">
      <c r="A72" s="8" t="s">
        <v>102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>
        <f>Table25711131525233335373941454951535912141618202224262830323436404244[[#This Row],[CV]]</f>
        <v>8.8320081857219527E-4</v>
      </c>
      <c r="N72" s="9">
        <f>Table25711131525233335373941454951535912141618202224262830323436404244[[#This Row],[CV]]*2</f>
        <v>1.7664016371443905E-3</v>
      </c>
      <c r="O72" s="24">
        <f>Table25711131525233335373941454951535912141618202224262830323436404244[[#This Row],[Thresh]]</f>
        <v>9.2334631032547692E-4</v>
      </c>
      <c r="P72" s="12">
        <f>Table25711131525233335373941454951535912141618202224262830323436404244[[#This Row],[VO2]]</f>
        <v>8.1254475308641973E-4</v>
      </c>
      <c r="Q72" s="97">
        <f>Table25711131525233335373941454951535912141618202224262830323436404244[[#This Row],[Thresh]]+Table25711131525233335373941454951535912141618202224262830323436404244[[#This Row],[VO2]]</f>
        <v>1.7358910634118967E-3</v>
      </c>
      <c r="R72" s="9"/>
      <c r="S72" s="24"/>
      <c r="T72" s="97"/>
      <c r="U72" s="24"/>
      <c r="V72" s="23" t="s">
        <v>34</v>
      </c>
      <c r="W72" s="108"/>
    </row>
    <row r="73" spans="1:23" ht="17.149999999999999" customHeight="1" x14ac:dyDescent="0.35">
      <c r="A73" s="8" t="s">
        <v>85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>
        <f>Table25711131525233335373941454951535912141618202224262830323436404244[[#This Row],[CV]]</f>
        <v>9.0759863123993545E-4</v>
      </c>
      <c r="N73" s="9">
        <f>Table25711131525233335373941454951535912141618202224262830323436404244[[#This Row],[CV]]*2</f>
        <v>1.8151972624798709E-3</v>
      </c>
      <c r="O73" s="24">
        <f>Table25711131525233335373941454951535912141618202224262830323436404244[[#This Row],[Thresh]]</f>
        <v>9.4885311447811432E-4</v>
      </c>
      <c r="P73" s="12">
        <f>Table25711131525233335373941454951535912141618202224262830323436404244[[#This Row],[VO2]]</f>
        <v>8.3499074074074064E-4</v>
      </c>
      <c r="Q73" s="97">
        <f>Table25711131525233335373941454951535912141618202224262830323436404244[[#This Row],[Thresh]]+Table25711131525233335373941454951535912141618202224262830323436404244[[#This Row],[VO2]]</f>
        <v>1.783843855218855E-3</v>
      </c>
      <c r="R73" s="9"/>
      <c r="S73" s="24"/>
      <c r="T73" s="24"/>
      <c r="U73" s="24"/>
      <c r="V73" s="23" t="s">
        <v>34</v>
      </c>
      <c r="W73" s="108"/>
    </row>
    <row r="74" spans="1:23" ht="17.149999999999999" customHeight="1" x14ac:dyDescent="0.35">
      <c r="A74" s="8" t="s">
        <v>87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>
        <f>Table25711131525233335373941454951535912141618202224262830323436404244[[#This Row],[CV]]</f>
        <v>9.0759863123993567E-4</v>
      </c>
      <c r="N74" s="9">
        <f>Table25711131525233335373941454951535912141618202224262830323436404244[[#This Row],[CV]]*2</f>
        <v>1.8151972624798713E-3</v>
      </c>
      <c r="O74" s="24">
        <f>Table25711131525233335373941454951535912141618202224262830323436404244[[#This Row],[Thresh]]</f>
        <v>9.4885311447811464E-4</v>
      </c>
      <c r="P74" s="12">
        <f>Table25711131525233335373941454951535912141618202224262830323436404244[[#This Row],[VO2]]</f>
        <v>8.3499074074074085E-4</v>
      </c>
      <c r="Q74" s="97">
        <f>Table25711131525233335373941454951535912141618202224262830323436404244[[#This Row],[Thresh]]+Table25711131525233335373941454951535912141618202224262830323436404244[[#This Row],[VO2]]</f>
        <v>1.7838438552188556E-3</v>
      </c>
      <c r="R74" s="9"/>
      <c r="S74" s="9"/>
      <c r="T74" s="24"/>
      <c r="U74" s="24"/>
      <c r="V74" s="23" t="s">
        <v>34</v>
      </c>
      <c r="W74" s="108"/>
    </row>
    <row r="75" spans="1:23" ht="17.149999999999999" customHeight="1" x14ac:dyDescent="0.35">
      <c r="A75" s="8" t="s">
        <v>109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>
        <f>Table25711131525233335373941454951535912141618202224262830323436404244[[#This Row],[CV]]</f>
        <v>9.0759863123993545E-4</v>
      </c>
      <c r="N75" s="9">
        <f>Table25711131525233335373941454951535912141618202224262830323436404244[[#This Row],[CV]]*2</f>
        <v>1.8151972624798709E-3</v>
      </c>
      <c r="O75" s="24">
        <f>Table25711131525233335373941454951535912141618202224262830323436404244[[#This Row],[Thresh]]</f>
        <v>9.4885311447811432E-4</v>
      </c>
      <c r="P75" s="12">
        <f>Table25711131525233335373941454951535912141618202224262830323436404244[[#This Row],[VO2]]</f>
        <v>8.3499074074074064E-4</v>
      </c>
      <c r="Q75" s="97">
        <f>Table25711131525233335373941454951535912141618202224262830323436404244[[#This Row],[Thresh]]+Table25711131525233335373941454951535912141618202224262830323436404244[[#This Row],[VO2]]</f>
        <v>1.783843855218855E-3</v>
      </c>
      <c r="R75" s="9"/>
      <c r="S75" s="9"/>
      <c r="T75" s="24"/>
      <c r="U75" s="24"/>
      <c r="V75" s="23" t="s">
        <v>34</v>
      </c>
      <c r="W75" s="108"/>
    </row>
    <row r="76" spans="1:23" ht="17.149999999999999" customHeight="1" x14ac:dyDescent="0.35">
      <c r="A76" s="8" t="s">
        <v>110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>
        <f>Table25711131525233335373941454951535912141618202224262830323436404244[[#This Row],[CV]]</f>
        <v>9.173577563070317E-4</v>
      </c>
      <c r="N76" s="9">
        <f>Table25711131525233335373941454951535912141618202224262830323436404244[[#This Row],[CV]]*2</f>
        <v>1.8347155126140634E-3</v>
      </c>
      <c r="O76" s="24">
        <f>Table25711131525233335373941454951535912141618202224262830323436404244[[#This Row],[Thresh]]</f>
        <v>9.5905583613916951E-4</v>
      </c>
      <c r="P76" s="12">
        <f>Table25711131525233335373941454951535912141618202224262830323436404244[[#This Row],[VO2]]</f>
        <v>8.4396913580246917E-4</v>
      </c>
      <c r="Q76" s="97">
        <f>Table25711131525233335373941454951535912141618202224262830323436404244[[#This Row],[Thresh]]+Table25711131525233335373941454951535912141618202224262830323436404244[[#This Row],[VO2]]</f>
        <v>1.8030249719416386E-3</v>
      </c>
      <c r="R76" s="9"/>
      <c r="S76" s="9"/>
      <c r="T76" s="24"/>
      <c r="U76" s="24"/>
      <c r="V76" s="23" t="s">
        <v>34</v>
      </c>
      <c r="W76" s="104" t="s">
        <v>148</v>
      </c>
    </row>
    <row r="77" spans="1:23" ht="17.149999999999999" customHeight="1" x14ac:dyDescent="0.35">
      <c r="A77" s="8" t="s">
        <v>111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>
        <f>Table25711131525233335373941454951535912141618202224262830323436404244[[#This Row],[CV]]</f>
        <v>9.173577563070317E-4</v>
      </c>
      <c r="N77" s="9">
        <f>Table25711131525233335373941454951535912141618202224262830323436404244[[#This Row],[CV]]*2</f>
        <v>1.8347155126140634E-3</v>
      </c>
      <c r="O77" s="24">
        <f>Table25711131525233335373941454951535912141618202224262830323436404244[[#This Row],[Thresh]]</f>
        <v>9.5905583613916951E-4</v>
      </c>
      <c r="P77" s="12">
        <f>Table25711131525233335373941454951535912141618202224262830323436404244[[#This Row],[VO2]]</f>
        <v>8.4396913580246917E-4</v>
      </c>
      <c r="Q77" s="97">
        <f>Table25711131525233335373941454951535912141618202224262830323436404244[[#This Row],[Thresh]]+Table25711131525233335373941454951535912141618202224262830323436404244[[#This Row],[VO2]]</f>
        <v>1.8030249719416386E-3</v>
      </c>
      <c r="R77" s="9"/>
      <c r="S77" s="9"/>
      <c r="T77" s="24"/>
      <c r="U77" s="24"/>
      <c r="V77" s="23" t="s">
        <v>34</v>
      </c>
      <c r="W77" s="104"/>
    </row>
    <row r="78" spans="1:23" ht="17.149999999999999" customHeight="1" x14ac:dyDescent="0.35">
      <c r="A78" s="8" t="s">
        <v>88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>
        <f>Table25711131525233335373941454951535912141618202224262830323436404244[[#This Row],[CV]]</f>
        <v>9.173577563070317E-4</v>
      </c>
      <c r="N78" s="9">
        <f>Table25711131525233335373941454951535912141618202224262830323436404244[[#This Row],[CV]]*2</f>
        <v>1.8347155126140634E-3</v>
      </c>
      <c r="O78" s="24">
        <f>Table25711131525233335373941454951535912141618202224262830323436404244[[#This Row],[Thresh]]</f>
        <v>9.5905583613916951E-4</v>
      </c>
      <c r="P78" s="12">
        <f>Table25711131525233335373941454951535912141618202224262830323436404244[[#This Row],[VO2]]</f>
        <v>8.4396913580246917E-4</v>
      </c>
      <c r="Q78" s="97">
        <f>Table25711131525233335373941454951535912141618202224262830323436404244[[#This Row],[Thresh]]+Table25711131525233335373941454951535912141618202224262830323436404244[[#This Row],[VO2]]</f>
        <v>1.8030249719416386E-3</v>
      </c>
      <c r="R78" s="9"/>
      <c r="S78" s="9"/>
      <c r="T78" s="24"/>
      <c r="U78" s="24"/>
      <c r="V78" s="23" t="s">
        <v>34</v>
      </c>
      <c r="W78" s="104"/>
    </row>
    <row r="79" spans="1:23" ht="17.149999999999999" customHeight="1" x14ac:dyDescent="0.35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4"/>
    </row>
    <row r="80" spans="1:23" ht="17.149999999999999" customHeight="1" x14ac:dyDescent="0.35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 t="s">
        <v>12</v>
      </c>
      <c r="N80" s="15" t="s">
        <v>58</v>
      </c>
      <c r="O80" s="15" t="s">
        <v>142</v>
      </c>
      <c r="P80" s="15" t="s">
        <v>151</v>
      </c>
      <c r="Q80" s="15" t="s">
        <v>136</v>
      </c>
      <c r="R80" s="15" t="s">
        <v>152</v>
      </c>
      <c r="S80" s="15" t="s">
        <v>139</v>
      </c>
      <c r="T80" s="15"/>
      <c r="U80" s="15"/>
      <c r="V80" s="17"/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>
        <f>Table25711131525233335373941454951535912141618202224262830323436404244[[#This Row],[Thresh]]</f>
        <v>8.825354236812569E-4</v>
      </c>
      <c r="N81" s="9">
        <f>Table25711131525233335373941454951535912141618202224262830323436404244[[#This Row],[Thresh]]*2.5</f>
        <v>2.2063385592031421E-3</v>
      </c>
      <c r="O81" s="24"/>
      <c r="P81" s="9"/>
      <c r="Q81" s="24">
        <f>Table25711131525233335373941454951535912141618202224262830323436404244[[#This Row],[CV]]</f>
        <v>8.4416431830381094E-4</v>
      </c>
      <c r="R81" s="9">
        <f>Table25711131525233335373941454951535912141618202224262830323436404244[[#This Row],[CV]]*2.5</f>
        <v>2.1104107957595273E-3</v>
      </c>
      <c r="S81" s="24">
        <f>Table25711131525233335373941454951535912141618202224262830323436404244[[#This Row],[VO2]]</f>
        <v>7.7663117283950612E-4</v>
      </c>
      <c r="T81" s="97"/>
      <c r="U81" s="24"/>
      <c r="V81" s="23" t="s">
        <v>145</v>
      </c>
      <c r="W81" s="104"/>
    </row>
    <row r="82" spans="1:23" ht="17.149999999999999" customHeight="1" x14ac:dyDescent="0.35">
      <c r="A82" s="8" t="s">
        <v>97</v>
      </c>
      <c r="B82" s="9">
        <v>1.0011574074074074E-2</v>
      </c>
      <c r="C82" s="9">
        <v>2.9745370370370373E-3</v>
      </c>
      <c r="D82" s="9">
        <f t="shared" si="47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>
        <f>Table25711131525233335373941454951535912141618202224262830323436404244[[#This Row],[Thresh]]</f>
        <v>8.825354236812569E-4</v>
      </c>
      <c r="N82" s="9">
        <f>Table25711131525233335373941454951535912141618202224262830323436404244[[#This Row],[Thresh]]*2.5</f>
        <v>2.2063385592031421E-3</v>
      </c>
      <c r="O82" s="24"/>
      <c r="P82" s="9"/>
      <c r="Q82" s="24">
        <f>Table25711131525233335373941454951535912141618202224262830323436404244[[#This Row],[CV]]</f>
        <v>8.4416431830381094E-4</v>
      </c>
      <c r="R82" s="9">
        <f>Table25711131525233335373941454951535912141618202224262830323436404244[[#This Row],[CV]]*2.5</f>
        <v>2.1104107957595273E-3</v>
      </c>
      <c r="S82" s="24">
        <f>Table25711131525233335373941454951535912141618202224262830323436404244[[#This Row],[VO2]]</f>
        <v>7.7663117283950612E-4</v>
      </c>
      <c r="T82" s="97"/>
      <c r="U82" s="24"/>
      <c r="V82" s="23" t="s">
        <v>145</v>
      </c>
      <c r="W82" s="104"/>
    </row>
    <row r="83" spans="1:23" ht="17.149999999999999" customHeight="1" x14ac:dyDescent="0.35">
      <c r="A83" s="8" t="s">
        <v>98</v>
      </c>
      <c r="B83" s="9">
        <v>1.0243055555555556E-2</v>
      </c>
      <c r="C83" s="9">
        <v>3.0092592592592588E-3</v>
      </c>
      <c r="D83" s="9">
        <f t="shared" si="47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>
        <f>Table25711131525233335373941454951535912141618202224262830323436404244[[#This Row],[Thresh]]</f>
        <v>9.0294086700336686E-4</v>
      </c>
      <c r="N83" s="9">
        <f>Table25711131525233335373941454951535912141618202224262830323436404244[[#This Row],[Thresh]]*2.5</f>
        <v>2.2573521675084171E-3</v>
      </c>
      <c r="O83" s="24">
        <f>Table25711131525233335373941454951535912141618202224262830323436404244[[#This Row],[I]]</f>
        <v>8.1944444444444447E-4</v>
      </c>
      <c r="P83" s="9">
        <f>Table25711131525233335373941454951535912141618202224262830323436404244[[#This Row],[I]]*2</f>
        <v>1.6388888888888889E-3</v>
      </c>
      <c r="Q83" s="24"/>
      <c r="R83" s="9"/>
      <c r="S83" s="24"/>
      <c r="T83" s="97"/>
      <c r="U83" s="100"/>
      <c r="V83" s="23" t="s">
        <v>48</v>
      </c>
      <c r="W83" s="104"/>
    </row>
    <row r="84" spans="1:23" ht="17.149999999999999" customHeight="1" x14ac:dyDescent="0.35">
      <c r="A84" s="8" t="s">
        <v>100</v>
      </c>
      <c r="B84" s="9">
        <v>1.0243055555555556E-2</v>
      </c>
      <c r="C84" s="9">
        <v>2.9745370370370373E-3</v>
      </c>
      <c r="D84" s="9">
        <f t="shared" si="47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>
        <f>Table25711131525233335373941454951535912141618202224262830323436404244[[#This Row],[Thresh]]</f>
        <v>9.0294086700336686E-4</v>
      </c>
      <c r="N84" s="9">
        <f>Table25711131525233335373941454951535912141618202224262830323436404244[[#This Row],[Thresh]]*2.5</f>
        <v>2.2573521675084171E-3</v>
      </c>
      <c r="O84" s="24">
        <f>Table25711131525233335373941454951535912141618202224262830323436404244[[#This Row],[I]]</f>
        <v>8.1944444444444447E-4</v>
      </c>
      <c r="P84" s="9">
        <f>Table25711131525233335373941454951535912141618202224262830323436404244[[#This Row],[I]]*2</f>
        <v>1.6388888888888889E-3</v>
      </c>
      <c r="Q84" s="24"/>
      <c r="R84" s="9"/>
      <c r="S84" s="24"/>
      <c r="T84" s="97"/>
      <c r="U84" s="24"/>
      <c r="V84" s="23" t="s">
        <v>48</v>
      </c>
      <c r="W84" s="104"/>
    </row>
    <row r="85" spans="1:23" ht="17.149999999999999" customHeight="1" x14ac:dyDescent="0.35">
      <c r="A85" s="8" t="s">
        <v>101</v>
      </c>
      <c r="B85" s="9">
        <v>1.0243055555555556E-2</v>
      </c>
      <c r="C85" s="9">
        <v>3.0671296296296297E-3</v>
      </c>
      <c r="D85" s="9">
        <f t="shared" si="47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>
        <f>Table25711131525233335373941454951535912141618202224262830323436404244[[#This Row],[Thresh]]</f>
        <v>9.0294086700336686E-4</v>
      </c>
      <c r="N85" s="9">
        <f>Table25711131525233335373941454951535912141618202224262830323436404244[[#This Row],[Thresh]]*2.5</f>
        <v>2.2573521675084171E-3</v>
      </c>
      <c r="O85" s="24">
        <f>Table25711131525233335373941454951535912141618202224262830323436404244[[#This Row],[I]]</f>
        <v>8.1944444444444447E-4</v>
      </c>
      <c r="P85" s="9">
        <f>Table25711131525233335373941454951535912141618202224262830323436404244[[#This Row],[I]]*2</f>
        <v>1.6388888888888889E-3</v>
      </c>
      <c r="Q85" s="24"/>
      <c r="R85" s="9"/>
      <c r="S85" s="24"/>
      <c r="T85" s="97"/>
      <c r="U85" s="24"/>
      <c r="V85" s="23" t="s">
        <v>48</v>
      </c>
      <c r="W85" s="104" t="s">
        <v>149</v>
      </c>
    </row>
    <row r="86" spans="1:23" ht="17.149999999999999" customHeight="1" x14ac:dyDescent="0.35">
      <c r="A86" s="8" t="s">
        <v>103</v>
      </c>
      <c r="B86" s="9">
        <v>1.064814814814815E-2</v>
      </c>
      <c r="C86" s="9">
        <v>3.0671296296296297E-3</v>
      </c>
      <c r="D86" s="9">
        <f t="shared" si="47"/>
        <v>6.1950925925925932E-3</v>
      </c>
      <c r="E86" s="10">
        <v>0.58179999999999998</v>
      </c>
      <c r="F86" s="9">
        <f t="shared" si="48"/>
        <v>7.6678240740740743E-4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>
        <f>Table25711131525233335373941454951535912141618202224262830323436404244[[#This Row],[Thresh]]</f>
        <v>9.3865039281705955E-4</v>
      </c>
      <c r="N86" s="9">
        <f>Table25711131525233335373941454951535912141618202224262830323436404244[[#This Row],[Thresh]]*2.5</f>
        <v>2.3466259820426488E-3</v>
      </c>
      <c r="O86" s="24">
        <f>Table25711131525233335373941454951535912141618202224262830323436404244[[#This Row],[I]]</f>
        <v>8.5185185185185201E-4</v>
      </c>
      <c r="P86" s="9">
        <f>Table25711131525233335373941454951535912141618202224262830323436404244[[#This Row],[I]]*2</f>
        <v>1.703703703703704E-3</v>
      </c>
      <c r="Q86" s="24"/>
      <c r="R86" s="9"/>
      <c r="S86" s="9"/>
      <c r="T86" s="24"/>
      <c r="V86" s="23" t="s">
        <v>48</v>
      </c>
      <c r="W86" s="104"/>
    </row>
    <row r="87" spans="1:23" ht="17.149999999999999" customHeight="1" x14ac:dyDescent="0.35">
      <c r="A87" s="8" t="s">
        <v>104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>
        <f>Table25711131525233335373941454951535912141618202224262830323436404244[[#This Row],[Thresh]]</f>
        <v>9.3865039281705955E-4</v>
      </c>
      <c r="N87" s="9">
        <f>Table25711131525233335373941454951535912141618202224262830323436404244[[#This Row],[Thresh]]*2.5</f>
        <v>2.3466259820426488E-3</v>
      </c>
      <c r="O87" s="24">
        <f>Table25711131525233335373941454951535912141618202224262830323436404244[[#This Row],[I]]</f>
        <v>8.5185185185185201E-4</v>
      </c>
      <c r="P87" s="9">
        <f>Table25711131525233335373941454951535912141618202224262830323436404244[[#This Row],[I]]*2</f>
        <v>1.703703703703704E-3</v>
      </c>
      <c r="Q87" s="24"/>
      <c r="R87" s="9"/>
      <c r="S87" s="9"/>
      <c r="T87" s="24"/>
      <c r="U87" s="24"/>
      <c r="V87" s="23" t="s">
        <v>48</v>
      </c>
      <c r="W87" s="104"/>
    </row>
    <row r="88" spans="1:23" ht="17.149999999999999" customHeight="1" x14ac:dyDescent="0.35">
      <c r="A88" s="8" t="s">
        <v>105</v>
      </c>
      <c r="B88" s="9">
        <v>1.064814814814815E-2</v>
      </c>
      <c r="C88" s="9">
        <v>3.1249999999999997E-3</v>
      </c>
      <c r="D88" s="9">
        <f t="shared" si="47"/>
        <v>6.1950925925925932E-3</v>
      </c>
      <c r="E88" s="10">
        <v>0.58179999999999998</v>
      </c>
      <c r="F88" s="9">
        <f t="shared" si="48"/>
        <v>7.8124999999999993E-4</v>
      </c>
      <c r="G88" s="9">
        <f t="shared" si="49"/>
        <v>8.2601234567901242E-4</v>
      </c>
      <c r="H88" s="9">
        <f t="shared" si="50"/>
        <v>8.5185185185185201E-4</v>
      </c>
      <c r="I88" s="9">
        <f t="shared" si="51"/>
        <v>8.8818531793442195E-4</v>
      </c>
      <c r="J88" s="9">
        <f t="shared" si="52"/>
        <v>8.9783950617283953E-4</v>
      </c>
      <c r="K88" s="9">
        <f t="shared" si="53"/>
        <v>9.3865039281705955E-4</v>
      </c>
      <c r="L88" s="9">
        <f t="shared" si="54"/>
        <v>9.8334803057025292E-4</v>
      </c>
      <c r="M88" s="11">
        <f>Table25711131525233335373941454951535912141618202224262830323436404244[[#This Row],[Thresh]]</f>
        <v>9.3865039281705955E-4</v>
      </c>
      <c r="N88" s="9">
        <f>Table25711131525233335373941454951535912141618202224262830323436404244[[#This Row],[Thresh]]*2.5</f>
        <v>2.3466259820426488E-3</v>
      </c>
      <c r="O88" s="24">
        <f>Table25711131525233335373941454951535912141618202224262830323436404244[[#This Row],[I]]</f>
        <v>8.5185185185185201E-4</v>
      </c>
      <c r="P88" s="9">
        <f>Table25711131525233335373941454951535912141618202224262830323436404244[[#This Row],[I]]*2</f>
        <v>1.703703703703704E-3</v>
      </c>
      <c r="Q88" s="24"/>
      <c r="R88" s="9"/>
      <c r="S88" s="9"/>
      <c r="T88" s="24"/>
      <c r="V88" s="23" t="s">
        <v>48</v>
      </c>
      <c r="W88" s="104"/>
    </row>
    <row r="89" spans="1:23" ht="17.149999999999999" customHeight="1" x14ac:dyDescent="0.35">
      <c r="A89" s="8" t="s">
        <v>106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>
        <f>Table25711131525233335373941454951535912141618202224262830323436404244[[#This Row],[Thresh]]</f>
        <v>9.4885311447811464E-4</v>
      </c>
      <c r="N89" s="9">
        <f>Table25711131525233335373941454951535912141618202224262830323436404244[[#This Row],[Thresh]]*2.5</f>
        <v>2.3721327861952867E-3</v>
      </c>
      <c r="O89" s="24">
        <f>Table25711131525233335373941454951535912141618202224262830323436404244[[#This Row],[I]]</f>
        <v>8.6111111111111121E-4</v>
      </c>
      <c r="P89" s="9">
        <f>Table25711131525233335373941454951535912141618202224262830323436404244[[#This Row],[I]]*2</f>
        <v>1.7222222222222224E-3</v>
      </c>
      <c r="Q89" s="24"/>
      <c r="R89" s="9"/>
      <c r="S89" s="9"/>
      <c r="T89" s="24"/>
      <c r="V89" s="23" t="s">
        <v>48</v>
      </c>
      <c r="W89" s="104"/>
    </row>
    <row r="90" spans="1:23" ht="17.149999999999999" customHeight="1" x14ac:dyDescent="0.35">
      <c r="A90" s="8" t="s">
        <v>107</v>
      </c>
      <c r="B90" s="9">
        <v>1.0763888888888891E-2</v>
      </c>
      <c r="C90" s="9">
        <v>3.1249999999999997E-3</v>
      </c>
      <c r="D90" s="9">
        <f t="shared" si="47"/>
        <v>6.2624305555555567E-3</v>
      </c>
      <c r="E90" s="10">
        <v>0.58179999999999998</v>
      </c>
      <c r="F90" s="9">
        <f t="shared" si="48"/>
        <v>7.8124999999999993E-4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>
        <f>Table25711131525233335373941454951535912141618202224262830323436404244[[#This Row],[Thresh]]</f>
        <v>9.4885311447811464E-4</v>
      </c>
      <c r="N90" s="9">
        <f>Table25711131525233335373941454951535912141618202224262830323436404244[[#This Row],[Thresh]]*2.5</f>
        <v>2.3721327861952867E-3</v>
      </c>
      <c r="O90" s="24">
        <f>Table25711131525233335373941454951535912141618202224262830323436404244[[#This Row],[I]]</f>
        <v>8.6111111111111121E-4</v>
      </c>
      <c r="P90" s="9">
        <f>Table25711131525233335373941454951535912141618202224262830323436404244[[#This Row],[I]]*2</f>
        <v>1.7222222222222224E-3</v>
      </c>
      <c r="Q90" s="24"/>
      <c r="R90" s="9"/>
      <c r="S90" s="9"/>
      <c r="T90" s="24"/>
      <c r="V90" s="23" t="s">
        <v>48</v>
      </c>
      <c r="W90" s="104"/>
    </row>
    <row r="91" spans="1:23" ht="17.149999999999999" customHeight="1" x14ac:dyDescent="0.35">
      <c r="A91" s="8" t="s">
        <v>108</v>
      </c>
      <c r="B91" s="9">
        <v>1.0763888888888891E-2</v>
      </c>
      <c r="C91" s="9">
        <v>3.1828703703703702E-3</v>
      </c>
      <c r="D91" s="9">
        <f t="shared" si="47"/>
        <v>6.2624305555555567E-3</v>
      </c>
      <c r="E91" s="10">
        <v>0.58179999999999998</v>
      </c>
      <c r="F91" s="9">
        <f t="shared" si="48"/>
        <v>7.9571759259259255E-4</v>
      </c>
      <c r="G91" s="9">
        <f t="shared" si="49"/>
        <v>8.3499074074074085E-4</v>
      </c>
      <c r="H91" s="9">
        <f t="shared" si="50"/>
        <v>8.6111111111111121E-4</v>
      </c>
      <c r="I91" s="9">
        <f t="shared" si="51"/>
        <v>8.9783950617283953E-4</v>
      </c>
      <c r="J91" s="9">
        <f t="shared" si="52"/>
        <v>9.0759863123993567E-4</v>
      </c>
      <c r="K91" s="9">
        <f t="shared" si="53"/>
        <v>9.4885311447811464E-4</v>
      </c>
      <c r="L91" s="9">
        <f t="shared" si="54"/>
        <v>9.9403659611992969E-4</v>
      </c>
      <c r="M91" s="11">
        <f>Table25711131525233335373941454951535912141618202224262830323436404244[[#This Row],[Thresh]]</f>
        <v>9.4885311447811464E-4</v>
      </c>
      <c r="N91" s="9">
        <f>Table25711131525233335373941454951535912141618202224262830323436404244[[#This Row],[Thresh]]*2.5</f>
        <v>2.3721327861952867E-3</v>
      </c>
      <c r="O91" s="24">
        <f>Table25711131525233335373941454951535912141618202224262830323436404244[[#This Row],[I]]</f>
        <v>8.6111111111111121E-4</v>
      </c>
      <c r="P91" s="9">
        <f>Table25711131525233335373941454951535912141618202224262830323436404244[[#This Row],[I]]*2</f>
        <v>1.7222222222222224E-3</v>
      </c>
      <c r="Q91" s="24"/>
      <c r="R91" s="9"/>
      <c r="S91" s="9"/>
      <c r="T91" s="24"/>
      <c r="U91" s="24"/>
      <c r="V91" s="23" t="s">
        <v>48</v>
      </c>
      <c r="W91" s="104"/>
    </row>
    <row r="92" spans="1:23" ht="17.149999999999999" customHeight="1" x14ac:dyDescent="0.35">
      <c r="A92" s="8" t="s">
        <v>94</v>
      </c>
      <c r="B92" s="9">
        <v>1.1574074074074073E-2</v>
      </c>
      <c r="C92" s="9">
        <v>3.414351851851852E-3</v>
      </c>
      <c r="D92" s="9">
        <f t="shared" si="47"/>
        <v>6.7337962962962959E-3</v>
      </c>
      <c r="E92" s="10">
        <v>0.58179999999999998</v>
      </c>
      <c r="F92" s="9">
        <f t="shared" si="48"/>
        <v>8.53587962962963E-4</v>
      </c>
      <c r="G92" s="9">
        <f t="shared" si="49"/>
        <v>8.9783950617283942E-4</v>
      </c>
      <c r="H92" s="9">
        <f t="shared" si="50"/>
        <v>9.2592592592592585E-4</v>
      </c>
      <c r="I92" s="9">
        <f t="shared" si="51"/>
        <v>9.6541882384176272E-4</v>
      </c>
      <c r="J92" s="9">
        <f t="shared" si="52"/>
        <v>9.7591250670960798E-4</v>
      </c>
      <c r="K92" s="9">
        <f t="shared" si="53"/>
        <v>1.0202721661054994E-3</v>
      </c>
      <c r="L92" s="9">
        <f t="shared" si="54"/>
        <v>1.068856554967666E-3</v>
      </c>
      <c r="M92" s="11">
        <f>Table25711131525233335373941454951535912141618202224262830323436404244[[#This Row],[Thresh]]</f>
        <v>1.0202721661054994E-3</v>
      </c>
      <c r="N92" s="9">
        <f>Table25711131525233335373941454951535912141618202224262830323436404244[[#This Row],[Thresh]]*2</f>
        <v>2.0405443322109988E-3</v>
      </c>
      <c r="O92" s="24"/>
      <c r="P92" s="9"/>
      <c r="Q92" s="24">
        <f>Table25711131525233335373941454951535912141618202224262830323436404244[[#This Row],[CV]]</f>
        <v>9.7591250670960798E-4</v>
      </c>
      <c r="R92" s="9">
        <f>Table25711131525233335373941454951535912141618202224262830323436404244[[#This Row],[CV]]*2</f>
        <v>1.951825013419216E-3</v>
      </c>
      <c r="S92" s="24">
        <f>Table25711131525233335373941454951535912141618202224262830323436404244[[#This Row],[VO2]]</f>
        <v>8.9783950617283942E-4</v>
      </c>
      <c r="U92" t="s">
        <v>153</v>
      </c>
      <c r="V92" s="23" t="s">
        <v>145</v>
      </c>
      <c r="W92" s="104"/>
    </row>
    <row r="93" spans="1:23" ht="17.149999999999999" customHeight="1" x14ac:dyDescent="0.35">
      <c r="A93" s="8" t="s">
        <v>115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53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5" t="s">
        <v>150</v>
      </c>
    </row>
    <row r="95" spans="1:23" ht="17.149999999999999" customHeight="1" x14ac:dyDescent="0.35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thickBot="1" x14ac:dyDescent="0.4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A6CF-9375-4BE9-916E-7C624375AF0B}">
  <sheetPr>
    <pageSetUpPr fitToPage="1"/>
  </sheetPr>
  <dimension ref="A1:W99"/>
  <sheetViews>
    <sheetView topLeftCell="A47" workbookViewId="0">
      <selection activeCell="R12" sqref="R1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5" max="25" width="12.1796875" bestFit="1" customWidth="1"/>
  </cols>
  <sheetData>
    <row r="1" spans="1:23" ht="14.5" customHeight="1" x14ac:dyDescent="0.35">
      <c r="A1" s="14" t="s">
        <v>154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133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155</v>
      </c>
    </row>
    <row r="2" spans="1:23" ht="17.149999999999999" customHeight="1" x14ac:dyDescent="0.35">
      <c r="A2" s="8" t="s">
        <v>36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9" si="0">C2/4</f>
        <v>9.4039351851851847E-4</v>
      </c>
      <c r="G2" s="9">
        <f t="shared" ref="G2:G9" si="1">D2/7.5</f>
        <v>1.0100694444444445E-3</v>
      </c>
      <c r="H2" s="9">
        <f t="shared" ref="H2:H9" si="2">B2/12.5</f>
        <v>1.0416666666666667E-3</v>
      </c>
      <c r="I2" s="9">
        <f t="shared" ref="I2:I9" si="3">G2/0.93</f>
        <v>1.0860961768219832E-3</v>
      </c>
      <c r="J2" s="9">
        <f t="shared" ref="J2:J9" si="4">G2/0.92</f>
        <v>1.0979015700483092E-3</v>
      </c>
      <c r="K2" s="9">
        <f t="shared" ref="K2:K9" si="5">G2/0.88</f>
        <v>1.1478061868686869E-3</v>
      </c>
      <c r="L2" s="9">
        <f t="shared" ref="L2:L9" si="6">G2/0.84</f>
        <v>1.2024636243386244E-3</v>
      </c>
      <c r="M2" s="11">
        <f>Table146101214242232343638404448505248111315171921232527293133353941[[#This Row],[Thresh]]</f>
        <v>1.1478061868686869E-3</v>
      </c>
      <c r="N2" s="9">
        <f>Table146101214242232343638404448505248111315171921232527293133353941[[#This Row],[Thresh]]*2.5</f>
        <v>2.8695154671717171E-3</v>
      </c>
      <c r="O2" s="12">
        <f>Table146101214242232343638404448505248111315171921232527293133353941[[#This Row],[R]]/2</f>
        <v>4.7019675925925923E-4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/>
      <c r="B3" s="9"/>
      <c r="C3" s="9"/>
      <c r="D3" s="9"/>
      <c r="E3" s="10"/>
      <c r="F3" s="9">
        <f t="shared" si="0"/>
        <v>0</v>
      </c>
      <c r="G3" s="9">
        <f t="shared" si="1"/>
        <v>0</v>
      </c>
      <c r="H3" s="9">
        <f t="shared" si="2"/>
        <v>0</v>
      </c>
      <c r="I3" s="9">
        <f t="shared" si="3"/>
        <v>0</v>
      </c>
      <c r="J3" s="9">
        <f t="shared" si="4"/>
        <v>0</v>
      </c>
      <c r="K3" s="9">
        <f t="shared" si="5"/>
        <v>0</v>
      </c>
      <c r="L3" s="9">
        <f t="shared" si="6"/>
        <v>0</v>
      </c>
      <c r="M3" s="11"/>
      <c r="N3" s="9"/>
      <c r="O3" s="12"/>
      <c r="P3" s="9"/>
      <c r="Q3" s="12"/>
      <c r="R3" s="9"/>
      <c r="S3" s="12"/>
      <c r="T3" s="9"/>
      <c r="U3" s="9"/>
      <c r="V3" s="13"/>
      <c r="W3" s="108"/>
    </row>
    <row r="4" spans="1:23" ht="17.149999999999999" customHeight="1" x14ac:dyDescent="0.35">
      <c r="A4" s="14"/>
      <c r="B4" s="15"/>
      <c r="C4" s="15"/>
      <c r="D4" s="15"/>
      <c r="E4" s="16"/>
      <c r="F4" s="15">
        <f t="shared" si="0"/>
        <v>0</v>
      </c>
      <c r="G4" s="15">
        <f t="shared" si="1"/>
        <v>0</v>
      </c>
      <c r="H4" s="15">
        <f t="shared" si="2"/>
        <v>0</v>
      </c>
      <c r="I4" s="15">
        <f t="shared" si="3"/>
        <v>0</v>
      </c>
      <c r="J4" s="15">
        <f t="shared" si="4"/>
        <v>0</v>
      </c>
      <c r="K4" s="15">
        <f t="shared" si="5"/>
        <v>0</v>
      </c>
      <c r="L4" s="15">
        <f t="shared" si="6"/>
        <v>0</v>
      </c>
      <c r="M4" s="30" t="s">
        <v>12</v>
      </c>
      <c r="N4" s="15" t="s">
        <v>58</v>
      </c>
      <c r="O4" s="15" t="s">
        <v>136</v>
      </c>
      <c r="P4" s="15" t="s">
        <v>137</v>
      </c>
      <c r="Q4" s="15" t="s">
        <v>27</v>
      </c>
      <c r="R4" s="101" t="s">
        <v>156</v>
      </c>
      <c r="S4" s="15"/>
      <c r="T4" s="15"/>
      <c r="U4" s="15"/>
      <c r="V4" s="17"/>
      <c r="W4" s="108"/>
    </row>
    <row r="5" spans="1:23" ht="17.149999999999999" customHeight="1" x14ac:dyDescent="0.35">
      <c r="A5" s="8" t="s">
        <v>28</v>
      </c>
      <c r="B5" s="9">
        <v>1.1689814814814814E-2</v>
      </c>
      <c r="C5" s="9">
        <v>3.3564814814814811E-3</v>
      </c>
      <c r="D5" s="9">
        <f t="shared" ref="D5:D9" si="7">B5*E5</f>
        <v>6.8011342592592585E-3</v>
      </c>
      <c r="E5" s="10">
        <v>0.58179999999999998</v>
      </c>
      <c r="F5" s="9">
        <f t="shared" si="0"/>
        <v>8.3912037037037028E-4</v>
      </c>
      <c r="G5" s="9">
        <f t="shared" si="1"/>
        <v>9.0681790123456785E-4</v>
      </c>
      <c r="H5" s="9">
        <f t="shared" si="2"/>
        <v>9.3518518518518516E-4</v>
      </c>
      <c r="I5" s="9">
        <f t="shared" si="3"/>
        <v>9.7507301208018041E-4</v>
      </c>
      <c r="J5" s="9">
        <f t="shared" si="4"/>
        <v>9.8567163177670412E-4</v>
      </c>
      <c r="K5" s="9">
        <f t="shared" si="5"/>
        <v>1.0304748877665545E-3</v>
      </c>
      <c r="L5" s="9">
        <f t="shared" si="6"/>
        <v>1.0795451205173427E-3</v>
      </c>
      <c r="M5" s="11">
        <f>Table146101214242232343638404448505248111315171921232527293133353941[[#This Row],[Thresh]]</f>
        <v>1.0304748877665545E-3</v>
      </c>
      <c r="N5" s="9">
        <f>Table146101214242232343638404448505248111315171921232527293133353941[[#This Row],[Thresh]]*2.5</f>
        <v>2.5761872194163863E-3</v>
      </c>
      <c r="O5" s="12"/>
      <c r="P5" s="9"/>
      <c r="Q5" s="12">
        <f>Table146101214242232343638404448505248111315171921232527293133353941[[#This Row],[R]]</f>
        <v>8.3912037037037028E-4</v>
      </c>
      <c r="R5" s="9">
        <f>Table146101214242232343638404448505248111315171921232527293133353941[[#This Row],[R]]/2-(2*0.0000115741)</f>
        <v>3.9641198518518516E-4</v>
      </c>
      <c r="S5" s="12"/>
      <c r="T5" s="12"/>
      <c r="U5" s="9"/>
      <c r="V5" s="13" t="s">
        <v>134</v>
      </c>
      <c r="W5" s="108"/>
    </row>
    <row r="6" spans="1:23" ht="17.149999999999999" customHeight="1" x14ac:dyDescent="0.35">
      <c r="A6" s="8" t="s">
        <v>31</v>
      </c>
      <c r="B6" s="9">
        <v>1.1689814814814814E-2</v>
      </c>
      <c r="C6" s="9">
        <v>3.3564814814814811E-3</v>
      </c>
      <c r="D6" s="9">
        <f t="shared" si="7"/>
        <v>6.8011342592592585E-3</v>
      </c>
      <c r="E6" s="10">
        <v>0.58179999999999998</v>
      </c>
      <c r="F6" s="9">
        <f t="shared" si="0"/>
        <v>8.3912037037037028E-4</v>
      </c>
      <c r="G6" s="9">
        <f t="shared" si="1"/>
        <v>9.0681790123456785E-4</v>
      </c>
      <c r="H6" s="9">
        <f t="shared" si="2"/>
        <v>9.3518518518518516E-4</v>
      </c>
      <c r="I6" s="9">
        <f t="shared" si="3"/>
        <v>9.7507301208018041E-4</v>
      </c>
      <c r="J6" s="9">
        <f t="shared" si="4"/>
        <v>9.8567163177670412E-4</v>
      </c>
      <c r="K6" s="9">
        <f t="shared" si="5"/>
        <v>1.0304748877665545E-3</v>
      </c>
      <c r="L6" s="9">
        <f t="shared" si="6"/>
        <v>1.0795451205173427E-3</v>
      </c>
      <c r="M6" s="11">
        <f>Table146101214242232343638404448505248111315171921232527293133353941[[#This Row],[Thresh]]</f>
        <v>1.0304748877665545E-3</v>
      </c>
      <c r="N6" s="9">
        <f>Table146101214242232343638404448505248111315171921232527293133353941[[#This Row],[Thresh]]*2.5</f>
        <v>2.5761872194163863E-3</v>
      </c>
      <c r="O6" s="12"/>
      <c r="P6" s="9"/>
      <c r="Q6" s="12">
        <f>Table146101214242232343638404448505248111315171921232527293133353941[[#This Row],[R]]</f>
        <v>8.3912037037037028E-4</v>
      </c>
      <c r="R6" s="9">
        <f>Table146101214242232343638404448505248111315171921232527293133353941[[#This Row],[R]]/2-(2*0.0000115741)</f>
        <v>3.9641198518518516E-4</v>
      </c>
      <c r="S6" s="12"/>
      <c r="T6" s="9"/>
      <c r="U6" s="9"/>
      <c r="V6" s="13" t="s">
        <v>134</v>
      </c>
      <c r="W6" s="108"/>
    </row>
    <row r="7" spans="1:23" ht="17.149999999999999" customHeight="1" x14ac:dyDescent="0.35">
      <c r="A7" s="8" t="s">
        <v>39</v>
      </c>
      <c r="B7" s="9">
        <v>1.3020833333333334E-2</v>
      </c>
      <c r="C7" s="9">
        <v>3.8194444444444443E-3</v>
      </c>
      <c r="D7" s="9">
        <f t="shared" si="7"/>
        <v>7.5755208333333334E-3</v>
      </c>
      <c r="E7" s="10">
        <v>0.58179999999999998</v>
      </c>
      <c r="F7" s="9">
        <f t="shared" si="0"/>
        <v>9.5486111111111108E-4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>
        <f>Table146101214242232343638404448505248111315171921232527293133353941[[#This Row],[Thresh]]</f>
        <v>1.1478061868686869E-3</v>
      </c>
      <c r="N7" s="9">
        <f>Table146101214242232343638404448505248111315171921232527293133353941[[#This Row],[Thresh]]*2.5</f>
        <v>2.8695154671717171E-3</v>
      </c>
      <c r="O7" s="12">
        <f>Table146101214242232343638404448505248111315171921232527293133353941[[#This Row],[CV]]</f>
        <v>1.0979015700483092E-3</v>
      </c>
      <c r="P7" s="9">
        <f>Table146101214242232343638404448505248111315171921232527293133353941[[#This Row],[CV]]*1.5</f>
        <v>1.6468523550724639E-3</v>
      </c>
      <c r="Q7" s="12"/>
      <c r="R7" s="9"/>
      <c r="S7" s="12"/>
      <c r="T7" s="9"/>
      <c r="U7" s="9"/>
      <c r="V7" s="13" t="s">
        <v>30</v>
      </c>
      <c r="W7" s="108"/>
    </row>
    <row r="8" spans="1:23" ht="17.149999999999999" customHeight="1" x14ac:dyDescent="0.35">
      <c r="A8" s="8" t="s">
        <v>42</v>
      </c>
      <c r="B8" s="9">
        <v>1.4236111111111111E-2</v>
      </c>
      <c r="C8" s="9">
        <v>4.0509259259259257E-3</v>
      </c>
      <c r="D8" s="9">
        <f t="shared" si="7"/>
        <v>8.2825694444444448E-3</v>
      </c>
      <c r="E8" s="10">
        <v>0.58179999999999998</v>
      </c>
      <c r="F8" s="9">
        <f t="shared" si="0"/>
        <v>1.0127314814814814E-3</v>
      </c>
      <c r="G8" s="9">
        <f t="shared" si="1"/>
        <v>1.1043425925925927E-3</v>
      </c>
      <c r="H8" s="9">
        <f t="shared" si="2"/>
        <v>1.1388888888888889E-3</v>
      </c>
      <c r="I8" s="9">
        <f t="shared" si="3"/>
        <v>1.1874651533253684E-3</v>
      </c>
      <c r="J8" s="9">
        <f t="shared" si="4"/>
        <v>1.2003723832528181E-3</v>
      </c>
      <c r="K8" s="9">
        <f t="shared" si="5"/>
        <v>1.2549347643097644E-3</v>
      </c>
      <c r="L8" s="9">
        <f t="shared" si="6"/>
        <v>1.3146935626102295E-3</v>
      </c>
      <c r="M8" s="11">
        <f>Table146101214242232343638404448505248111315171921232527293133353941[[#This Row],[Thresh]]</f>
        <v>1.2549347643097644E-3</v>
      </c>
      <c r="N8" s="9">
        <f>Table146101214242232343638404448505248111315171921232527293133353941[[#This Row],[Thresh]]*2.5</f>
        <v>3.1373369107744109E-3</v>
      </c>
      <c r="O8" s="12">
        <f>Table146101214242232343638404448505248111315171921232527293133353941[[#This Row],[CV]]</f>
        <v>1.2003723832528181E-3</v>
      </c>
      <c r="P8" s="9">
        <f>Table146101214242232343638404448505248111315171921232527293133353941[[#This Row],[CV]]*1.5</f>
        <v>1.800558574879227E-3</v>
      </c>
      <c r="Q8" s="12"/>
      <c r="R8" s="9"/>
      <c r="S8" s="12"/>
      <c r="T8" s="9"/>
      <c r="U8" s="9"/>
      <c r="V8" s="13" t="s">
        <v>30</v>
      </c>
      <c r="W8" s="108"/>
    </row>
    <row r="9" spans="1:23" ht="17.149999999999999" customHeight="1" x14ac:dyDescent="0.35">
      <c r="A9" s="8" t="s">
        <v>44</v>
      </c>
      <c r="B9" s="9">
        <v>1.4236111111111111E-2</v>
      </c>
      <c r="C9" s="9">
        <v>4.1666666666666666E-3</v>
      </c>
      <c r="D9" s="9">
        <f t="shared" si="7"/>
        <v>8.2825694444444448E-3</v>
      </c>
      <c r="E9" s="10">
        <v>0.58179999999999998</v>
      </c>
      <c r="F9" s="9">
        <f t="shared" si="0"/>
        <v>1.0416666666666667E-3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>
        <f>Table146101214242232343638404448505248111315171921232527293133353941[[#This Row],[Thresh]]</f>
        <v>1.2549347643097644E-3</v>
      </c>
      <c r="N9" s="9">
        <f>Table146101214242232343638404448505248111315171921232527293133353941[[#This Row],[Thresh]]*2.5</f>
        <v>3.1373369107744109E-3</v>
      </c>
      <c r="O9" s="12">
        <f>Table146101214242232343638404448505248111315171921232527293133353941[[#This Row],[CV]]</f>
        <v>1.2003723832528181E-3</v>
      </c>
      <c r="P9" s="9">
        <f>Table146101214242232343638404448505248111315171921232527293133353941[[#This Row],[CV]]*1.5</f>
        <v>1.800558574879227E-3</v>
      </c>
      <c r="Q9" s="12"/>
      <c r="R9" s="9"/>
      <c r="S9" s="12"/>
      <c r="T9" s="9"/>
      <c r="U9" s="9"/>
      <c r="V9" s="13" t="s">
        <v>30</v>
      </c>
      <c r="W9" s="108"/>
    </row>
    <row r="10" spans="1:23" ht="17.149999999999999" customHeight="1" x14ac:dyDescent="0.35">
      <c r="A10" s="8"/>
      <c r="B10" s="9"/>
      <c r="C10" s="9"/>
      <c r="D10" s="9"/>
      <c r="E10" s="10"/>
      <c r="F10" s="9"/>
      <c r="G10" s="9"/>
      <c r="H10" s="9"/>
      <c r="I10" s="9"/>
      <c r="J10" s="9"/>
      <c r="K10" s="9"/>
      <c r="L10" s="9"/>
      <c r="M10" s="11"/>
      <c r="N10" s="9"/>
      <c r="O10" s="12"/>
      <c r="P10" s="9"/>
      <c r="Q10" s="12"/>
      <c r="R10" s="9"/>
      <c r="S10" s="12"/>
      <c r="T10" s="9"/>
      <c r="U10" s="9"/>
      <c r="V10" s="13"/>
      <c r="W10" s="104" t="s">
        <v>157</v>
      </c>
    </row>
    <row r="11" spans="1:23" ht="17.149999999999999" customHeight="1" x14ac:dyDescent="0.35">
      <c r="A11" s="14"/>
      <c r="B11" s="15"/>
      <c r="C11" s="15"/>
      <c r="D11" s="15"/>
      <c r="E11" s="16"/>
      <c r="F11" s="15">
        <f t="shared" ref="F11:F19" si="8">C11/4</f>
        <v>0</v>
      </c>
      <c r="G11" s="15">
        <f t="shared" ref="G11:G19" si="9">D11/7.5</f>
        <v>0</v>
      </c>
      <c r="H11" s="15">
        <f t="shared" ref="H11:H19" si="10">B11/12.5</f>
        <v>0</v>
      </c>
      <c r="I11" s="15">
        <f t="shared" ref="I11:I19" si="11">G11/0.93</f>
        <v>0</v>
      </c>
      <c r="J11" s="15">
        <f t="shared" ref="J11:J19" si="12">G11/0.92</f>
        <v>0</v>
      </c>
      <c r="K11" s="15">
        <f t="shared" ref="K11:K19" si="13">G11/0.88</f>
        <v>0</v>
      </c>
      <c r="L11" s="15">
        <f t="shared" ref="L11:L19" si="14">G11/0.84</f>
        <v>0</v>
      </c>
      <c r="M11" s="30"/>
      <c r="N11" s="15"/>
      <c r="O11" s="15"/>
      <c r="P11" s="15"/>
      <c r="Q11" s="15"/>
      <c r="R11" s="15"/>
      <c r="S11" s="15"/>
      <c r="T11" s="15"/>
      <c r="U11" s="15"/>
      <c r="V11" s="17"/>
      <c r="W11" s="104"/>
    </row>
    <row r="12" spans="1:23" ht="17.149999999999999" customHeight="1" x14ac:dyDescent="0.35">
      <c r="A12" s="8" t="s">
        <v>41</v>
      </c>
      <c r="B12" s="9">
        <v>1.3541666666666667E-2</v>
      </c>
      <c r="C12" s="9">
        <v>4.0509259259259257E-3</v>
      </c>
      <c r="D12" s="9">
        <f>B12*E12</f>
        <v>7.8785416666666674E-3</v>
      </c>
      <c r="E12" s="10">
        <v>0.58179999999999998</v>
      </c>
      <c r="F12" s="9">
        <f>C12/4</f>
        <v>1.0127314814814814E-3</v>
      </c>
      <c r="G12" s="9">
        <f>D12/7.5</f>
        <v>1.0504722222222224E-3</v>
      </c>
      <c r="H12" s="9">
        <f>B12/12.5</f>
        <v>1.0833333333333333E-3</v>
      </c>
      <c r="I12" s="9">
        <f>G12/0.93</f>
        <v>1.1295400238948627E-3</v>
      </c>
      <c r="J12" s="9">
        <f>G12/0.92</f>
        <v>1.1418176328502417E-3</v>
      </c>
      <c r="K12" s="9">
        <f>G12/0.88</f>
        <v>1.1937184343434346E-3</v>
      </c>
      <c r="L12" s="9">
        <f>G12/0.84</f>
        <v>1.2505621693121695E-3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34</v>
      </c>
      <c r="W12" s="104"/>
    </row>
    <row r="13" spans="1:23" ht="17.149999999999999" customHeight="1" x14ac:dyDescent="0.35">
      <c r="A13" s="8" t="s">
        <v>37</v>
      </c>
      <c r="B13" s="9">
        <v>1.238425925925926E-2</v>
      </c>
      <c r="C13" s="9">
        <v>3.8194444444444443E-3</v>
      </c>
      <c r="D13" s="9">
        <f t="shared" ref="D13:D19" si="15">B13*E13</f>
        <v>7.2051620370370368E-3</v>
      </c>
      <c r="E13" s="10">
        <v>0.58179999999999998</v>
      </c>
      <c r="F13" s="9">
        <f t="shared" si="8"/>
        <v>9.5486111111111108E-4</v>
      </c>
      <c r="G13" s="9">
        <f t="shared" si="9"/>
        <v>9.6068827160493821E-4</v>
      </c>
      <c r="H13" s="9">
        <f t="shared" si="10"/>
        <v>9.9074074074074082E-4</v>
      </c>
      <c r="I13" s="9">
        <f t="shared" si="11"/>
        <v>1.0329981415106862E-3</v>
      </c>
      <c r="J13" s="9">
        <f t="shared" si="12"/>
        <v>1.0442263821792807E-3</v>
      </c>
      <c r="K13" s="9">
        <f t="shared" si="13"/>
        <v>1.0916912177328843E-3</v>
      </c>
      <c r="L13" s="9">
        <f t="shared" si="14"/>
        <v>1.1436765138154027E-3</v>
      </c>
      <c r="M13" s="11"/>
      <c r="N13" s="9"/>
      <c r="O13" s="12"/>
      <c r="P13" s="9"/>
      <c r="Q13" s="12"/>
      <c r="R13" s="12"/>
      <c r="S13" s="12"/>
      <c r="T13" s="12"/>
      <c r="U13" s="9"/>
      <c r="V13" s="13" t="s">
        <v>34</v>
      </c>
      <c r="W13" s="104"/>
    </row>
    <row r="14" spans="1:23" ht="17.149999999999999" customHeight="1" x14ac:dyDescent="0.35">
      <c r="A14" s="8" t="s">
        <v>43</v>
      </c>
      <c r="B14" s="9">
        <v>1.4236111111111111E-2</v>
      </c>
      <c r="C14" s="9">
        <v>4.0509259259259257E-3</v>
      </c>
      <c r="D14" s="9">
        <f t="shared" si="15"/>
        <v>8.2825694444444448E-3</v>
      </c>
      <c r="E14" s="10">
        <v>0.58179999999999998</v>
      </c>
      <c r="F14" s="9">
        <f t="shared" si="8"/>
        <v>1.0127314814814814E-3</v>
      </c>
      <c r="G14" s="9">
        <f t="shared" si="9"/>
        <v>1.1043425925925927E-3</v>
      </c>
      <c r="H14" s="9">
        <f t="shared" si="10"/>
        <v>1.1388888888888889E-3</v>
      </c>
      <c r="I14" s="9">
        <f t="shared" si="11"/>
        <v>1.1874651533253684E-3</v>
      </c>
      <c r="J14" s="9">
        <f t="shared" si="12"/>
        <v>1.2003723832528181E-3</v>
      </c>
      <c r="K14" s="9">
        <f t="shared" si="13"/>
        <v>1.2549347643097644E-3</v>
      </c>
      <c r="L14" s="9">
        <f t="shared" si="14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34</v>
      </c>
      <c r="W14" s="104"/>
    </row>
    <row r="15" spans="1:23" ht="17.149999999999999" customHeight="1" x14ac:dyDescent="0.35">
      <c r="A15" s="8" t="s">
        <v>38</v>
      </c>
      <c r="B15" s="9">
        <v>1.238425925925926E-2</v>
      </c>
      <c r="C15" s="9">
        <v>3.8194444444444443E-3</v>
      </c>
      <c r="D15" s="9">
        <f t="shared" si="15"/>
        <v>7.2051620370370368E-3</v>
      </c>
      <c r="E15" s="10">
        <v>0.58179999999999998</v>
      </c>
      <c r="F15" s="9">
        <f t="shared" si="8"/>
        <v>9.5486111111111108E-4</v>
      </c>
      <c r="G15" s="9">
        <f t="shared" si="9"/>
        <v>9.6068827160493821E-4</v>
      </c>
      <c r="H15" s="9">
        <f t="shared" si="10"/>
        <v>9.9074074074074082E-4</v>
      </c>
      <c r="I15" s="9">
        <f t="shared" si="11"/>
        <v>1.0329981415106862E-3</v>
      </c>
      <c r="J15" s="9">
        <f t="shared" si="12"/>
        <v>1.0442263821792807E-3</v>
      </c>
      <c r="K15" s="9">
        <f t="shared" si="13"/>
        <v>1.0916912177328843E-3</v>
      </c>
      <c r="L15" s="9">
        <f t="shared" si="14"/>
        <v>1.1436765138154027E-3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34</v>
      </c>
      <c r="W15" s="104"/>
    </row>
    <row r="16" spans="1:23" ht="17.149999999999999" customHeight="1" x14ac:dyDescent="0.35">
      <c r="A16" s="8" t="s">
        <v>50</v>
      </c>
      <c r="B16" s="9">
        <v>1.2499999999999999E-2</v>
      </c>
      <c r="C16" s="9">
        <v>3.9351851851851857E-3</v>
      </c>
      <c r="D16" s="9">
        <f t="shared" si="15"/>
        <v>7.2724999999999995E-3</v>
      </c>
      <c r="E16" s="10">
        <v>0.58179999999999998</v>
      </c>
      <c r="F16" s="9">
        <f t="shared" si="8"/>
        <v>9.8379629629629642E-4</v>
      </c>
      <c r="G16" s="9">
        <f t="shared" si="9"/>
        <v>9.6966666666666664E-4</v>
      </c>
      <c r="H16" s="9">
        <f t="shared" si="10"/>
        <v>1E-3</v>
      </c>
      <c r="I16" s="9">
        <f t="shared" si="11"/>
        <v>1.0426523297491039E-3</v>
      </c>
      <c r="J16" s="9">
        <f t="shared" si="12"/>
        <v>1.0539855072463768E-3</v>
      </c>
      <c r="K16" s="9">
        <f t="shared" si="13"/>
        <v>1.1018939393939394E-3</v>
      </c>
      <c r="L16" s="9">
        <f t="shared" si="14"/>
        <v>1.1543650793650795E-3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104"/>
    </row>
    <row r="17" spans="1:23" ht="17.149999999999999" customHeight="1" x14ac:dyDescent="0.35">
      <c r="A17" s="8" t="s">
        <v>40</v>
      </c>
      <c r="B17" s="9">
        <v>1.3020833333333334E-2</v>
      </c>
      <c r="C17" s="9">
        <v>3.8194444444444443E-3</v>
      </c>
      <c r="D17" s="9">
        <f t="shared" si="15"/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34</v>
      </c>
      <c r="W17" s="104"/>
    </row>
    <row r="18" spans="1:23" ht="17.149999999999999" customHeight="1" x14ac:dyDescent="0.35">
      <c r="A18" s="8" t="s">
        <v>33</v>
      </c>
      <c r="B18" s="9">
        <v>1.238425925925926E-2</v>
      </c>
      <c r="C18" s="9">
        <v>3.645833333333333E-3</v>
      </c>
      <c r="D18" s="9">
        <f t="shared" si="15"/>
        <v>7.2051620370370368E-3</v>
      </c>
      <c r="E18" s="10">
        <v>0.58179999999999998</v>
      </c>
      <c r="F18" s="9">
        <f t="shared" si="8"/>
        <v>9.1145833333333324E-4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12"/>
      <c r="S18" s="12"/>
      <c r="T18" s="12"/>
      <c r="U18" s="9"/>
      <c r="V18" s="13" t="s">
        <v>48</v>
      </c>
      <c r="W18" s="104"/>
    </row>
    <row r="19" spans="1:23" ht="17.149999999999999" customHeight="1" x14ac:dyDescent="0.35">
      <c r="A19" s="8" t="s">
        <v>55</v>
      </c>
      <c r="B19" s="9">
        <v>1.1574074074074073E-2</v>
      </c>
      <c r="C19" s="9">
        <v>3.472222222222222E-3</v>
      </c>
      <c r="D19" s="9">
        <f t="shared" si="15"/>
        <v>6.7337962962962959E-3</v>
      </c>
      <c r="E19" s="10">
        <v>0.58179999999999998</v>
      </c>
      <c r="F19" s="9">
        <f t="shared" si="8"/>
        <v>8.6805555555555551E-4</v>
      </c>
      <c r="G19" s="9">
        <f t="shared" si="9"/>
        <v>8.9783950617283942E-4</v>
      </c>
      <c r="H19" s="9">
        <f t="shared" si="10"/>
        <v>9.2592592592592585E-4</v>
      </c>
      <c r="I19" s="9">
        <f t="shared" si="11"/>
        <v>9.6541882384176272E-4</v>
      </c>
      <c r="J19" s="9">
        <f t="shared" si="12"/>
        <v>9.7591250670960798E-4</v>
      </c>
      <c r="K19" s="9">
        <f t="shared" si="13"/>
        <v>1.0202721661054994E-3</v>
      </c>
      <c r="L19" s="9">
        <f t="shared" si="14"/>
        <v>1.068856554967666E-3</v>
      </c>
      <c r="M19" s="11"/>
      <c r="N19" s="9"/>
      <c r="O19" s="12"/>
      <c r="P19" s="9"/>
      <c r="Q19" s="12"/>
      <c r="R19" s="12"/>
      <c r="S19" s="12"/>
      <c r="T19" s="12"/>
      <c r="U19" s="9"/>
      <c r="V19" s="13" t="s">
        <v>158</v>
      </c>
      <c r="W19" s="104" t="s">
        <v>159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 t="shared" ref="F21:F31" si="16">C21/4</f>
        <v>0</v>
      </c>
      <c r="G21" s="15">
        <f t="shared" ref="G21:G31" si="17">D21/7.5</f>
        <v>0</v>
      </c>
      <c r="H21" s="15">
        <f t="shared" ref="H21:H31" si="18">B21/12.5</f>
        <v>0</v>
      </c>
      <c r="I21" s="15">
        <f t="shared" ref="I21:I31" si="19">G21/0.93</f>
        <v>0</v>
      </c>
      <c r="J21" s="15">
        <f t="shared" ref="J21:J31" si="20">G21/0.92</f>
        <v>0</v>
      </c>
      <c r="K21" s="15">
        <f t="shared" ref="K21:K31" si="21">G21/0.88</f>
        <v>0</v>
      </c>
      <c r="L21" s="15">
        <f t="shared" ref="L21:L31" si="22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26</v>
      </c>
      <c r="B22" s="9">
        <v>1.2152777777777778E-2</v>
      </c>
      <c r="C22" s="9">
        <v>3.472222222222222E-3</v>
      </c>
      <c r="D22" s="9">
        <f t="shared" ref="D22:D31" si="23">B22*E22</f>
        <v>7.0704861111111107E-3</v>
      </c>
      <c r="E22" s="10">
        <v>0.58179999999999998</v>
      </c>
      <c r="F22" s="9">
        <f t="shared" si="16"/>
        <v>8.6805555555555551E-4</v>
      </c>
      <c r="G22" s="9">
        <f t="shared" si="17"/>
        <v>9.4273148148148146E-4</v>
      </c>
      <c r="H22" s="9">
        <f t="shared" si="18"/>
        <v>9.7222222222222219E-4</v>
      </c>
      <c r="I22" s="9">
        <f t="shared" si="19"/>
        <v>1.0136897650338511E-3</v>
      </c>
      <c r="J22" s="9">
        <f t="shared" si="20"/>
        <v>1.0247081320450884E-3</v>
      </c>
      <c r="K22" s="9">
        <f t="shared" si="21"/>
        <v>1.0712857744107744E-3</v>
      </c>
      <c r="L22" s="9">
        <f t="shared" si="22"/>
        <v>1.1222993827160494E-3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23</v>
      </c>
      <c r="B23" s="9">
        <v>1.3020833333333334E-2</v>
      </c>
      <c r="C23" s="9">
        <v>3.7037037037037034E-3</v>
      </c>
      <c r="D23" s="9">
        <f t="shared" si="23"/>
        <v>7.5755208333333334E-3</v>
      </c>
      <c r="E23" s="10">
        <v>0.58179999999999998</v>
      </c>
      <c r="F23" s="9">
        <f t="shared" si="16"/>
        <v>9.2592592592592585E-4</v>
      </c>
      <c r="G23" s="9">
        <f t="shared" si="17"/>
        <v>1.0100694444444445E-3</v>
      </c>
      <c r="H23" s="9">
        <f t="shared" si="18"/>
        <v>1.0416666666666667E-3</v>
      </c>
      <c r="I23" s="9">
        <f t="shared" si="19"/>
        <v>1.0860961768219832E-3</v>
      </c>
      <c r="J23" s="9">
        <f t="shared" si="20"/>
        <v>1.0979015700483092E-3</v>
      </c>
      <c r="K23" s="9">
        <f t="shared" si="21"/>
        <v>1.1478061868686869E-3</v>
      </c>
      <c r="L23" s="9">
        <f t="shared" si="22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52</v>
      </c>
      <c r="B24" s="9">
        <v>1.1805555555555555E-2</v>
      </c>
      <c r="C24" s="9">
        <v>3.472222222222222E-3</v>
      </c>
      <c r="D24" s="9">
        <f t="shared" si="23"/>
        <v>6.868472222222222E-3</v>
      </c>
      <c r="E24" s="10">
        <v>0.58179999999999998</v>
      </c>
      <c r="F24" s="9">
        <f t="shared" si="16"/>
        <v>8.6805555555555551E-4</v>
      </c>
      <c r="G24" s="9">
        <f t="shared" si="17"/>
        <v>9.1579629629629628E-4</v>
      </c>
      <c r="H24" s="9">
        <f t="shared" si="18"/>
        <v>9.4444444444444437E-4</v>
      </c>
      <c r="I24" s="9">
        <f t="shared" si="19"/>
        <v>9.8472720031859799E-4</v>
      </c>
      <c r="J24" s="9">
        <f t="shared" si="20"/>
        <v>9.9543075684380036E-4</v>
      </c>
      <c r="K24" s="9">
        <f t="shared" si="21"/>
        <v>1.0406776094276093E-3</v>
      </c>
      <c r="L24" s="9">
        <f t="shared" si="22"/>
        <v>1.0902336860670195E-3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4"/>
    </row>
    <row r="25" spans="1:23" ht="17.149999999999999" customHeight="1" x14ac:dyDescent="0.35">
      <c r="A25" s="8" t="s">
        <v>32</v>
      </c>
      <c r="B25" s="9">
        <v>1.238425925925926E-2</v>
      </c>
      <c r="C25" s="9">
        <v>3.5879629629629629E-3</v>
      </c>
      <c r="D25" s="9">
        <f t="shared" si="23"/>
        <v>7.2051620370370368E-3</v>
      </c>
      <c r="E25" s="10">
        <v>0.58179999999999998</v>
      </c>
      <c r="F25" s="9">
        <f t="shared" si="16"/>
        <v>8.9699074074074073E-4</v>
      </c>
      <c r="G25" s="9">
        <f t="shared" si="17"/>
        <v>9.6068827160493821E-4</v>
      </c>
      <c r="H25" s="9">
        <f t="shared" si="18"/>
        <v>9.9074074074074082E-4</v>
      </c>
      <c r="I25" s="9">
        <f t="shared" si="19"/>
        <v>1.0329981415106862E-3</v>
      </c>
      <c r="J25" s="9">
        <f t="shared" si="20"/>
        <v>1.0442263821792807E-3</v>
      </c>
      <c r="K25" s="9">
        <f t="shared" si="21"/>
        <v>1.0916912177328843E-3</v>
      </c>
      <c r="L25" s="9">
        <f t="shared" si="22"/>
        <v>1.1436765138154027E-3</v>
      </c>
      <c r="M25" s="11"/>
      <c r="N25" s="9"/>
      <c r="O25" s="12"/>
      <c r="P25" s="9"/>
      <c r="Q25" s="12"/>
      <c r="R25" s="9"/>
      <c r="S25" s="12"/>
      <c r="T25" s="12"/>
      <c r="U25" s="9"/>
      <c r="V25" s="13" t="s">
        <v>5</v>
      </c>
      <c r="W25" s="104"/>
    </row>
    <row r="26" spans="1:23" ht="17.149999999999999" customHeight="1" x14ac:dyDescent="0.35">
      <c r="A26" s="8" t="s">
        <v>25</v>
      </c>
      <c r="B26" s="9">
        <v>1.3020833333333334E-2</v>
      </c>
      <c r="C26" s="9">
        <v>3.7037037037037038E-3</v>
      </c>
      <c r="D26" s="9">
        <f t="shared" si="23"/>
        <v>7.5755208333333334E-3</v>
      </c>
      <c r="E26" s="10">
        <v>0.58179999999999998</v>
      </c>
      <c r="F26" s="9">
        <f t="shared" si="16"/>
        <v>9.2592592592592596E-4</v>
      </c>
      <c r="G26" s="9">
        <f t="shared" si="17"/>
        <v>1.0100694444444445E-3</v>
      </c>
      <c r="H26" s="9">
        <f t="shared" si="18"/>
        <v>1.0416666666666667E-3</v>
      </c>
      <c r="I26" s="9">
        <f t="shared" si="19"/>
        <v>1.0860961768219832E-3</v>
      </c>
      <c r="J26" s="9">
        <f t="shared" si="20"/>
        <v>1.0979015700483092E-3</v>
      </c>
      <c r="K26" s="9">
        <f t="shared" si="21"/>
        <v>1.1478061868686869E-3</v>
      </c>
      <c r="L26" s="9">
        <f t="shared" si="22"/>
        <v>1.2024636243386244E-3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4"/>
    </row>
    <row r="27" spans="1:23" ht="17.149999999999999" customHeight="1" x14ac:dyDescent="0.35">
      <c r="A27" s="8" t="s">
        <v>47</v>
      </c>
      <c r="B27" s="9">
        <v>1.2268518518518519E-2</v>
      </c>
      <c r="C27" s="9">
        <v>3.7037037037037034E-3</v>
      </c>
      <c r="D27" s="9">
        <f t="shared" si="23"/>
        <v>7.1378240740740742E-3</v>
      </c>
      <c r="E27" s="10">
        <v>0.58179999999999998</v>
      </c>
      <c r="F27" s="9">
        <f t="shared" si="16"/>
        <v>9.2592592592592585E-4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4"/>
    </row>
    <row r="28" spans="1:23" ht="17.149999999999999" customHeight="1" x14ac:dyDescent="0.35">
      <c r="A28" s="8" t="s">
        <v>49</v>
      </c>
      <c r="B28" s="9">
        <v>1.238425925925926E-2</v>
      </c>
      <c r="C28" s="9">
        <v>3.7037037037037034E-3</v>
      </c>
      <c r="D28" s="9">
        <f t="shared" si="23"/>
        <v>7.2051620370370368E-3</v>
      </c>
      <c r="E28" s="10">
        <v>0.58179999999999998</v>
      </c>
      <c r="F28" s="9">
        <f t="shared" si="16"/>
        <v>9.2592592592592585E-4</v>
      </c>
      <c r="G28" s="9">
        <f t="shared" si="17"/>
        <v>9.6068827160493821E-4</v>
      </c>
      <c r="H28" s="9">
        <f t="shared" si="18"/>
        <v>9.9074074074074082E-4</v>
      </c>
      <c r="I28" s="9">
        <f t="shared" si="19"/>
        <v>1.0329981415106862E-3</v>
      </c>
      <c r="J28" s="9">
        <f t="shared" si="20"/>
        <v>1.0442263821792807E-3</v>
      </c>
      <c r="K28" s="9">
        <f t="shared" si="21"/>
        <v>1.0916912177328843E-3</v>
      </c>
      <c r="L28" s="9">
        <f t="shared" si="22"/>
        <v>1.1436765138154027E-3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5</v>
      </c>
      <c r="W28" s="105" t="s">
        <v>160</v>
      </c>
    </row>
    <row r="29" spans="1:23" ht="17.149999999999999" customHeight="1" x14ac:dyDescent="0.35">
      <c r="A29" s="8" t="s">
        <v>51</v>
      </c>
      <c r="B29" s="9">
        <v>1.2499999999999999E-2</v>
      </c>
      <c r="C29" s="9">
        <v>3.7037037037037034E-3</v>
      </c>
      <c r="D29" s="9">
        <f t="shared" si="23"/>
        <v>7.2724999999999995E-3</v>
      </c>
      <c r="E29" s="10">
        <v>0.58179999999999998</v>
      </c>
      <c r="F29" s="9">
        <f t="shared" si="16"/>
        <v>9.2592592592592585E-4</v>
      </c>
      <c r="G29" s="9">
        <f t="shared" si="17"/>
        <v>9.6966666666666664E-4</v>
      </c>
      <c r="H29" s="9">
        <f t="shared" si="18"/>
        <v>1E-3</v>
      </c>
      <c r="I29" s="9">
        <f t="shared" si="19"/>
        <v>1.0426523297491039E-3</v>
      </c>
      <c r="J29" s="9">
        <f t="shared" si="20"/>
        <v>1.0539855072463768E-3</v>
      </c>
      <c r="K29" s="9">
        <f t="shared" si="21"/>
        <v>1.1018939393939394E-3</v>
      </c>
      <c r="L29" s="9">
        <f t="shared" si="22"/>
        <v>1.1543650793650795E-3</v>
      </c>
      <c r="M29" s="11"/>
      <c r="N29" s="9"/>
      <c r="O29" s="12"/>
      <c r="P29" s="9"/>
      <c r="Q29" s="12"/>
      <c r="R29" s="12"/>
      <c r="S29" s="12"/>
      <c r="T29" s="12"/>
      <c r="U29" s="9"/>
      <c r="V29" s="13" t="s">
        <v>5</v>
      </c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154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133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161</v>
      </c>
    </row>
    <row r="35" spans="1:23" ht="17.149999999999999" customHeight="1" x14ac:dyDescent="0.35">
      <c r="A35" s="8" t="s">
        <v>66</v>
      </c>
      <c r="B35" s="9">
        <v>1.1226851851851854E-2</v>
      </c>
      <c r="C35" s="9">
        <v>3.1249999999999997E-3</v>
      </c>
      <c r="D35" s="9">
        <f t="shared" ref="D35:D40" si="24">B35*E35</f>
        <v>6.5317824074074089E-3</v>
      </c>
      <c r="E35" s="10">
        <v>0.58179999999999998</v>
      </c>
      <c r="F35" s="9">
        <f t="shared" ref="F35:F41" si="25">C35/4</f>
        <v>7.8124999999999993E-4</v>
      </c>
      <c r="G35" s="9">
        <f t="shared" ref="G35:G41" si="26">D35/7.5</f>
        <v>8.7090432098765457E-4</v>
      </c>
      <c r="H35" s="9">
        <f t="shared" ref="H35:H41" si="27">B35/12.5</f>
        <v>8.9814814814814835E-4</v>
      </c>
      <c r="I35" s="9">
        <f t="shared" ref="I35:I41" si="28">G35/0.93</f>
        <v>9.3645625912651019E-4</v>
      </c>
      <c r="J35" s="9">
        <f t="shared" ref="J35:J41" si="29">G35/0.92</f>
        <v>9.4663513150832011E-4</v>
      </c>
      <c r="K35" s="9">
        <f t="shared" ref="K35:K41" si="30">G35/0.88</f>
        <v>9.8966400112233477E-4</v>
      </c>
      <c r="L35" s="9">
        <f t="shared" ref="L35:L41" si="31">G35/0.84</f>
        <v>1.0367908583186363E-3</v>
      </c>
      <c r="M35" s="11">
        <f>Table257111315252333353739414549515359121416182022242628303234364042[[#This Row],[Thresh]]</f>
        <v>9.8966400112233477E-4</v>
      </c>
      <c r="N35" s="9">
        <f>Table257111315252333353739414549515359121416182022242628303234364042[[#This Row],[Thresh]]*2.5</f>
        <v>2.4741600028058367E-3</v>
      </c>
      <c r="O35" s="24">
        <f>Table257111315252333353739414549515359121416182022242628303234364042[[#This Row],[R]]/2</f>
        <v>3.9062499999999997E-4</v>
      </c>
      <c r="P35" s="9"/>
      <c r="Q35" s="24"/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67</v>
      </c>
      <c r="B36" s="9">
        <v>1.1226851851851854E-2</v>
      </c>
      <c r="C36" s="9">
        <v>3.1249999999999997E-3</v>
      </c>
      <c r="D36" s="9">
        <f t="shared" si="24"/>
        <v>6.5317824074074089E-3</v>
      </c>
      <c r="E36" s="10">
        <v>0.58179999999999998</v>
      </c>
      <c r="F36" s="9">
        <f t="shared" si="25"/>
        <v>7.8124999999999993E-4</v>
      </c>
      <c r="G36" s="9">
        <f t="shared" si="26"/>
        <v>8.7090432098765457E-4</v>
      </c>
      <c r="H36" s="9">
        <f t="shared" si="27"/>
        <v>8.9814814814814835E-4</v>
      </c>
      <c r="I36" s="9">
        <f t="shared" si="28"/>
        <v>9.3645625912651019E-4</v>
      </c>
      <c r="J36" s="9">
        <f t="shared" si="29"/>
        <v>9.4663513150832011E-4</v>
      </c>
      <c r="K36" s="9">
        <f t="shared" si="30"/>
        <v>9.8966400112233477E-4</v>
      </c>
      <c r="L36" s="9">
        <f t="shared" si="31"/>
        <v>1.0367908583186363E-3</v>
      </c>
      <c r="M36" s="11">
        <f>Table257111315252333353739414549515359121416182022242628303234364042[[#This Row],[Thresh]]</f>
        <v>9.8966400112233477E-4</v>
      </c>
      <c r="N36" s="9">
        <f>Table257111315252333353739414549515359121416182022242628303234364042[[#This Row],[Thresh]]*2.5</f>
        <v>2.4741600028058367E-3</v>
      </c>
      <c r="O36" s="24">
        <f>Table257111315252333353739414549515359121416182022242628303234364042[[#This Row],[R]]/2</f>
        <v>3.9062499999999997E-4</v>
      </c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68</v>
      </c>
      <c r="B37" s="9">
        <v>1.1226851851851854E-2</v>
      </c>
      <c r="C37" s="9">
        <v>3.1828703703703702E-3</v>
      </c>
      <c r="D37" s="9">
        <f t="shared" si="24"/>
        <v>6.5317824074074089E-3</v>
      </c>
      <c r="E37" s="10">
        <v>0.58179999999999998</v>
      </c>
      <c r="F37" s="9">
        <f t="shared" si="25"/>
        <v>7.9571759259259255E-4</v>
      </c>
      <c r="G37" s="9">
        <f t="shared" si="26"/>
        <v>8.7090432098765457E-4</v>
      </c>
      <c r="H37" s="9">
        <f t="shared" si="27"/>
        <v>8.9814814814814835E-4</v>
      </c>
      <c r="I37" s="9">
        <f t="shared" si="28"/>
        <v>9.3645625912651019E-4</v>
      </c>
      <c r="J37" s="9">
        <f t="shared" si="29"/>
        <v>9.4663513150832011E-4</v>
      </c>
      <c r="K37" s="9">
        <f t="shared" si="30"/>
        <v>9.8966400112233477E-4</v>
      </c>
      <c r="L37" s="9">
        <f t="shared" si="31"/>
        <v>1.0367908583186363E-3</v>
      </c>
      <c r="M37" s="11">
        <f>Table257111315252333353739414549515359121416182022242628303234364042[[#This Row],[Thresh]]</f>
        <v>9.8966400112233477E-4</v>
      </c>
      <c r="N37" s="9">
        <f>Table257111315252333353739414549515359121416182022242628303234364042[[#This Row],[Thresh]]*2.5</f>
        <v>2.4741600028058367E-3</v>
      </c>
      <c r="O37" s="24">
        <f>Table257111315252333353739414549515359121416182022242628303234364042[[#This Row],[R]]/2</f>
        <v>3.9785879629629627E-4</v>
      </c>
      <c r="P37" s="9"/>
      <c r="Q37" s="24"/>
      <c r="R37" s="9"/>
      <c r="S37" s="12"/>
      <c r="T37" s="25"/>
      <c r="V37" s="23" t="s">
        <v>24</v>
      </c>
      <c r="W37" s="108"/>
    </row>
    <row r="38" spans="1:23" ht="17.149999999999999" customHeight="1" x14ac:dyDescent="0.35">
      <c r="A38" s="8" t="s">
        <v>91</v>
      </c>
      <c r="B38" s="9">
        <v>1.1458333333333334E-2</v>
      </c>
      <c r="C38" s="9">
        <v>3.2407407407407406E-3</v>
      </c>
      <c r="D38" s="9">
        <f t="shared" si="24"/>
        <v>6.6664583333333333E-3</v>
      </c>
      <c r="E38" s="10">
        <v>0.58179999999999998</v>
      </c>
      <c r="F38" s="9">
        <f t="shared" si="25"/>
        <v>8.1018518518518516E-4</v>
      </c>
      <c r="G38" s="9">
        <f t="shared" si="26"/>
        <v>8.888611111111111E-4</v>
      </c>
      <c r="H38" s="9">
        <f t="shared" si="27"/>
        <v>9.1666666666666676E-4</v>
      </c>
      <c r="I38" s="9">
        <f t="shared" si="28"/>
        <v>9.5576463560334524E-4</v>
      </c>
      <c r="J38" s="9">
        <f t="shared" si="29"/>
        <v>9.6615338164251206E-4</v>
      </c>
      <c r="K38" s="9">
        <f t="shared" si="30"/>
        <v>1.0100694444444445E-3</v>
      </c>
      <c r="L38" s="9">
        <f t="shared" si="31"/>
        <v>1.0581679894179894E-3</v>
      </c>
      <c r="M38" s="11">
        <f>Table257111315252333353739414549515359121416182022242628303234364042[[#This Row],[Thresh]]</f>
        <v>1.0100694444444445E-3</v>
      </c>
      <c r="N38" s="9">
        <f>Table257111315252333353739414549515359121416182022242628303234364042[[#This Row],[Thresh]]*2.5</f>
        <v>2.5251736111111113E-3</v>
      </c>
      <c r="O38" s="24">
        <f>Table257111315252333353739414549515359121416182022242628303234364042[[#This Row],[R]]/2</f>
        <v>4.0509259259259258E-4</v>
      </c>
      <c r="P38" s="9"/>
      <c r="Q38" s="24"/>
      <c r="R38" s="9"/>
      <c r="S38" s="12"/>
      <c r="V38" s="23" t="s">
        <v>24</v>
      </c>
      <c r="W38" s="108"/>
    </row>
    <row r="39" spans="1:23" ht="17.149999999999999" customHeight="1" x14ac:dyDescent="0.35">
      <c r="A39" s="8" t="s">
        <v>112</v>
      </c>
      <c r="B39" s="9">
        <v>1.1458333333333334E-2</v>
      </c>
      <c r="C39" s="9">
        <v>3.0671296296296297E-3</v>
      </c>
      <c r="D39" s="9">
        <f t="shared" si="24"/>
        <v>6.6664583333333333E-3</v>
      </c>
      <c r="E39" s="10">
        <v>0.58179999999999998</v>
      </c>
      <c r="F39" s="9">
        <f t="shared" si="25"/>
        <v>7.6678240740740743E-4</v>
      </c>
      <c r="G39" s="9">
        <f t="shared" si="26"/>
        <v>8.888611111111111E-4</v>
      </c>
      <c r="H39" s="9">
        <f t="shared" si="27"/>
        <v>9.1666666666666676E-4</v>
      </c>
      <c r="I39" s="9">
        <f t="shared" si="28"/>
        <v>9.5576463560334524E-4</v>
      </c>
      <c r="J39" s="9">
        <f t="shared" si="29"/>
        <v>9.6615338164251206E-4</v>
      </c>
      <c r="K39" s="9">
        <f t="shared" si="30"/>
        <v>1.0100694444444445E-3</v>
      </c>
      <c r="L39" s="9">
        <f t="shared" si="31"/>
        <v>1.0581679894179894E-3</v>
      </c>
      <c r="M39" s="11">
        <f>Table257111315252333353739414549515359121416182022242628303234364042[[#This Row],[Thresh]]</f>
        <v>1.0100694444444445E-3</v>
      </c>
      <c r="N39" s="9">
        <f>Table257111315252333353739414549515359121416182022242628303234364042[[#This Row],[Thresh]]*2.5</f>
        <v>2.5251736111111113E-3</v>
      </c>
      <c r="O39" s="24">
        <f>Table257111315252333353739414549515359121416182022242628303234364042[[#This Row],[R]]/2</f>
        <v>3.8339120370370371E-4</v>
      </c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113</v>
      </c>
      <c r="B40" s="9">
        <v>1.1805555555555555E-2</v>
      </c>
      <c r="C40" s="9">
        <v>3.414351851851852E-3</v>
      </c>
      <c r="D40" s="9">
        <f t="shared" si="24"/>
        <v>6.868472222222222E-3</v>
      </c>
      <c r="E40" s="10">
        <v>0.58179999999999998</v>
      </c>
      <c r="F40" s="9">
        <f t="shared" si="25"/>
        <v>8.53587962962963E-4</v>
      </c>
      <c r="G40" s="9">
        <f t="shared" si="26"/>
        <v>9.1579629629629628E-4</v>
      </c>
      <c r="H40" s="9">
        <f t="shared" si="27"/>
        <v>9.4444444444444437E-4</v>
      </c>
      <c r="I40" s="9">
        <f t="shared" si="28"/>
        <v>9.8472720031859799E-4</v>
      </c>
      <c r="J40" s="9">
        <f t="shared" si="29"/>
        <v>9.9543075684380036E-4</v>
      </c>
      <c r="K40" s="9">
        <f t="shared" si="30"/>
        <v>1.0406776094276093E-3</v>
      </c>
      <c r="L40" s="9">
        <f t="shared" si="31"/>
        <v>1.0902336860670195E-3</v>
      </c>
      <c r="M40" s="11">
        <f>Table257111315252333353739414549515359121416182022242628303234364042[[#This Row],[Thresh]]</f>
        <v>1.0406776094276093E-3</v>
      </c>
      <c r="N40" s="9">
        <f>Table257111315252333353739414549515359121416182022242628303234364042[[#This Row],[Thresh]]*2.5</f>
        <v>2.6016940235690234E-3</v>
      </c>
      <c r="O40" s="24">
        <f>Table257111315252333353739414549515359121416182022242628303234364042[[#This Row],[R]]/2</f>
        <v>4.267939814814815E-4</v>
      </c>
      <c r="P40" s="9"/>
      <c r="Q40" s="12"/>
      <c r="R40" s="9"/>
      <c r="S40" s="24"/>
      <c r="T40" s="24"/>
      <c r="V40" s="23" t="s">
        <v>24</v>
      </c>
      <c r="W40" s="108"/>
    </row>
    <row r="41" spans="1:23" ht="17.149999999999999" customHeight="1" x14ac:dyDescent="0.35">
      <c r="A41" s="8"/>
      <c r="B41" s="9"/>
      <c r="C41" s="9"/>
      <c r="D41" s="9"/>
      <c r="E41" s="10"/>
      <c r="F41" s="9">
        <f t="shared" si="25"/>
        <v>0</v>
      </c>
      <c r="G41" s="9">
        <f t="shared" si="26"/>
        <v>0</v>
      </c>
      <c r="H41" s="9">
        <f t="shared" si="27"/>
        <v>0</v>
      </c>
      <c r="I41" s="9">
        <f t="shared" si="28"/>
        <v>0</v>
      </c>
      <c r="J41" s="9">
        <f t="shared" si="29"/>
        <v>0</v>
      </c>
      <c r="K41" s="9">
        <f t="shared" si="30"/>
        <v>0</v>
      </c>
      <c r="L41" s="9">
        <f t="shared" si="31"/>
        <v>0</v>
      </c>
      <c r="M41" s="11"/>
      <c r="P41" s="25"/>
      <c r="Q41" s="25"/>
      <c r="R41" s="25"/>
      <c r="S41" s="25"/>
      <c r="V41" s="23"/>
      <c r="W41" s="108"/>
    </row>
    <row r="42" spans="1:23" ht="17.149999999999999" customHeight="1" x14ac:dyDescent="0.35">
      <c r="A42" s="14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30" t="s">
        <v>12</v>
      </c>
      <c r="N42" s="15" t="s">
        <v>58</v>
      </c>
      <c r="O42" s="15" t="s">
        <v>136</v>
      </c>
      <c r="P42" s="15" t="s">
        <v>137</v>
      </c>
      <c r="Q42" s="15"/>
      <c r="R42" s="15"/>
      <c r="S42" s="15"/>
      <c r="T42" s="15"/>
      <c r="U42" s="15"/>
      <c r="V42" s="17"/>
      <c r="W42" s="108"/>
    </row>
    <row r="43" spans="1:23" ht="17.149999999999999" customHeight="1" x14ac:dyDescent="0.35">
      <c r="A43" s="8" t="s">
        <v>74</v>
      </c>
      <c r="B43" s="9">
        <v>1.0243055555555556E-2</v>
      </c>
      <c r="C43" s="9">
        <v>2.9513888888888888E-3</v>
      </c>
      <c r="D43" s="9">
        <f>B43*E43</f>
        <v>5.9594097222222218E-3</v>
      </c>
      <c r="E43" s="10">
        <v>0.58179999999999998</v>
      </c>
      <c r="F43" s="9">
        <f>C43/4</f>
        <v>7.378472222222222E-4</v>
      </c>
      <c r="G43" s="9">
        <f>D43/7.5</f>
        <v>7.9458796296296287E-4</v>
      </c>
      <c r="H43" s="9">
        <f>B43/12.5</f>
        <v>8.1944444444444447E-4</v>
      </c>
      <c r="I43" s="9">
        <f>G43/0.93</f>
        <v>8.5439565909996003E-4</v>
      </c>
      <c r="J43" s="9">
        <f>G43/0.92</f>
        <v>8.636825684380031E-4</v>
      </c>
      <c r="K43" s="9">
        <f>G43/0.88</f>
        <v>9.0294086700336686E-4</v>
      </c>
      <c r="L43" s="9">
        <f>G43/0.84</f>
        <v>9.4593805114638445E-4</v>
      </c>
      <c r="M43" s="11">
        <f>Table257111315252333353739414549515359121416182022242628303234364042[[#This Row],[Thresh]]</f>
        <v>9.0294086700336686E-4</v>
      </c>
      <c r="N43" s="9">
        <f>Table257111315252333353739414549515359121416182022242628303234364042[[#This Row],[Thresh]]*2.5</f>
        <v>2.2573521675084171E-3</v>
      </c>
      <c r="O43" s="24">
        <f>Table257111315252333353739414549515359121416182022242628303234364042[[#This Row],[CV]]</f>
        <v>8.636825684380031E-4</v>
      </c>
      <c r="P43" s="9">
        <f>Table257111315252333353739414549515359121416182022242628303234364042[[#This Row],[CV]]*1.5</f>
        <v>1.2955238526570047E-3</v>
      </c>
      <c r="Q43" s="24"/>
      <c r="R43" s="9"/>
      <c r="S43" s="12"/>
      <c r="T43" s="25"/>
      <c r="V43" s="23" t="s">
        <v>30</v>
      </c>
      <c r="W43" s="104" t="s">
        <v>162</v>
      </c>
    </row>
    <row r="44" spans="1:23" ht="17.149999999999999" customHeight="1" x14ac:dyDescent="0.35">
      <c r="A44" s="8" t="s">
        <v>84</v>
      </c>
      <c r="B44" s="9">
        <v>1.0763888888888891E-2</v>
      </c>
      <c r="C44" s="9">
        <v>3.0671296296296297E-3</v>
      </c>
      <c r="D44" s="9">
        <f>B44*E44</f>
        <v>6.2624305555555567E-3</v>
      </c>
      <c r="E44" s="10">
        <v>0.58179999999999998</v>
      </c>
      <c r="F44" s="9">
        <f>C44/4</f>
        <v>7.6678240740740743E-4</v>
      </c>
      <c r="G44" s="9">
        <f>D44/7.5</f>
        <v>8.3499074074074085E-4</v>
      </c>
      <c r="H44" s="9">
        <f>B44/12.5</f>
        <v>8.6111111111111121E-4</v>
      </c>
      <c r="I44" s="9">
        <f>G44/0.93</f>
        <v>8.9783950617283953E-4</v>
      </c>
      <c r="J44" s="9">
        <f>G44/0.92</f>
        <v>9.0759863123993567E-4</v>
      </c>
      <c r="K44" s="9">
        <f>G44/0.88</f>
        <v>9.4885311447811464E-4</v>
      </c>
      <c r="L44" s="9">
        <f>G44/0.84</f>
        <v>9.9403659611992969E-4</v>
      </c>
      <c r="M44" s="11">
        <f>Table257111315252333353739414549515359121416182022242628303234364042[[#This Row],[Thresh]]</f>
        <v>9.4885311447811464E-4</v>
      </c>
      <c r="N44" s="9">
        <f>Table257111315252333353739414549515359121416182022242628303234364042[[#This Row],[Thresh]]*2.5</f>
        <v>2.3721327861952867E-3</v>
      </c>
      <c r="O44" s="24">
        <f>Table257111315252333353739414549515359121416182022242628303234364042[[#This Row],[CV]]</f>
        <v>9.0759863123993567E-4</v>
      </c>
      <c r="P44" s="9">
        <f>Table257111315252333353739414549515359121416182022242628303234364042[[#This Row],[CV]]*1.5</f>
        <v>1.3613979468599035E-3</v>
      </c>
      <c r="Q44" s="24"/>
      <c r="R44" s="9"/>
      <c r="S44" s="9"/>
      <c r="T44" s="24"/>
      <c r="V44" s="23" t="s">
        <v>30</v>
      </c>
      <c r="W44" s="104"/>
    </row>
    <row r="45" spans="1:23" ht="17.149999999999999" customHeight="1" x14ac:dyDescent="0.35">
      <c r="A45" s="8" t="s">
        <v>81</v>
      </c>
      <c r="B45" s="9">
        <v>1.0763888888888891E-2</v>
      </c>
      <c r="C45" s="9">
        <v>3.0092592592592593E-3</v>
      </c>
      <c r="D45" s="9">
        <f>B45*E45</f>
        <v>6.2624305555555567E-3</v>
      </c>
      <c r="E45" s="10">
        <v>0.58179999999999998</v>
      </c>
      <c r="F45" s="9">
        <f>C45/4</f>
        <v>7.5231481481481482E-4</v>
      </c>
      <c r="G45" s="9">
        <f>D45/7.5</f>
        <v>8.3499074074074085E-4</v>
      </c>
      <c r="H45" s="9">
        <f>B45/12.5</f>
        <v>8.6111111111111121E-4</v>
      </c>
      <c r="I45" s="9">
        <f>G45/0.93</f>
        <v>8.9783950617283953E-4</v>
      </c>
      <c r="J45" s="9">
        <f>G45/0.92</f>
        <v>9.0759863123993567E-4</v>
      </c>
      <c r="K45" s="9">
        <f>G45/0.88</f>
        <v>9.4885311447811464E-4</v>
      </c>
      <c r="L45" s="9">
        <f>G45/0.84</f>
        <v>9.9403659611992969E-4</v>
      </c>
      <c r="M45" s="11">
        <f>Table257111315252333353739414549515359121416182022242628303234364042[[#This Row],[Thresh]]</f>
        <v>9.4885311447811464E-4</v>
      </c>
      <c r="N45" s="9">
        <f>Table257111315252333353739414549515359121416182022242628303234364042[[#This Row],[Thresh]]*2.5</f>
        <v>2.3721327861952867E-3</v>
      </c>
      <c r="O45" s="24">
        <f>Table257111315252333353739414549515359121416182022242628303234364042[[#This Row],[CV]]</f>
        <v>9.0759863123993567E-4</v>
      </c>
      <c r="P45" s="9">
        <f>Table257111315252333353739414549515359121416182022242628303234364042[[#This Row],[CV]]*1.5</f>
        <v>1.3613979468599035E-3</v>
      </c>
      <c r="Q45" s="24"/>
      <c r="R45" s="9"/>
      <c r="S45" s="12"/>
      <c r="T45" s="25"/>
      <c r="V45" s="23" t="s">
        <v>30</v>
      </c>
      <c r="W45" s="104"/>
    </row>
    <row r="46" spans="1:23" ht="17.149999999999999" customHeight="1" x14ac:dyDescent="0.35">
      <c r="A46" s="8" t="s">
        <v>83</v>
      </c>
      <c r="B46" s="9">
        <v>1.0763888888888891E-2</v>
      </c>
      <c r="C46" s="9">
        <v>3.0092592592592588E-3</v>
      </c>
      <c r="D46" s="9">
        <f>B46*E46</f>
        <v>6.2624305555555567E-3</v>
      </c>
      <c r="E46" s="10">
        <v>0.58179999999999998</v>
      </c>
      <c r="F46" s="9">
        <f>C46/4</f>
        <v>7.5231481481481471E-4</v>
      </c>
      <c r="G46" s="9">
        <f>D46/7.5</f>
        <v>8.3499074074074085E-4</v>
      </c>
      <c r="H46" s="9">
        <f>B46/12.5</f>
        <v>8.6111111111111121E-4</v>
      </c>
      <c r="I46" s="9">
        <f>G46/0.93</f>
        <v>8.9783950617283953E-4</v>
      </c>
      <c r="J46" s="9">
        <f>G46/0.92</f>
        <v>9.0759863123993567E-4</v>
      </c>
      <c r="K46" s="9">
        <f>G46/0.88</f>
        <v>9.4885311447811464E-4</v>
      </c>
      <c r="L46" s="9">
        <f>G46/0.84</f>
        <v>9.9403659611992969E-4</v>
      </c>
      <c r="M46" s="11">
        <f>Table257111315252333353739414549515359121416182022242628303234364042[[#This Row],[Thresh]]</f>
        <v>9.4885311447811464E-4</v>
      </c>
      <c r="N46" s="9">
        <f>Table257111315252333353739414549515359121416182022242628303234364042[[#This Row],[Thresh]]*2.5</f>
        <v>2.3721327861952867E-3</v>
      </c>
      <c r="O46" s="24">
        <f>Table257111315252333353739414549515359121416182022242628303234364042[[#This Row],[CV]]</f>
        <v>9.0759863123993567E-4</v>
      </c>
      <c r="P46" s="9">
        <f>Table257111315252333353739414549515359121416182022242628303234364042[[#This Row],[CV]]*1.5</f>
        <v>1.3613979468599035E-3</v>
      </c>
      <c r="Q46" s="24"/>
      <c r="R46" s="9"/>
      <c r="S46" s="12"/>
      <c r="T46" s="25"/>
      <c r="V46" s="23" t="s">
        <v>30</v>
      </c>
      <c r="W46" s="104"/>
    </row>
    <row r="47" spans="1:23" ht="17.149999999999999" customHeight="1" x14ac:dyDescent="0.35">
      <c r="A47" s="8" t="s">
        <v>86</v>
      </c>
      <c r="B47" s="9">
        <v>1.087962962962963E-2</v>
      </c>
      <c r="C47" s="9">
        <v>3.1249999999999997E-3</v>
      </c>
      <c r="D47" s="9">
        <f t="shared" ref="D47:D50" si="32">B47*E47</f>
        <v>6.3297685185185184E-3</v>
      </c>
      <c r="E47" s="10">
        <v>0.58179999999999998</v>
      </c>
      <c r="F47" s="9">
        <f t="shared" ref="F47:F50" si="33">C47/4</f>
        <v>7.8124999999999993E-4</v>
      </c>
      <c r="G47" s="9">
        <f t="shared" ref="G47:G50" si="34">D47/7.5</f>
        <v>8.4396913580246917E-4</v>
      </c>
      <c r="H47" s="9">
        <f t="shared" ref="H47:H50" si="35">B47/12.5</f>
        <v>8.7037037037037042E-4</v>
      </c>
      <c r="I47" s="9">
        <f t="shared" ref="I47:I50" si="36">G47/0.93</f>
        <v>9.0749369441125711E-4</v>
      </c>
      <c r="J47" s="9">
        <f t="shared" ref="J47:J50" si="37">G47/0.92</f>
        <v>9.173577563070317E-4</v>
      </c>
      <c r="K47" s="9">
        <f t="shared" ref="K47:K50" si="38">G47/0.88</f>
        <v>9.5905583613916951E-4</v>
      </c>
      <c r="L47" s="9">
        <f t="shared" ref="L47:L50" si="39">G47/0.84</f>
        <v>1.0047251616696062E-3</v>
      </c>
      <c r="M47" s="11">
        <f>Table257111315252333353739414549515359121416182022242628303234364042[[#This Row],[Thresh]]</f>
        <v>9.5905583613916951E-4</v>
      </c>
      <c r="N47" s="9">
        <f>Table257111315252333353739414549515359121416182022242628303234364042[[#This Row],[Thresh]]*2.5</f>
        <v>2.3976395903479238E-3</v>
      </c>
      <c r="O47" s="24">
        <f>Table257111315252333353739414549515359121416182022242628303234364042[[#This Row],[CV]]</f>
        <v>9.173577563070317E-4</v>
      </c>
      <c r="P47" s="9">
        <f>Table257111315252333353739414549515359121416182022242628303234364042[[#This Row],[CV]]*1.5</f>
        <v>1.3760366344605477E-3</v>
      </c>
      <c r="Q47" s="24"/>
      <c r="R47" s="9"/>
      <c r="S47" s="24"/>
      <c r="T47" s="24"/>
      <c r="U47" s="24"/>
      <c r="V47" s="23" t="s">
        <v>30</v>
      </c>
      <c r="W47" s="104"/>
    </row>
    <row r="48" spans="1:23" ht="17.149999999999999" customHeight="1" x14ac:dyDescent="0.35">
      <c r="A48" s="8" t="s">
        <v>90</v>
      </c>
      <c r="B48" s="9">
        <v>1.1111111111111112E-2</v>
      </c>
      <c r="C48" s="9">
        <v>3.1828703703703702E-3</v>
      </c>
      <c r="D48" s="9">
        <f>B48*E48</f>
        <v>6.4644444444444445E-3</v>
      </c>
      <c r="E48" s="10">
        <v>0.58179999999999998</v>
      </c>
      <c r="F48" s="9">
        <f>C48/4</f>
        <v>7.9571759259259255E-4</v>
      </c>
      <c r="G48" s="9">
        <f>D48/7.5</f>
        <v>8.6192592592592592E-4</v>
      </c>
      <c r="H48" s="9">
        <f>B48/12.5</f>
        <v>8.8888888888888893E-4</v>
      </c>
      <c r="I48" s="9">
        <f>G48/0.93</f>
        <v>9.2680207088809239E-4</v>
      </c>
      <c r="J48" s="9">
        <f>G48/0.92</f>
        <v>9.3687600644122375E-4</v>
      </c>
      <c r="K48" s="9">
        <f>G48/0.88</f>
        <v>9.7946127946127947E-4</v>
      </c>
      <c r="L48" s="9">
        <f>G48/0.84</f>
        <v>1.0261022927689596E-3</v>
      </c>
      <c r="M48" s="11">
        <f>Table257111315252333353739414549515359121416182022242628303234364042[[#This Row],[Thresh]]</f>
        <v>9.7946127946127947E-4</v>
      </c>
      <c r="N48" s="9">
        <f>Table257111315252333353739414549515359121416182022242628303234364042[[#This Row],[Thresh]]*2.5</f>
        <v>2.4486531986531988E-3</v>
      </c>
      <c r="O48" s="24">
        <f>Table257111315252333353739414549515359121416182022242628303234364042[[#This Row],[CV]]</f>
        <v>9.3687600644122375E-4</v>
      </c>
      <c r="P48" s="9">
        <f>Table257111315252333353739414549515359121416182022242628303234364042[[#This Row],[CV]]*1.5</f>
        <v>1.4053140096618355E-3</v>
      </c>
      <c r="Q48" s="24"/>
      <c r="R48" s="9"/>
      <c r="S48" s="12"/>
      <c r="T48" s="25"/>
      <c r="U48" s="28"/>
      <c r="V48" s="23" t="s">
        <v>30</v>
      </c>
      <c r="W48" s="104"/>
    </row>
    <row r="49" spans="1:23" ht="17.149999999999999" customHeight="1" x14ac:dyDescent="0.35">
      <c r="A49" s="8" t="s">
        <v>92</v>
      </c>
      <c r="B49" s="9">
        <v>1.1111111111111112E-2</v>
      </c>
      <c r="C49" s="9">
        <v>3.2407407407407406E-3</v>
      </c>
      <c r="D49" s="9">
        <f>B49*E49</f>
        <v>6.4644444444444445E-3</v>
      </c>
      <c r="E49" s="10">
        <v>0.58179999999999998</v>
      </c>
      <c r="F49" s="9">
        <f>C49/4</f>
        <v>8.1018518518518516E-4</v>
      </c>
      <c r="G49" s="9">
        <f>D49/7.5</f>
        <v>8.6192592592592592E-4</v>
      </c>
      <c r="H49" s="9">
        <f>B49/12.5</f>
        <v>8.8888888888888893E-4</v>
      </c>
      <c r="I49" s="9">
        <f>G49/0.93</f>
        <v>9.2680207088809239E-4</v>
      </c>
      <c r="J49" s="9">
        <f>G49/0.92</f>
        <v>9.3687600644122375E-4</v>
      </c>
      <c r="K49" s="9">
        <f>G49/0.88</f>
        <v>9.7946127946127947E-4</v>
      </c>
      <c r="L49" s="9">
        <f>G49/0.84</f>
        <v>1.0261022927689596E-3</v>
      </c>
      <c r="M49" s="11">
        <f>Table257111315252333353739414549515359121416182022242628303234364042[[#This Row],[Thresh]]</f>
        <v>9.7946127946127947E-4</v>
      </c>
      <c r="N49" s="9">
        <f>Table257111315252333353739414549515359121416182022242628303234364042[[#This Row],[Thresh]]*2.5</f>
        <v>2.4486531986531988E-3</v>
      </c>
      <c r="O49" s="24">
        <f>Table257111315252333353739414549515359121416182022242628303234364042[[#This Row],[CV]]</f>
        <v>9.3687600644122375E-4</v>
      </c>
      <c r="P49" s="9">
        <f>Table257111315252333353739414549515359121416182022242628303234364042[[#This Row],[CV]]*1.5</f>
        <v>1.4053140096618355E-3</v>
      </c>
      <c r="Q49" s="24"/>
      <c r="R49" s="9"/>
      <c r="S49" s="12"/>
      <c r="T49" s="25"/>
      <c r="V49" s="23" t="s">
        <v>30</v>
      </c>
      <c r="W49" s="104"/>
    </row>
    <row r="50" spans="1:23" ht="17.149999999999999" customHeight="1" x14ac:dyDescent="0.35">
      <c r="A50" s="8" t="s">
        <v>93</v>
      </c>
      <c r="B50" s="9">
        <v>1.1921296296296298E-2</v>
      </c>
      <c r="C50" s="9">
        <v>3.414351851851852E-3</v>
      </c>
      <c r="D50" s="9">
        <f t="shared" si="32"/>
        <v>6.9358101851851863E-3</v>
      </c>
      <c r="E50" s="10">
        <v>0.58179999999999998</v>
      </c>
      <c r="F50" s="9">
        <f t="shared" si="33"/>
        <v>8.53587962962963E-4</v>
      </c>
      <c r="G50" s="9">
        <f t="shared" si="34"/>
        <v>9.2477469135802482E-4</v>
      </c>
      <c r="H50" s="9">
        <f t="shared" si="35"/>
        <v>9.5370370370370379E-4</v>
      </c>
      <c r="I50" s="9">
        <f t="shared" si="36"/>
        <v>9.943813885570159E-4</v>
      </c>
      <c r="J50" s="9">
        <f t="shared" si="37"/>
        <v>1.0051898819108964E-3</v>
      </c>
      <c r="K50" s="9">
        <f t="shared" si="38"/>
        <v>1.0508803310886646E-3</v>
      </c>
      <c r="L50" s="9">
        <f t="shared" si="39"/>
        <v>1.1009222516166963E-3</v>
      </c>
      <c r="M50" s="11">
        <f>Table257111315252333353739414549515359121416182022242628303234364042[[#This Row],[Thresh]]</f>
        <v>1.0508803310886646E-3</v>
      </c>
      <c r="N50" s="9">
        <f>Table257111315252333353739414549515359121416182022242628303234364042[[#This Row],[Thresh]]*2.5</f>
        <v>2.6272008277216617E-3</v>
      </c>
      <c r="O50" s="24">
        <f>Table257111315252333353739414549515359121416182022242628303234364042[[#This Row],[CV]]</f>
        <v>1.0051898819108964E-3</v>
      </c>
      <c r="P50" s="9">
        <f>Table257111315252333353739414549515359121416182022242628303234364042[[#This Row],[CV]]*1.5</f>
        <v>1.5077848228663446E-3</v>
      </c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11"/>
      <c r="P51" s="25"/>
      <c r="Q51" s="25"/>
      <c r="R51" s="25"/>
      <c r="S51" s="25"/>
      <c r="V51" s="23"/>
      <c r="W51" s="104"/>
    </row>
    <row r="52" spans="1:23" ht="17.149999999999999" customHeight="1" x14ac:dyDescent="0.35">
      <c r="A52" s="14"/>
      <c r="B52" s="15"/>
      <c r="C52" s="15"/>
      <c r="D52" s="15"/>
      <c r="E52" s="16"/>
      <c r="F52" s="15">
        <f t="shared" ref="F52:F63" si="40">C52/4</f>
        <v>0</v>
      </c>
      <c r="G52" s="15">
        <f t="shared" ref="G52:G63" si="41">D52/7.5</f>
        <v>0</v>
      </c>
      <c r="H52" s="15">
        <f t="shared" ref="H52:H63" si="42">B52/12.5</f>
        <v>0</v>
      </c>
      <c r="I52" s="15">
        <f t="shared" ref="I52:I63" si="43">G52/0.93</f>
        <v>0</v>
      </c>
      <c r="J52" s="15">
        <f t="shared" ref="J52:J63" si="44">G52/0.92</f>
        <v>0</v>
      </c>
      <c r="K52" s="15">
        <f t="shared" ref="K52:K63" si="45">G52/0.88</f>
        <v>0</v>
      </c>
      <c r="L52" s="15">
        <f t="shared" ref="L52:L63" si="46">G52/0.84</f>
        <v>0</v>
      </c>
      <c r="M52" s="30"/>
      <c r="N52" s="15"/>
      <c r="O52" s="15"/>
      <c r="P52" s="15"/>
      <c r="Q52" s="15"/>
      <c r="R52" s="15"/>
      <c r="S52" s="15"/>
      <c r="T52" s="15"/>
      <c r="U52" s="15"/>
      <c r="V52" s="17"/>
      <c r="W52" s="104" t="s">
        <v>159</v>
      </c>
    </row>
    <row r="53" spans="1:23" ht="17.149999999999999" customHeight="1" x14ac:dyDescent="0.35">
      <c r="A53" s="8" t="s">
        <v>103</v>
      </c>
      <c r="B53" s="9">
        <v>1.064814814814815E-2</v>
      </c>
      <c r="C53" s="9">
        <v>3.0671296296296297E-3</v>
      </c>
      <c r="D53" s="9">
        <f t="shared" ref="D53:D63" si="47">B53*E53</f>
        <v>6.1950925925925932E-3</v>
      </c>
      <c r="E53" s="10">
        <v>0.58179999999999998</v>
      </c>
      <c r="F53" s="9">
        <f t="shared" si="40"/>
        <v>7.6678240740740743E-4</v>
      </c>
      <c r="G53" s="9">
        <f t="shared" si="41"/>
        <v>8.2601234567901242E-4</v>
      </c>
      <c r="H53" s="9">
        <f t="shared" si="42"/>
        <v>8.5185185185185201E-4</v>
      </c>
      <c r="I53" s="9">
        <f t="shared" si="43"/>
        <v>8.8818531793442195E-4</v>
      </c>
      <c r="J53" s="9">
        <f t="shared" si="44"/>
        <v>8.9783950617283953E-4</v>
      </c>
      <c r="K53" s="9">
        <f t="shared" si="45"/>
        <v>9.3865039281705955E-4</v>
      </c>
      <c r="L53" s="9">
        <f t="shared" si="46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48</v>
      </c>
      <c r="W53" s="104"/>
    </row>
    <row r="54" spans="1:23" ht="17.149999999999999" customHeight="1" x14ac:dyDescent="0.35">
      <c r="A54" s="8" t="s">
        <v>104</v>
      </c>
      <c r="B54" s="9">
        <v>1.064814814814815E-2</v>
      </c>
      <c r="C54" s="9">
        <v>3.1249999999999997E-3</v>
      </c>
      <c r="D54" s="9">
        <f t="shared" si="47"/>
        <v>6.1950925925925932E-3</v>
      </c>
      <c r="E54" s="10">
        <v>0.58179999999999998</v>
      </c>
      <c r="F54" s="9">
        <f t="shared" si="40"/>
        <v>7.8124999999999993E-4</v>
      </c>
      <c r="G54" s="9">
        <f t="shared" si="41"/>
        <v>8.2601234567901242E-4</v>
      </c>
      <c r="H54" s="9">
        <f t="shared" si="42"/>
        <v>8.5185185185185201E-4</v>
      </c>
      <c r="I54" s="9">
        <f t="shared" si="43"/>
        <v>8.8818531793442195E-4</v>
      </c>
      <c r="J54" s="9">
        <f t="shared" si="44"/>
        <v>8.9783950617283953E-4</v>
      </c>
      <c r="K54" s="9">
        <f t="shared" si="45"/>
        <v>9.3865039281705955E-4</v>
      </c>
      <c r="L54" s="9">
        <f t="shared" si="46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48</v>
      </c>
      <c r="W54" s="104"/>
    </row>
    <row r="55" spans="1:23" ht="17.149999999999999" customHeight="1" x14ac:dyDescent="0.35">
      <c r="A55" s="8" t="s">
        <v>106</v>
      </c>
      <c r="B55" s="9">
        <v>1.064814814814815E-2</v>
      </c>
      <c r="C55" s="9">
        <v>3.1249999999999997E-3</v>
      </c>
      <c r="D55" s="9">
        <f t="shared" si="47"/>
        <v>6.1950925925925932E-3</v>
      </c>
      <c r="E55" s="10">
        <v>0.58179999999999998</v>
      </c>
      <c r="F55" s="9">
        <f t="shared" si="40"/>
        <v>7.8124999999999993E-4</v>
      </c>
      <c r="G55" s="9">
        <f t="shared" si="41"/>
        <v>8.2601234567901242E-4</v>
      </c>
      <c r="H55" s="9">
        <f t="shared" si="42"/>
        <v>8.5185185185185201E-4</v>
      </c>
      <c r="I55" s="9">
        <f t="shared" si="43"/>
        <v>8.8818531793442195E-4</v>
      </c>
      <c r="J55" s="9">
        <f t="shared" si="44"/>
        <v>8.9783950617283953E-4</v>
      </c>
      <c r="K55" s="9">
        <f t="shared" si="45"/>
        <v>9.3865039281705955E-4</v>
      </c>
      <c r="L55" s="9">
        <f t="shared" si="46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48</v>
      </c>
      <c r="W55" s="104"/>
    </row>
    <row r="56" spans="1:23" ht="17.149999999999999" customHeight="1" x14ac:dyDescent="0.35">
      <c r="A56" s="8" t="s">
        <v>105</v>
      </c>
      <c r="B56" s="9">
        <v>1.064814814814815E-2</v>
      </c>
      <c r="C56" s="9">
        <v>3.1249999999999997E-3</v>
      </c>
      <c r="D56" s="9">
        <f t="shared" si="47"/>
        <v>6.1950925925925932E-3</v>
      </c>
      <c r="E56" s="10">
        <v>0.58179999999999998</v>
      </c>
      <c r="F56" s="9">
        <f t="shared" si="40"/>
        <v>7.8124999999999993E-4</v>
      </c>
      <c r="G56" s="9">
        <f t="shared" si="41"/>
        <v>8.2601234567901242E-4</v>
      </c>
      <c r="H56" s="9">
        <f t="shared" si="42"/>
        <v>8.5185185185185201E-4</v>
      </c>
      <c r="I56" s="9">
        <f t="shared" si="43"/>
        <v>8.8818531793442195E-4</v>
      </c>
      <c r="J56" s="9">
        <f t="shared" si="44"/>
        <v>8.9783950617283953E-4</v>
      </c>
      <c r="K56" s="9">
        <f t="shared" si="45"/>
        <v>9.3865039281705955E-4</v>
      </c>
      <c r="L56" s="9">
        <f t="shared" si="46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48</v>
      </c>
      <c r="W56" s="104"/>
    </row>
    <row r="57" spans="1:23" ht="17.149999999999999" customHeight="1" x14ac:dyDescent="0.35">
      <c r="A57" s="8" t="s">
        <v>107</v>
      </c>
      <c r="B57" s="9">
        <v>1.0648148148148148E-2</v>
      </c>
      <c r="C57" s="9">
        <v>3.1249999999999997E-3</v>
      </c>
      <c r="D57" s="9">
        <f t="shared" si="47"/>
        <v>6.1950925925925923E-3</v>
      </c>
      <c r="E57" s="10">
        <v>0.58179999999999998</v>
      </c>
      <c r="F57" s="9">
        <f t="shared" si="40"/>
        <v>7.8124999999999993E-4</v>
      </c>
      <c r="G57" s="9">
        <f t="shared" si="41"/>
        <v>8.2601234567901232E-4</v>
      </c>
      <c r="H57" s="9">
        <f t="shared" si="42"/>
        <v>8.5185185185185179E-4</v>
      </c>
      <c r="I57" s="9">
        <f t="shared" si="43"/>
        <v>8.8818531793442184E-4</v>
      </c>
      <c r="J57" s="9">
        <f t="shared" si="44"/>
        <v>8.9783950617283942E-4</v>
      </c>
      <c r="K57" s="9">
        <f t="shared" si="45"/>
        <v>9.3865039281705945E-4</v>
      </c>
      <c r="L57" s="9">
        <f t="shared" si="46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48</v>
      </c>
      <c r="W57" s="104"/>
    </row>
    <row r="58" spans="1:23" ht="17.149999999999999" customHeight="1" x14ac:dyDescent="0.35">
      <c r="A58" s="8" t="s">
        <v>108</v>
      </c>
      <c r="B58" s="9">
        <v>1.0763888888888891E-2</v>
      </c>
      <c r="C58" s="9">
        <v>3.1828703703703702E-3</v>
      </c>
      <c r="D58" s="9">
        <f t="shared" si="47"/>
        <v>6.2624305555555567E-3</v>
      </c>
      <c r="E58" s="10">
        <v>0.58179999999999998</v>
      </c>
      <c r="F58" s="9">
        <f t="shared" si="40"/>
        <v>7.9571759259259255E-4</v>
      </c>
      <c r="G58" s="9">
        <f t="shared" si="41"/>
        <v>8.3499074074074085E-4</v>
      </c>
      <c r="H58" s="9">
        <f t="shared" si="42"/>
        <v>8.6111111111111121E-4</v>
      </c>
      <c r="I58" s="9">
        <f t="shared" si="43"/>
        <v>8.9783950617283953E-4</v>
      </c>
      <c r="J58" s="9">
        <f t="shared" si="44"/>
        <v>9.0759863123993567E-4</v>
      </c>
      <c r="K58" s="9">
        <f t="shared" si="45"/>
        <v>9.4885311447811464E-4</v>
      </c>
      <c r="L58" s="9">
        <f t="shared" si="46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48</v>
      </c>
      <c r="W58" s="104"/>
    </row>
    <row r="59" spans="1:23" ht="17.149999999999999" customHeight="1" x14ac:dyDescent="0.35">
      <c r="A59" s="8" t="s">
        <v>87</v>
      </c>
      <c r="B59" s="9">
        <v>1.0763888888888891E-2</v>
      </c>
      <c r="C59" s="9">
        <v>3.1249999999999997E-3</v>
      </c>
      <c r="D59" s="9">
        <f t="shared" si="47"/>
        <v>6.2624305555555567E-3</v>
      </c>
      <c r="E59" s="10">
        <v>0.58179999999999998</v>
      </c>
      <c r="F59" s="9">
        <f t="shared" si="40"/>
        <v>7.8124999999999993E-4</v>
      </c>
      <c r="G59" s="9">
        <f t="shared" si="41"/>
        <v>8.3499074074074085E-4</v>
      </c>
      <c r="H59" s="9">
        <f t="shared" si="42"/>
        <v>8.6111111111111121E-4</v>
      </c>
      <c r="I59" s="9">
        <f t="shared" si="43"/>
        <v>8.9783950617283953E-4</v>
      </c>
      <c r="J59" s="9">
        <f t="shared" si="44"/>
        <v>9.0759863123993567E-4</v>
      </c>
      <c r="K59" s="9">
        <f t="shared" si="45"/>
        <v>9.4885311447811464E-4</v>
      </c>
      <c r="L59" s="9">
        <f t="shared" si="46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48</v>
      </c>
      <c r="W59" s="104"/>
    </row>
    <row r="60" spans="1:23" ht="17.149999999999999" customHeight="1" x14ac:dyDescent="0.35">
      <c r="A60" s="8" t="s">
        <v>109</v>
      </c>
      <c r="B60" s="9">
        <v>1.0763888888888889E-2</v>
      </c>
      <c r="C60" s="9">
        <v>3.1249999999999997E-3</v>
      </c>
      <c r="D60" s="9">
        <f t="shared" si="47"/>
        <v>6.2624305555555549E-3</v>
      </c>
      <c r="E60" s="10">
        <v>0.58179999999999998</v>
      </c>
      <c r="F60" s="9">
        <f t="shared" si="40"/>
        <v>7.8124999999999993E-4</v>
      </c>
      <c r="G60" s="9">
        <f t="shared" si="41"/>
        <v>8.3499074074074064E-4</v>
      </c>
      <c r="H60" s="9">
        <f t="shared" si="42"/>
        <v>8.611111111111111E-4</v>
      </c>
      <c r="I60" s="9">
        <f t="shared" si="43"/>
        <v>8.9783950617283931E-4</v>
      </c>
      <c r="J60" s="9">
        <f t="shared" si="44"/>
        <v>9.0759863123993545E-4</v>
      </c>
      <c r="K60" s="9">
        <f t="shared" si="45"/>
        <v>9.4885311447811432E-4</v>
      </c>
      <c r="L60" s="9">
        <f t="shared" si="46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48</v>
      </c>
      <c r="W60" s="104"/>
    </row>
    <row r="61" spans="1:23" ht="17.149999999999999" customHeight="1" x14ac:dyDescent="0.35">
      <c r="A61" s="8" t="s">
        <v>110</v>
      </c>
      <c r="B61" s="9">
        <v>1.087962962962963E-2</v>
      </c>
      <c r="C61" s="9">
        <v>3.1249999999999997E-3</v>
      </c>
      <c r="D61" s="9">
        <f t="shared" si="47"/>
        <v>6.3297685185185184E-3</v>
      </c>
      <c r="E61" s="10">
        <v>0.58179999999999998</v>
      </c>
      <c r="F61" s="9">
        <f t="shared" si="40"/>
        <v>7.8124999999999993E-4</v>
      </c>
      <c r="G61" s="9">
        <f t="shared" si="41"/>
        <v>8.4396913580246917E-4</v>
      </c>
      <c r="H61" s="9">
        <f t="shared" si="42"/>
        <v>8.7037037037037042E-4</v>
      </c>
      <c r="I61" s="9">
        <f t="shared" si="43"/>
        <v>9.0749369441125711E-4</v>
      </c>
      <c r="J61" s="9">
        <f t="shared" si="44"/>
        <v>9.173577563070317E-4</v>
      </c>
      <c r="K61" s="9">
        <f t="shared" si="45"/>
        <v>9.5905583613916951E-4</v>
      </c>
      <c r="L61" s="9">
        <f t="shared" si="46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48</v>
      </c>
      <c r="W61" s="105" t="s">
        <v>163</v>
      </c>
    </row>
    <row r="62" spans="1:23" ht="17.149999999999999" customHeight="1" x14ac:dyDescent="0.35">
      <c r="A62" s="8" t="s">
        <v>111</v>
      </c>
      <c r="B62" s="9">
        <v>1.087962962962963E-2</v>
      </c>
      <c r="C62" s="9">
        <v>3.1828703703703702E-3</v>
      </c>
      <c r="D62" s="9">
        <f t="shared" si="47"/>
        <v>6.3297685185185184E-3</v>
      </c>
      <c r="E62" s="10">
        <v>0.58179999999999998</v>
      </c>
      <c r="F62" s="9">
        <f t="shared" si="40"/>
        <v>7.9571759259259255E-4</v>
      </c>
      <c r="G62" s="9">
        <f t="shared" si="41"/>
        <v>8.4396913580246917E-4</v>
      </c>
      <c r="H62" s="9">
        <f t="shared" si="42"/>
        <v>8.7037037037037042E-4</v>
      </c>
      <c r="I62" s="9">
        <f t="shared" si="43"/>
        <v>9.0749369441125711E-4</v>
      </c>
      <c r="J62" s="9">
        <f t="shared" si="44"/>
        <v>9.173577563070317E-4</v>
      </c>
      <c r="K62" s="9">
        <f t="shared" si="45"/>
        <v>9.5905583613916951E-4</v>
      </c>
      <c r="L62" s="9">
        <f t="shared" si="46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48</v>
      </c>
      <c r="W62" s="105"/>
    </row>
    <row r="63" spans="1:23" ht="17.149999999999999" customHeight="1" x14ac:dyDescent="0.35">
      <c r="A63" s="8" t="s">
        <v>88</v>
      </c>
      <c r="B63" s="9">
        <v>1.087962962962963E-2</v>
      </c>
      <c r="C63" s="9">
        <v>3.1828703703703702E-3</v>
      </c>
      <c r="D63" s="9">
        <f t="shared" si="47"/>
        <v>6.3297685185185184E-3</v>
      </c>
      <c r="E63" s="10">
        <v>0.58179999999999998</v>
      </c>
      <c r="F63" s="9">
        <f t="shared" si="40"/>
        <v>7.9571759259259255E-4</v>
      </c>
      <c r="G63" s="9">
        <f t="shared" si="41"/>
        <v>8.4396913580246917E-4</v>
      </c>
      <c r="H63" s="9">
        <f t="shared" si="42"/>
        <v>8.7037037037037042E-4</v>
      </c>
      <c r="I63" s="9">
        <f t="shared" si="43"/>
        <v>9.0749369441125711E-4</v>
      </c>
      <c r="J63" s="9">
        <f t="shared" si="44"/>
        <v>9.173577563070317E-4</v>
      </c>
      <c r="K63" s="9">
        <f t="shared" si="45"/>
        <v>9.5905583613916951E-4</v>
      </c>
      <c r="L63" s="9">
        <f t="shared" si="46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48</v>
      </c>
      <c r="W63" s="105"/>
    </row>
    <row r="64" spans="1:23" ht="17.149999999999999" customHeight="1" x14ac:dyDescent="0.35">
      <c r="A64" s="8" t="s">
        <v>94</v>
      </c>
      <c r="B64" s="9">
        <v>1.1574074074074073E-2</v>
      </c>
      <c r="C64" s="9">
        <v>3.414351851851852E-3</v>
      </c>
      <c r="D64" s="9">
        <f>B64*E64</f>
        <v>6.7337962962962959E-3</v>
      </c>
      <c r="E64" s="10">
        <v>0.58179999999999998</v>
      </c>
      <c r="F64" s="9">
        <f>C64/4</f>
        <v>8.53587962962963E-4</v>
      </c>
      <c r="G64" s="9">
        <f>D64/7.5</f>
        <v>8.9783950617283942E-4</v>
      </c>
      <c r="H64" s="9">
        <f>B64/12.5</f>
        <v>9.2592592592592585E-4</v>
      </c>
      <c r="I64" s="9">
        <f>G64/0.93</f>
        <v>9.6541882384176272E-4</v>
      </c>
      <c r="J64" s="9">
        <f>G64/0.92</f>
        <v>9.7591250670960798E-4</v>
      </c>
      <c r="K64" s="9">
        <f>G64/0.88</f>
        <v>1.0202721661054994E-3</v>
      </c>
      <c r="L64" s="9">
        <f>G64/0.84</f>
        <v>1.068856554967666E-3</v>
      </c>
      <c r="M64" s="11"/>
      <c r="N64" s="9"/>
      <c r="O64" s="24"/>
      <c r="P64" s="9"/>
      <c r="Q64" s="24"/>
      <c r="R64" s="9"/>
      <c r="S64" s="12"/>
      <c r="V64" s="23" t="s">
        <v>158</v>
      </c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91" si="48">C66/4</f>
        <v>0</v>
      </c>
      <c r="G66" s="9">
        <f t="shared" ref="G66:G91" si="49">D66/7.5</f>
        <v>0</v>
      </c>
      <c r="H66" s="9">
        <f t="shared" ref="H66:H91" si="50">B66/12.5</f>
        <v>0</v>
      </c>
      <c r="I66" s="9">
        <f t="shared" ref="I66:I91" si="51">G66/0.93</f>
        <v>0</v>
      </c>
      <c r="J66" s="9">
        <f t="shared" ref="J66:J91" si="52">G66/0.92</f>
        <v>0</v>
      </c>
      <c r="K66" s="9">
        <f t="shared" ref="K66:K91" si="53">G66/0.88</f>
        <v>0</v>
      </c>
      <c r="L66" s="9">
        <f t="shared" ref="L66:L91" si="54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154</v>
      </c>
      <c r="B67" s="15"/>
      <c r="C67" s="15"/>
      <c r="D67" s="15"/>
      <c r="E67" s="16"/>
      <c r="F67" s="15">
        <f t="shared" si="48"/>
        <v>0</v>
      </c>
      <c r="G67" s="15">
        <f t="shared" si="49"/>
        <v>0</v>
      </c>
      <c r="H67" s="15">
        <f t="shared" si="50"/>
        <v>0</v>
      </c>
      <c r="I67" s="15">
        <f t="shared" si="51"/>
        <v>0</v>
      </c>
      <c r="J67" s="15">
        <f t="shared" si="52"/>
        <v>0</v>
      </c>
      <c r="K67" s="15">
        <f t="shared" si="53"/>
        <v>0</v>
      </c>
      <c r="L67" s="15">
        <f t="shared" si="54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64</v>
      </c>
      <c r="B68" s="9">
        <v>1.0416666666666666E-2</v>
      </c>
      <c r="C68" s="9">
        <v>2.9513888888888888E-3</v>
      </c>
      <c r="D68" s="9">
        <f t="shared" ref="D68:D91" si="55">B68*E68</f>
        <v>6.0604166666666662E-3</v>
      </c>
      <c r="E68" s="10">
        <v>0.58179999999999998</v>
      </c>
      <c r="F68" s="9">
        <f t="shared" si="48"/>
        <v>7.378472222222222E-4</v>
      </c>
      <c r="G68" s="9">
        <f t="shared" si="49"/>
        <v>8.0805555555555546E-4</v>
      </c>
      <c r="H68" s="9">
        <f t="shared" si="50"/>
        <v>8.3333333333333328E-4</v>
      </c>
      <c r="I68" s="9">
        <f t="shared" si="51"/>
        <v>8.6887694145758646E-4</v>
      </c>
      <c r="J68" s="9">
        <f t="shared" si="52"/>
        <v>8.7832125603864715E-4</v>
      </c>
      <c r="K68" s="9">
        <f t="shared" si="53"/>
        <v>9.1824494949494938E-4</v>
      </c>
      <c r="L68" s="9">
        <f t="shared" si="5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5</v>
      </c>
      <c r="W68" s="108"/>
    </row>
    <row r="69" spans="1:23" ht="17.149999999999999" customHeight="1" x14ac:dyDescent="0.35">
      <c r="A69" s="8" t="s">
        <v>61</v>
      </c>
      <c r="B69" s="9">
        <v>1.0416666666666666E-2</v>
      </c>
      <c r="C69" s="9">
        <v>2.8935185185185188E-3</v>
      </c>
      <c r="D69" s="9">
        <f t="shared" si="55"/>
        <v>6.0604166666666662E-3</v>
      </c>
      <c r="E69" s="10">
        <v>0.58179999999999998</v>
      </c>
      <c r="F69" s="9">
        <f t="shared" si="48"/>
        <v>7.233796296296297E-4</v>
      </c>
      <c r="G69" s="9">
        <f t="shared" si="49"/>
        <v>8.0805555555555546E-4</v>
      </c>
      <c r="H69" s="9">
        <f t="shared" si="50"/>
        <v>8.3333333333333328E-4</v>
      </c>
      <c r="I69" s="9">
        <f t="shared" si="51"/>
        <v>8.6887694145758646E-4</v>
      </c>
      <c r="J69" s="9">
        <f t="shared" si="52"/>
        <v>8.7832125603864715E-4</v>
      </c>
      <c r="K69" s="9">
        <f t="shared" si="53"/>
        <v>9.1824494949494938E-4</v>
      </c>
      <c r="L69" s="9">
        <f t="shared" si="54"/>
        <v>9.6197089947089938E-4</v>
      </c>
      <c r="M69" s="11"/>
      <c r="N69" s="9"/>
      <c r="O69" s="24"/>
      <c r="P69" s="9"/>
      <c r="Q69" s="24"/>
      <c r="R69" s="9"/>
      <c r="S69" s="12"/>
      <c r="T69" s="9"/>
      <c r="U69" s="9"/>
      <c r="V69" s="23" t="s">
        <v>5</v>
      </c>
      <c r="W69" s="108"/>
    </row>
    <row r="70" spans="1:23" ht="17.149999999999999" customHeight="1" x14ac:dyDescent="0.35">
      <c r="A70" s="8" t="s">
        <v>65</v>
      </c>
      <c r="B70" s="9">
        <v>1.0416666666666666E-2</v>
      </c>
      <c r="C70" s="9">
        <v>2.9745370370370373E-3</v>
      </c>
      <c r="D70" s="9">
        <f t="shared" si="55"/>
        <v>6.0604166666666662E-3</v>
      </c>
      <c r="E70" s="10">
        <v>0.58179999999999998</v>
      </c>
      <c r="F70" s="9">
        <f t="shared" si="48"/>
        <v>7.4363425925925931E-4</v>
      </c>
      <c r="G70" s="9">
        <f t="shared" si="49"/>
        <v>8.0805555555555546E-4</v>
      </c>
      <c r="H70" s="9">
        <f t="shared" si="50"/>
        <v>8.3333333333333328E-4</v>
      </c>
      <c r="I70" s="9">
        <f t="shared" si="51"/>
        <v>8.6887694145758646E-4</v>
      </c>
      <c r="J70" s="9">
        <f t="shared" si="52"/>
        <v>8.7832125603864715E-4</v>
      </c>
      <c r="K70" s="9">
        <f t="shared" si="53"/>
        <v>9.1824494949494938E-4</v>
      </c>
      <c r="L70" s="9">
        <f t="shared" si="54"/>
        <v>9.6197089947089938E-4</v>
      </c>
      <c r="M70" s="11"/>
      <c r="N70" s="9"/>
      <c r="O70" s="24"/>
      <c r="P70" s="9"/>
      <c r="Q70" s="24"/>
      <c r="R70" s="9"/>
      <c r="S70" s="12"/>
      <c r="T70" s="25"/>
      <c r="U70" s="9"/>
      <c r="V70" s="23" t="s">
        <v>5</v>
      </c>
      <c r="W70" s="108"/>
    </row>
    <row r="71" spans="1:23" ht="17.149999999999999" customHeight="1" x14ac:dyDescent="0.35">
      <c r="A71" s="8" t="s">
        <v>62</v>
      </c>
      <c r="B71" s="9">
        <v>1.087962962962963E-2</v>
      </c>
      <c r="C71" s="9">
        <v>3.0092592592592588E-3</v>
      </c>
      <c r="D71" s="9">
        <f t="shared" si="55"/>
        <v>6.3297685185185184E-3</v>
      </c>
      <c r="E71" s="10">
        <v>0.58179999999999998</v>
      </c>
      <c r="F71" s="9">
        <f t="shared" si="48"/>
        <v>7.5231481481481471E-4</v>
      </c>
      <c r="G71" s="9">
        <f t="shared" si="49"/>
        <v>8.4396913580246917E-4</v>
      </c>
      <c r="H71" s="9">
        <f t="shared" si="50"/>
        <v>8.7037037037037042E-4</v>
      </c>
      <c r="I71" s="9">
        <f t="shared" si="51"/>
        <v>9.0749369441125711E-4</v>
      </c>
      <c r="J71" s="9">
        <f t="shared" si="52"/>
        <v>9.173577563070317E-4</v>
      </c>
      <c r="K71" s="9">
        <f t="shared" si="53"/>
        <v>9.5905583613916951E-4</v>
      </c>
      <c r="L71" s="9">
        <f t="shared" si="54"/>
        <v>1.0047251616696062E-3</v>
      </c>
      <c r="M71" s="11"/>
      <c r="N71" s="9"/>
      <c r="O71" s="24"/>
      <c r="P71" s="9"/>
      <c r="Q71" s="24"/>
      <c r="R71" s="9"/>
      <c r="S71" s="12"/>
      <c r="T71" s="96"/>
      <c r="U71" s="9"/>
      <c r="V71" s="23" t="s">
        <v>5</v>
      </c>
      <c r="W71" s="108"/>
    </row>
    <row r="72" spans="1:23" ht="17.149999999999999" customHeight="1" x14ac:dyDescent="0.35">
      <c r="A72" s="8" t="s">
        <v>63</v>
      </c>
      <c r="B72" s="9">
        <v>1.087962962962963E-2</v>
      </c>
      <c r="C72" s="9">
        <v>3.0092592592592588E-3</v>
      </c>
      <c r="D72" s="9">
        <f t="shared" si="55"/>
        <v>6.3297685185185184E-3</v>
      </c>
      <c r="E72" s="10">
        <v>0.58179999999999998</v>
      </c>
      <c r="F72" s="9">
        <f t="shared" si="48"/>
        <v>7.5231481481481471E-4</v>
      </c>
      <c r="G72" s="9">
        <f t="shared" si="49"/>
        <v>8.4396913580246917E-4</v>
      </c>
      <c r="H72" s="9">
        <f t="shared" si="50"/>
        <v>8.7037037037037042E-4</v>
      </c>
      <c r="I72" s="9">
        <f t="shared" si="51"/>
        <v>9.0749369441125711E-4</v>
      </c>
      <c r="J72" s="9">
        <f t="shared" si="52"/>
        <v>9.173577563070317E-4</v>
      </c>
      <c r="K72" s="9">
        <f t="shared" si="53"/>
        <v>9.5905583613916951E-4</v>
      </c>
      <c r="L72" s="9">
        <f t="shared" si="54"/>
        <v>1.0047251616696062E-3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5</v>
      </c>
      <c r="W72" s="108"/>
    </row>
    <row r="73" spans="1:23" ht="17.149999999999999" customHeight="1" x14ac:dyDescent="0.35">
      <c r="A73" s="8" t="s">
        <v>70</v>
      </c>
      <c r="B73" s="9">
        <v>9.780092592592592E-3</v>
      </c>
      <c r="C73" s="9">
        <v>2.8124999999999995E-3</v>
      </c>
      <c r="D73" s="9">
        <f t="shared" si="55"/>
        <v>5.6900578703703696E-3</v>
      </c>
      <c r="E73" s="10">
        <v>0.58179999999999998</v>
      </c>
      <c r="F73" s="9">
        <f t="shared" si="48"/>
        <v>7.0312499999999987E-4</v>
      </c>
      <c r="G73" s="9">
        <f t="shared" si="49"/>
        <v>7.5867438271604926E-4</v>
      </c>
      <c r="H73" s="9">
        <f t="shared" si="50"/>
        <v>7.8240740740740734E-4</v>
      </c>
      <c r="I73" s="9">
        <f t="shared" si="51"/>
        <v>8.1577890614628948E-4</v>
      </c>
      <c r="J73" s="9">
        <f t="shared" si="52"/>
        <v>8.2464606816961877E-4</v>
      </c>
      <c r="K73" s="9">
        <f t="shared" si="53"/>
        <v>8.6212998035914683E-4</v>
      </c>
      <c r="L73" s="9">
        <f t="shared" si="54"/>
        <v>9.031837889476777E-4</v>
      </c>
      <c r="M73" s="11"/>
      <c r="N73" s="9"/>
      <c r="O73" s="24"/>
      <c r="P73" s="9"/>
      <c r="Q73" s="24"/>
      <c r="R73" s="9"/>
      <c r="S73" s="12"/>
      <c r="T73" s="25"/>
      <c r="V73" s="23" t="s">
        <v>5</v>
      </c>
      <c r="W73" s="108"/>
    </row>
    <row r="74" spans="1:23" ht="17.149999999999999" customHeight="1" x14ac:dyDescent="0.35">
      <c r="A74" s="8" t="s">
        <v>73</v>
      </c>
      <c r="B74" s="9">
        <v>1.0011574074074074E-2</v>
      </c>
      <c r="C74" s="9">
        <v>2.8935185185185188E-3</v>
      </c>
      <c r="D74" s="9">
        <f t="shared" si="55"/>
        <v>5.8247337962962957E-3</v>
      </c>
      <c r="E74" s="10">
        <v>0.58179999999999998</v>
      </c>
      <c r="F74" s="9">
        <f t="shared" si="48"/>
        <v>7.233796296296297E-4</v>
      </c>
      <c r="G74" s="9">
        <f t="shared" si="49"/>
        <v>7.7663117283950612E-4</v>
      </c>
      <c r="H74" s="9">
        <f t="shared" si="50"/>
        <v>8.0092592592592585E-4</v>
      </c>
      <c r="I74" s="9">
        <f t="shared" si="51"/>
        <v>8.3508728262312486E-4</v>
      </c>
      <c r="J74" s="9">
        <f t="shared" si="52"/>
        <v>8.4416431830381094E-4</v>
      </c>
      <c r="K74" s="9">
        <f t="shared" si="53"/>
        <v>8.825354236812569E-4</v>
      </c>
      <c r="L74" s="9">
        <f t="shared" si="54"/>
        <v>9.2456092004703113E-4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5</v>
      </c>
      <c r="W74" s="108"/>
    </row>
    <row r="75" spans="1:23" ht="17.149999999999999" customHeight="1" x14ac:dyDescent="0.35">
      <c r="A75" s="8" t="s">
        <v>76</v>
      </c>
      <c r="B75" s="9">
        <v>1.0011574074074074E-2</v>
      </c>
      <c r="C75" s="9">
        <v>2.9513888888888888E-3</v>
      </c>
      <c r="D75" s="9">
        <f t="shared" si="55"/>
        <v>5.8247337962962957E-3</v>
      </c>
      <c r="E75" s="10">
        <v>0.58179999999999998</v>
      </c>
      <c r="F75" s="9">
        <f t="shared" si="48"/>
        <v>7.378472222222222E-4</v>
      </c>
      <c r="G75" s="9">
        <f t="shared" si="49"/>
        <v>7.7663117283950612E-4</v>
      </c>
      <c r="H75" s="9">
        <f t="shared" si="50"/>
        <v>8.0092592592592585E-4</v>
      </c>
      <c r="I75" s="9">
        <f t="shared" si="51"/>
        <v>8.3508728262312486E-4</v>
      </c>
      <c r="J75" s="9">
        <f t="shared" si="52"/>
        <v>8.4416431830381094E-4</v>
      </c>
      <c r="K75" s="9">
        <f t="shared" si="53"/>
        <v>8.825354236812569E-4</v>
      </c>
      <c r="L75" s="9">
        <f t="shared" si="54"/>
        <v>9.2456092004703113E-4</v>
      </c>
      <c r="M75" s="11"/>
      <c r="N75" s="9"/>
      <c r="O75" s="24"/>
      <c r="P75" s="9"/>
      <c r="Q75" s="24"/>
      <c r="R75" s="9"/>
      <c r="S75" s="24"/>
      <c r="T75" s="24"/>
      <c r="U75" s="24"/>
      <c r="V75" s="23" t="s">
        <v>5</v>
      </c>
      <c r="W75" s="108"/>
    </row>
    <row r="76" spans="1:23" ht="17.149999999999999" customHeight="1" x14ac:dyDescent="0.35">
      <c r="A76" s="8" t="s">
        <v>72</v>
      </c>
      <c r="B76" s="9">
        <v>1.0127314814814815E-2</v>
      </c>
      <c r="C76" s="9">
        <v>2.8935185185185188E-3</v>
      </c>
      <c r="D76" s="9">
        <f t="shared" si="55"/>
        <v>5.8920717592592592E-3</v>
      </c>
      <c r="E76" s="10">
        <v>0.58179999999999998</v>
      </c>
      <c r="F76" s="9">
        <f t="shared" si="48"/>
        <v>7.233796296296297E-4</v>
      </c>
      <c r="G76" s="9">
        <f t="shared" si="49"/>
        <v>7.8560956790123455E-4</v>
      </c>
      <c r="H76" s="9">
        <f t="shared" si="50"/>
        <v>8.1018518518518516E-4</v>
      </c>
      <c r="I76" s="9">
        <f t="shared" si="51"/>
        <v>8.4474147086154245E-4</v>
      </c>
      <c r="J76" s="9">
        <f t="shared" si="52"/>
        <v>8.5392344337090708E-4</v>
      </c>
      <c r="K76" s="9">
        <f t="shared" si="53"/>
        <v>8.9273814534231199E-4</v>
      </c>
      <c r="L76" s="9">
        <f t="shared" si="54"/>
        <v>9.3524948559670779E-4</v>
      </c>
      <c r="M76" s="11"/>
      <c r="N76" s="9"/>
      <c r="O76" s="24"/>
      <c r="P76" s="9"/>
      <c r="Q76" s="24"/>
      <c r="R76" s="9"/>
      <c r="S76" s="12"/>
      <c r="T76" s="25"/>
      <c r="V76" s="23" t="s">
        <v>5</v>
      </c>
      <c r="W76" s="104"/>
    </row>
    <row r="77" spans="1:23" ht="17.149999999999999" customHeight="1" x14ac:dyDescent="0.35">
      <c r="A77" s="8" t="s">
        <v>80</v>
      </c>
      <c r="B77" s="9">
        <v>1.0416666666666666E-2</v>
      </c>
      <c r="C77" s="9">
        <v>3.0092592592592588E-3</v>
      </c>
      <c r="D77" s="9">
        <f t="shared" si="55"/>
        <v>6.0604166666666662E-3</v>
      </c>
      <c r="E77" s="10">
        <v>0.58179999999999998</v>
      </c>
      <c r="F77" s="9">
        <f t="shared" si="48"/>
        <v>7.5231481481481471E-4</v>
      </c>
      <c r="G77" s="9">
        <f t="shared" si="49"/>
        <v>8.0805555555555546E-4</v>
      </c>
      <c r="H77" s="9">
        <f t="shared" si="50"/>
        <v>8.3333333333333328E-4</v>
      </c>
      <c r="I77" s="9">
        <f t="shared" si="51"/>
        <v>8.6887694145758646E-4</v>
      </c>
      <c r="J77" s="9">
        <f t="shared" si="52"/>
        <v>8.7832125603864715E-4</v>
      </c>
      <c r="K77" s="9">
        <f t="shared" si="53"/>
        <v>9.1824494949494938E-4</v>
      </c>
      <c r="L77" s="9">
        <f t="shared" si="54"/>
        <v>9.6197089947089938E-4</v>
      </c>
      <c r="M77" s="11"/>
      <c r="N77" s="9"/>
      <c r="O77" s="24"/>
      <c r="P77" s="9"/>
      <c r="Q77" s="24"/>
      <c r="R77" s="9"/>
      <c r="S77" s="24"/>
      <c r="T77" s="97"/>
      <c r="U77" s="100"/>
      <c r="V77" s="23" t="s">
        <v>5</v>
      </c>
      <c r="W77" s="104"/>
    </row>
    <row r="78" spans="1:23" ht="17.149999999999999" customHeight="1" x14ac:dyDescent="0.35">
      <c r="A78" s="8" t="s">
        <v>77</v>
      </c>
      <c r="B78" s="9">
        <v>1.0416666666666666E-2</v>
      </c>
      <c r="C78" s="9">
        <v>2.9745370370370373E-3</v>
      </c>
      <c r="D78" s="9">
        <f t="shared" si="55"/>
        <v>6.0604166666666662E-3</v>
      </c>
      <c r="E78" s="10">
        <v>0.58179999999999998</v>
      </c>
      <c r="F78" s="9">
        <f t="shared" si="48"/>
        <v>7.4363425925925931E-4</v>
      </c>
      <c r="G78" s="9">
        <f t="shared" si="49"/>
        <v>8.0805555555555546E-4</v>
      </c>
      <c r="H78" s="9">
        <f t="shared" si="50"/>
        <v>8.3333333333333328E-4</v>
      </c>
      <c r="I78" s="9">
        <f t="shared" si="51"/>
        <v>8.6887694145758646E-4</v>
      </c>
      <c r="J78" s="9">
        <f t="shared" si="52"/>
        <v>8.7832125603864715E-4</v>
      </c>
      <c r="K78" s="9">
        <f t="shared" si="53"/>
        <v>9.1824494949494938E-4</v>
      </c>
      <c r="L78" s="9">
        <f t="shared" si="54"/>
        <v>9.6197089947089938E-4</v>
      </c>
      <c r="M78" s="11"/>
      <c r="N78" s="9"/>
      <c r="O78" s="24"/>
      <c r="P78" s="9"/>
      <c r="Q78" s="24"/>
      <c r="R78" s="9"/>
      <c r="S78" s="9"/>
      <c r="T78" s="24"/>
      <c r="U78" s="24"/>
      <c r="V78" s="23" t="s">
        <v>5</v>
      </c>
      <c r="W78" s="104"/>
    </row>
    <row r="79" spans="1:23" ht="17.149999999999999" customHeight="1" x14ac:dyDescent="0.35">
      <c r="A79" s="8" t="s">
        <v>75</v>
      </c>
      <c r="B79" s="9">
        <v>1.087962962962963E-2</v>
      </c>
      <c r="C79" s="9">
        <v>2.9513888888888888E-3</v>
      </c>
      <c r="D79" s="9">
        <f t="shared" si="55"/>
        <v>6.3297685185185184E-3</v>
      </c>
      <c r="E79" s="10">
        <v>0.58179999999999998</v>
      </c>
      <c r="F79" s="9">
        <f t="shared" si="48"/>
        <v>7.378472222222222E-4</v>
      </c>
      <c r="G79" s="9">
        <f t="shared" si="49"/>
        <v>8.4396913580246917E-4</v>
      </c>
      <c r="H79" s="9">
        <f t="shared" si="50"/>
        <v>8.7037037037037042E-4</v>
      </c>
      <c r="I79" s="9">
        <f t="shared" si="51"/>
        <v>9.0749369441125711E-4</v>
      </c>
      <c r="J79" s="9">
        <f t="shared" si="52"/>
        <v>9.173577563070317E-4</v>
      </c>
      <c r="K79" s="9">
        <f t="shared" si="53"/>
        <v>9.5905583613916951E-4</v>
      </c>
      <c r="L79" s="9">
        <f t="shared" si="54"/>
        <v>1.0047251616696062E-3</v>
      </c>
      <c r="M79" s="11"/>
      <c r="N79" s="9"/>
      <c r="O79" s="24"/>
      <c r="P79" s="9"/>
      <c r="Q79" s="24"/>
      <c r="R79" s="9"/>
      <c r="S79" s="12"/>
      <c r="T79" s="25"/>
      <c r="U79" s="9"/>
      <c r="V79" s="23" t="s">
        <v>5</v>
      </c>
      <c r="W79" s="104"/>
    </row>
    <row r="80" spans="1:23" ht="17.149999999999999" customHeight="1" x14ac:dyDescent="0.35">
      <c r="A80" s="8" t="s">
        <v>71</v>
      </c>
      <c r="B80" s="9">
        <v>1.0011574074074074E-2</v>
      </c>
      <c r="C80" s="9">
        <v>2.8935185185185188E-3</v>
      </c>
      <c r="D80" s="9">
        <f t="shared" si="55"/>
        <v>5.8247337962962957E-3</v>
      </c>
      <c r="E80" s="10">
        <v>0.58179999999999998</v>
      </c>
      <c r="F80" s="9">
        <f t="shared" si="48"/>
        <v>7.233796296296297E-4</v>
      </c>
      <c r="G80" s="9">
        <f t="shared" si="49"/>
        <v>7.7663117283950612E-4</v>
      </c>
      <c r="H80" s="9">
        <f t="shared" si="50"/>
        <v>8.0092592592592585E-4</v>
      </c>
      <c r="I80" s="9">
        <f t="shared" si="51"/>
        <v>8.3508728262312486E-4</v>
      </c>
      <c r="J80" s="9">
        <f t="shared" si="52"/>
        <v>8.4416431830381094E-4</v>
      </c>
      <c r="K80" s="9">
        <f t="shared" si="53"/>
        <v>8.825354236812569E-4</v>
      </c>
      <c r="L80" s="9">
        <f t="shared" si="54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si="55"/>
        <v>5.8247337962962957E-3</v>
      </c>
      <c r="E81" s="10">
        <v>0.58179999999999998</v>
      </c>
      <c r="F81" s="9">
        <f t="shared" si="48"/>
        <v>7.378472222222222E-4</v>
      </c>
      <c r="G81" s="9">
        <f t="shared" si="49"/>
        <v>7.7663117283950612E-4</v>
      </c>
      <c r="H81" s="9">
        <f t="shared" si="50"/>
        <v>8.0092592592592585E-4</v>
      </c>
      <c r="I81" s="9">
        <f t="shared" si="51"/>
        <v>8.3508728262312486E-4</v>
      </c>
      <c r="J81" s="9">
        <f t="shared" si="52"/>
        <v>8.4416431830381094E-4</v>
      </c>
      <c r="K81" s="9">
        <f t="shared" si="53"/>
        <v>8.825354236812569E-4</v>
      </c>
      <c r="L81" s="9">
        <f t="shared" si="54"/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4"/>
    </row>
    <row r="82" spans="1:23" ht="17.149999999999999" customHeight="1" x14ac:dyDescent="0.35">
      <c r="A82" s="8" t="s">
        <v>97</v>
      </c>
      <c r="B82" s="9">
        <v>1.0011574074074074E-2</v>
      </c>
      <c r="C82" s="9">
        <v>2.9745370370370373E-3</v>
      </c>
      <c r="D82" s="9">
        <f t="shared" si="55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/>
      <c r="N82" s="9"/>
      <c r="O82" s="24"/>
      <c r="P82" s="9"/>
      <c r="Q82" s="24"/>
      <c r="R82" s="9"/>
      <c r="S82" s="24"/>
      <c r="T82" s="97"/>
      <c r="U82" s="24"/>
      <c r="V82" s="23" t="s">
        <v>5</v>
      </c>
      <c r="W82" s="104"/>
    </row>
    <row r="83" spans="1:23" ht="17.149999999999999" customHeight="1" x14ac:dyDescent="0.35">
      <c r="A83" s="8" t="s">
        <v>98</v>
      </c>
      <c r="B83" s="9">
        <v>1.0243055555555556E-2</v>
      </c>
      <c r="C83" s="9">
        <v>3.0092592592592588E-3</v>
      </c>
      <c r="D83" s="9">
        <f t="shared" si="55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5</v>
      </c>
      <c r="W83" s="104"/>
    </row>
    <row r="84" spans="1:23" ht="17.149999999999999" customHeight="1" x14ac:dyDescent="0.35">
      <c r="A84" s="8" t="s">
        <v>100</v>
      </c>
      <c r="B84" s="9">
        <v>1.0243055555555556E-2</v>
      </c>
      <c r="C84" s="9">
        <v>2.9745370370370373E-3</v>
      </c>
      <c r="D84" s="9">
        <f t="shared" si="55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5</v>
      </c>
      <c r="W84" s="104"/>
    </row>
    <row r="85" spans="1:23" ht="17.149999999999999" customHeight="1" x14ac:dyDescent="0.35">
      <c r="A85" s="8" t="s">
        <v>101</v>
      </c>
      <c r="B85" s="9">
        <v>1.0243055555555556E-2</v>
      </c>
      <c r="C85" s="9">
        <v>3.0671296296296297E-3</v>
      </c>
      <c r="D85" s="9">
        <f t="shared" si="55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4"/>
    </row>
    <row r="86" spans="1:23" ht="17.149999999999999" customHeight="1" x14ac:dyDescent="0.35">
      <c r="A86" s="8" t="s">
        <v>78</v>
      </c>
      <c r="B86" s="9">
        <v>1.0243055555555556E-2</v>
      </c>
      <c r="C86" s="9">
        <v>2.9745370370370373E-3</v>
      </c>
      <c r="D86" s="9">
        <f t="shared" si="55"/>
        <v>5.9594097222222218E-3</v>
      </c>
      <c r="E86" s="10">
        <v>0.58179999999999998</v>
      </c>
      <c r="F86" s="9">
        <f t="shared" si="48"/>
        <v>7.4363425925925931E-4</v>
      </c>
      <c r="G86" s="9">
        <f t="shared" si="49"/>
        <v>7.9458796296296287E-4</v>
      </c>
      <c r="H86" s="9">
        <f t="shared" si="50"/>
        <v>8.1944444444444447E-4</v>
      </c>
      <c r="I86" s="9">
        <f t="shared" si="51"/>
        <v>8.5439565909996003E-4</v>
      </c>
      <c r="J86" s="9">
        <f t="shared" si="52"/>
        <v>8.636825684380031E-4</v>
      </c>
      <c r="K86" s="9">
        <f t="shared" si="53"/>
        <v>9.0294086700336686E-4</v>
      </c>
      <c r="L86" s="9">
        <f t="shared" si="54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4"/>
    </row>
    <row r="87" spans="1:23" ht="17.149999999999999" customHeight="1" x14ac:dyDescent="0.35">
      <c r="A87" s="8" t="s">
        <v>99</v>
      </c>
      <c r="B87" s="9">
        <v>1.0243055555555556E-2</v>
      </c>
      <c r="C87" s="9">
        <v>3.0092592592592588E-3</v>
      </c>
      <c r="D87" s="9">
        <f t="shared" si="55"/>
        <v>5.9594097222222218E-3</v>
      </c>
      <c r="E87" s="10">
        <v>0.58179999999999998</v>
      </c>
      <c r="F87" s="9">
        <f t="shared" si="48"/>
        <v>7.5231481481481471E-4</v>
      </c>
      <c r="G87" s="9">
        <f t="shared" si="49"/>
        <v>7.9458796296296287E-4</v>
      </c>
      <c r="H87" s="9">
        <f t="shared" si="50"/>
        <v>8.1944444444444447E-4</v>
      </c>
      <c r="I87" s="9">
        <f t="shared" si="51"/>
        <v>8.5439565909996003E-4</v>
      </c>
      <c r="J87" s="9">
        <f t="shared" si="52"/>
        <v>8.636825684380031E-4</v>
      </c>
      <c r="K87" s="9">
        <f t="shared" si="53"/>
        <v>9.0294086700336686E-4</v>
      </c>
      <c r="L87" s="9">
        <f t="shared" si="54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4"/>
    </row>
    <row r="88" spans="1:23" ht="17.149999999999999" customHeight="1" x14ac:dyDescent="0.35">
      <c r="A88" s="8" t="s">
        <v>102</v>
      </c>
      <c r="B88" s="9">
        <v>1.0474537037037037E-2</v>
      </c>
      <c r="C88" s="9">
        <v>3.0671296296296297E-3</v>
      </c>
      <c r="D88" s="9">
        <f t="shared" si="55"/>
        <v>6.094085648148148E-3</v>
      </c>
      <c r="E88" s="10">
        <v>0.58179999999999998</v>
      </c>
      <c r="F88" s="9">
        <f t="shared" si="48"/>
        <v>7.6678240740740743E-4</v>
      </c>
      <c r="G88" s="9">
        <f t="shared" si="49"/>
        <v>8.1254475308641973E-4</v>
      </c>
      <c r="H88" s="9">
        <f t="shared" si="50"/>
        <v>8.3796296296296299E-4</v>
      </c>
      <c r="I88" s="9">
        <f t="shared" si="51"/>
        <v>8.7370403557679541E-4</v>
      </c>
      <c r="J88" s="9">
        <f t="shared" si="52"/>
        <v>8.8320081857219527E-4</v>
      </c>
      <c r="K88" s="9">
        <f t="shared" si="53"/>
        <v>9.2334631032547692E-4</v>
      </c>
      <c r="L88" s="9">
        <f t="shared" si="54"/>
        <v>9.6731518224573777E-4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4"/>
    </row>
    <row r="89" spans="1:23" ht="17.149999999999999" customHeight="1" x14ac:dyDescent="0.35">
      <c r="A89" s="8" t="s">
        <v>85</v>
      </c>
      <c r="B89" s="9">
        <v>1.0763888888888889E-2</v>
      </c>
      <c r="C89" s="9">
        <v>3.0671296296296297E-3</v>
      </c>
      <c r="D89" s="9">
        <f t="shared" si="55"/>
        <v>6.2624305555555549E-3</v>
      </c>
      <c r="E89" s="10">
        <v>0.58179999999999998</v>
      </c>
      <c r="F89" s="9">
        <f t="shared" si="48"/>
        <v>7.6678240740740743E-4</v>
      </c>
      <c r="G89" s="9">
        <f t="shared" si="49"/>
        <v>8.3499074074074064E-4</v>
      </c>
      <c r="H89" s="9">
        <f t="shared" si="50"/>
        <v>8.611111111111111E-4</v>
      </c>
      <c r="I89" s="9">
        <f t="shared" si="51"/>
        <v>8.9783950617283931E-4</v>
      </c>
      <c r="J89" s="9">
        <f t="shared" si="52"/>
        <v>9.0759863123993545E-4</v>
      </c>
      <c r="K89" s="9">
        <f t="shared" si="53"/>
        <v>9.4885311447811432E-4</v>
      </c>
      <c r="L89" s="9">
        <f t="shared" si="54"/>
        <v>9.9403659611992947E-4</v>
      </c>
      <c r="M89" s="11"/>
      <c r="N89" s="9"/>
      <c r="O89" s="24"/>
      <c r="P89" s="9"/>
      <c r="Q89" s="24"/>
      <c r="R89" s="9"/>
      <c r="S89" s="24"/>
      <c r="T89" s="24"/>
      <c r="U89" s="24"/>
      <c r="V89" s="23" t="s">
        <v>5</v>
      </c>
      <c r="W89" s="104"/>
    </row>
    <row r="90" spans="1:23" ht="17.149999999999999" customHeight="1" x14ac:dyDescent="0.35">
      <c r="A90" s="8" t="s">
        <v>82</v>
      </c>
      <c r="B90" s="9">
        <v>1.0416666666666666E-2</v>
      </c>
      <c r="C90" s="9">
        <v>3.0092592592592588E-3</v>
      </c>
      <c r="D90" s="9">
        <f t="shared" si="55"/>
        <v>6.0604166666666662E-3</v>
      </c>
      <c r="E90" s="10">
        <v>0.58179999999999998</v>
      </c>
      <c r="F90" s="9">
        <f t="shared" si="48"/>
        <v>7.5231481481481471E-4</v>
      </c>
      <c r="G90" s="9">
        <f t="shared" si="49"/>
        <v>8.0805555555555546E-4</v>
      </c>
      <c r="H90" s="9">
        <f t="shared" si="50"/>
        <v>8.3333333333333328E-4</v>
      </c>
      <c r="I90" s="9">
        <f t="shared" si="51"/>
        <v>8.6887694145758646E-4</v>
      </c>
      <c r="J90" s="9">
        <f t="shared" si="52"/>
        <v>8.7832125603864715E-4</v>
      </c>
      <c r="K90" s="9">
        <f t="shared" si="53"/>
        <v>9.1824494949494938E-4</v>
      </c>
      <c r="L90" s="9">
        <f t="shared" si="54"/>
        <v>9.6197089947089938E-4</v>
      </c>
      <c r="M90" s="11"/>
      <c r="N90" s="9"/>
      <c r="O90" s="24"/>
      <c r="P90" s="9"/>
      <c r="Q90" s="24"/>
      <c r="R90" s="9"/>
      <c r="S90" s="24"/>
      <c r="T90" s="97"/>
      <c r="U90" s="24"/>
      <c r="V90" s="23" t="s">
        <v>5</v>
      </c>
      <c r="W90" s="104"/>
    </row>
    <row r="91" spans="1:23" ht="17.149999999999999" customHeight="1" x14ac:dyDescent="0.35">
      <c r="A91" s="8" t="s">
        <v>115</v>
      </c>
      <c r="B91" s="9">
        <v>1.1111111111111112E-2</v>
      </c>
      <c r="C91" s="9">
        <v>3.1249999999999997E-3</v>
      </c>
      <c r="D91" s="9">
        <f t="shared" si="55"/>
        <v>6.4644444444444445E-3</v>
      </c>
      <c r="E91" s="10">
        <v>0.58179999999999998</v>
      </c>
      <c r="F91" s="9">
        <f t="shared" si="48"/>
        <v>7.8124999999999993E-4</v>
      </c>
      <c r="G91" s="9">
        <f t="shared" si="49"/>
        <v>8.6192592592592592E-4</v>
      </c>
      <c r="H91" s="9">
        <f t="shared" si="50"/>
        <v>8.8888888888888893E-4</v>
      </c>
      <c r="I91" s="9">
        <f t="shared" si="51"/>
        <v>9.2680207088809239E-4</v>
      </c>
      <c r="J91" s="9">
        <f t="shared" si="52"/>
        <v>9.3687600644122375E-4</v>
      </c>
      <c r="K91" s="9">
        <f t="shared" si="53"/>
        <v>9.7946127946127947E-4</v>
      </c>
      <c r="L91" s="9">
        <f t="shared" si="54"/>
        <v>1.0261022927689596E-3</v>
      </c>
      <c r="M91" s="11"/>
      <c r="N91" s="9"/>
      <c r="O91" s="24"/>
      <c r="P91" s="9"/>
      <c r="Q91" s="24"/>
      <c r="R91" s="9"/>
      <c r="S91" s="12"/>
      <c r="T91" s="96"/>
      <c r="U91" s="9"/>
      <c r="V91" s="23" t="s">
        <v>53</v>
      </c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270A-EB62-4A1B-A189-7CB45837D949}">
  <sheetPr>
    <pageSetUpPr fitToPage="1"/>
  </sheetPr>
  <dimension ref="A1:W99"/>
  <sheetViews>
    <sheetView topLeftCell="A48" workbookViewId="0">
      <selection activeCell="R72" sqref="R7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164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58</v>
      </c>
      <c r="O1" s="6" t="s">
        <v>133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165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9.4273148148148146E-4</v>
      </c>
      <c r="H2" s="9">
        <f t="shared" ref="H2:H15" si="2">B2/12.5</f>
        <v>9.7222222222222219E-4</v>
      </c>
      <c r="I2" s="9">
        <f t="shared" ref="I2:I15" si="3">G2/0.93</f>
        <v>1.0136897650338511E-3</v>
      </c>
      <c r="J2" s="9">
        <f t="shared" ref="J2:J15" si="4">G2/0.92</f>
        <v>1.0247081320450884E-3</v>
      </c>
      <c r="K2" s="9">
        <f t="shared" ref="K2:K15" si="5">G2/0.88</f>
        <v>1.0712857744107744E-3</v>
      </c>
      <c r="L2" s="9">
        <f t="shared" ref="L2:L15" si="6">G2/0.84</f>
        <v>1.1222993827160494E-3</v>
      </c>
      <c r="M2" s="11">
        <f>Table1461012142422323436384044485052481113151719212325272931333539[[#This Row],[Thresh]]</f>
        <v>1.0712857744107744E-3</v>
      </c>
      <c r="N2" s="9">
        <f>Table1461012142422323436384044485052481113151719212325272931333539[[#This Row],[Thresh]]*2.5</f>
        <v>2.6782144360269359E-3</v>
      </c>
      <c r="O2" s="12">
        <f>Table1461012142422323436384044485052481113151719212325272931333539[[#This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36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Table1461012142422323436384044485052481113151719212325272931333539[[#This Row],[Thresh]]</f>
        <v>1.1478061868686869E-3</v>
      </c>
      <c r="N3" s="9">
        <f>Table1461012142422323436384044485052481113151719212325272931333539[[#This Row],[Thresh]]*2.5</f>
        <v>2.8695154671717171E-3</v>
      </c>
      <c r="O3" s="12">
        <f>Table1461012142422323436384044485052481113151719212325272931333539[[#This Row],[R]]/2</f>
        <v>4.7019675925925923E-4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Table1461012142422323436384044485052481113151719212325272931333539[[#This Row],[Thresh]]</f>
        <v>1.1478061868686869E-3</v>
      </c>
      <c r="N4" s="9">
        <f>Table1461012142422323436384044485052481113151719212325272931333539[[#This Row],[Thresh]]*2.5</f>
        <v>2.8695154671717171E-3</v>
      </c>
      <c r="O4" s="12">
        <f>Table1461012142422323436384044485052481113151719212325272931333539[[#This Row],[R]]/2</f>
        <v>4.6296296296296293E-4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58</v>
      </c>
      <c r="O6" s="15" t="s">
        <v>117</v>
      </c>
      <c r="P6" s="15" t="s">
        <v>118</v>
      </c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28</v>
      </c>
      <c r="B7" s="9">
        <v>1.1689814814814814E-2</v>
      </c>
      <c r="C7" s="9">
        <v>3.3564814814814811E-3</v>
      </c>
      <c r="D7" s="9">
        <f t="shared" ref="D7:D15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Table1461012142422323436384044485052481113151719212325272931333539[[#This Row],[Thresh]]</f>
        <v>1.0304748877665545E-3</v>
      </c>
      <c r="N7" s="9">
        <f>Table1461012142422323436384044485052481113151719212325272931333539[[#This Row],[Thresh]]*2.5</f>
        <v>2.5761872194163863E-3</v>
      </c>
      <c r="O7" s="12">
        <f>Table1461012142422323436384044485052481113151719212325272931333539[[#This Row],[R]]/2</f>
        <v>4.1956018518518514E-4</v>
      </c>
      <c r="P7" s="9">
        <f>Table1461012142422323436384044485052481113151719212325272931333539[[#This Row],[200 R]]*1.5</f>
        <v>6.2934027777777771E-4</v>
      </c>
      <c r="Q7" s="12"/>
      <c r="R7" s="9"/>
      <c r="S7" s="12"/>
      <c r="T7" s="12"/>
      <c r="U7" s="9"/>
      <c r="V7" s="13" t="s">
        <v>30</v>
      </c>
      <c r="W7" s="108"/>
    </row>
    <row r="8" spans="1:23" ht="17.149999999999999" customHeight="1" x14ac:dyDescent="0.35">
      <c r="A8" s="8" t="s">
        <v>31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Table1461012142422323436384044485052481113151719212325272931333539[[#This Row],[Thresh]]</f>
        <v>1.0304748877665545E-3</v>
      </c>
      <c r="N8" s="9">
        <f>Table1461012142422323436384044485052481113151719212325272931333539[[#This Row],[Thresh]]*2.5</f>
        <v>2.5761872194163863E-3</v>
      </c>
      <c r="O8" s="12">
        <f>Table1461012142422323436384044485052481113151719212325272931333539[[#This Row],[R]]/2</f>
        <v>4.1956018518518514E-4</v>
      </c>
      <c r="P8" s="9">
        <f>Table1461012142422323436384044485052481113151719212325272931333539[[#This Row],[200 R]]*1.5</f>
        <v>6.2934027777777771E-4</v>
      </c>
      <c r="Q8" s="12"/>
      <c r="R8" s="9"/>
      <c r="S8" s="12"/>
      <c r="T8" s="9"/>
      <c r="U8" s="9"/>
      <c r="V8" s="13" t="s">
        <v>30</v>
      </c>
      <c r="W8" s="108"/>
    </row>
    <row r="9" spans="1:23" ht="17.149999999999999" customHeight="1" x14ac:dyDescent="0.35">
      <c r="A9" s="8" t="s">
        <v>52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Table1461012142422323436384044485052481113151719212325272931333539[[#This Row],[Thresh]]</f>
        <v>1.0406776094276093E-3</v>
      </c>
      <c r="N9" s="9">
        <f>Table1461012142422323436384044485052481113151719212325272931333539[[#This Row],[Thresh]]*2.5</f>
        <v>2.6016940235690234E-3</v>
      </c>
      <c r="O9" s="12">
        <f>Table1461012142422323436384044485052481113151719212325272931333539[[#This Row],[R]]/2</f>
        <v>4.3402777777777775E-4</v>
      </c>
      <c r="P9" s="9">
        <f>Table1461012142422323436384044485052481113151719212325272931333539[[#This Row],[200 R]]*1.5</f>
        <v>6.5104166666666663E-4</v>
      </c>
      <c r="Q9" s="12"/>
      <c r="R9" s="9"/>
      <c r="S9" s="12"/>
      <c r="T9" s="9"/>
      <c r="U9" s="9"/>
      <c r="V9" s="13" t="s">
        <v>30</v>
      </c>
      <c r="W9" s="108"/>
    </row>
    <row r="10" spans="1:23" ht="17.149999999999999" customHeight="1" x14ac:dyDescent="0.35">
      <c r="A10" s="8" t="s">
        <v>32</v>
      </c>
      <c r="B10" s="9">
        <v>1.238425925925926E-2</v>
      </c>
      <c r="C10" s="9">
        <v>3.5879629629629629E-3</v>
      </c>
      <c r="D10" s="9">
        <f t="shared" si="7"/>
        <v>7.2051620370370368E-3</v>
      </c>
      <c r="E10" s="10">
        <v>0.58179999999999998</v>
      </c>
      <c r="F10" s="9">
        <f t="shared" si="0"/>
        <v>8.9699074074074073E-4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Table1461012142422323436384044485052481113151719212325272931333539[[#This Row],[Thresh]]</f>
        <v>1.0916912177328843E-3</v>
      </c>
      <c r="N10" s="9">
        <f>Table1461012142422323436384044485052481113151719212325272931333539[[#This Row],[Thresh]]*2.5</f>
        <v>2.7292280443322109E-3</v>
      </c>
      <c r="O10" s="12">
        <f>Table1461012142422323436384044485052481113151719212325272931333539[[#This Row],[R]]/2</f>
        <v>4.4849537037037037E-4</v>
      </c>
      <c r="P10" s="9">
        <f>Table1461012142422323436384044485052481113151719212325272931333539[[#This Row],[200 R]]*1.5</f>
        <v>6.7274305555555555E-4</v>
      </c>
      <c r="Q10" s="12"/>
      <c r="R10" s="9"/>
      <c r="S10" s="12"/>
      <c r="T10" s="12"/>
      <c r="U10" s="9"/>
      <c r="V10" s="13" t="s">
        <v>30</v>
      </c>
      <c r="W10" s="104" t="s">
        <v>166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 t="shared" si="7"/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Table1461012142422323436384044485052481113151719212325272931333539[[#This Row],[Thresh]]</f>
        <v>1.1478061868686869E-3</v>
      </c>
      <c r="N11" s="9">
        <f>Table1461012142422323436384044485052481113151719212325272931333539[[#This Row],[Thresh]]*2.5</f>
        <v>2.8695154671717171E-3</v>
      </c>
      <c r="O11" s="12">
        <f>Table1461012142422323436384044485052481113151719212325272931333539[[#This Row],[R]]/2</f>
        <v>4.6296296296296298E-4</v>
      </c>
      <c r="P11" s="9">
        <f>Table1461012142422323436384044485052481113151719212325272931333539[[#This Row],[200 R]]*1.5</f>
        <v>6.9444444444444447E-4</v>
      </c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 t="s">
        <v>39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134</v>
      </c>
      <c r="W12" s="104"/>
    </row>
    <row r="13" spans="1:23" ht="17.149999999999999" customHeight="1" x14ac:dyDescent="0.35">
      <c r="A13" s="8" t="s">
        <v>41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134</v>
      </c>
      <c r="W13" s="104"/>
    </row>
    <row r="14" spans="1:23" ht="17.149999999999999" customHeight="1" x14ac:dyDescent="0.35">
      <c r="A14" s="8" t="s">
        <v>42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134</v>
      </c>
      <c r="W14" s="104"/>
    </row>
    <row r="15" spans="1:23" ht="17.149999999999999" customHeight="1" x14ac:dyDescent="0.35">
      <c r="A15" s="8" t="s">
        <v>44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134</v>
      </c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14"/>
      <c r="B17" s="15"/>
      <c r="C17" s="15"/>
      <c r="D17" s="15"/>
      <c r="E17" s="16"/>
      <c r="F17" s="15">
        <f t="shared" ref="F17:F27" si="8">C17/4</f>
        <v>0</v>
      </c>
      <c r="G17" s="15">
        <f t="shared" ref="G17:G27" si="9">D17/7.5</f>
        <v>0</v>
      </c>
      <c r="H17" s="15">
        <f t="shared" ref="H17:H27" si="10">B17/12.5</f>
        <v>0</v>
      </c>
      <c r="I17" s="15">
        <f t="shared" ref="I17:I27" si="11">G17/0.93</f>
        <v>0</v>
      </c>
      <c r="J17" s="15">
        <f t="shared" ref="J17:J27" si="12">G17/0.92</f>
        <v>0</v>
      </c>
      <c r="K17" s="15">
        <f t="shared" ref="K17:K27" si="13">G17/0.88</f>
        <v>0</v>
      </c>
      <c r="L17" s="15">
        <f t="shared" ref="L17:L27" si="14">G17/0.84</f>
        <v>0</v>
      </c>
      <c r="M17" s="30" t="s">
        <v>12</v>
      </c>
      <c r="N17" s="15" t="s">
        <v>13</v>
      </c>
      <c r="O17" s="15" t="s">
        <v>136</v>
      </c>
      <c r="P17" s="15" t="s">
        <v>144</v>
      </c>
      <c r="Q17" s="15" t="s">
        <v>133</v>
      </c>
      <c r="R17" s="15"/>
      <c r="S17" s="15"/>
      <c r="T17" s="15"/>
      <c r="U17" s="15"/>
      <c r="V17" s="17"/>
      <c r="W17" s="104"/>
    </row>
    <row r="18" spans="1:23" ht="17.149999999999999" customHeight="1" x14ac:dyDescent="0.35">
      <c r="A18" s="8" t="s">
        <v>55</v>
      </c>
      <c r="B18" s="9">
        <v>1.1574074074074073E-2</v>
      </c>
      <c r="C18" s="9">
        <v>3.472222222222222E-3</v>
      </c>
      <c r="D18" s="9">
        <f t="shared" ref="D18:D27" si="15">B18*E18</f>
        <v>6.7337962962962959E-3</v>
      </c>
      <c r="E18" s="10">
        <v>0.58179999999999998</v>
      </c>
      <c r="F18" s="9">
        <f t="shared" si="8"/>
        <v>8.6805555555555551E-4</v>
      </c>
      <c r="G18" s="9">
        <f t="shared" si="9"/>
        <v>8.9783950617283942E-4</v>
      </c>
      <c r="H18" s="9">
        <f t="shared" si="10"/>
        <v>9.2592592592592585E-4</v>
      </c>
      <c r="I18" s="9">
        <f t="shared" si="11"/>
        <v>9.6541882384176272E-4</v>
      </c>
      <c r="J18" s="9">
        <f t="shared" si="12"/>
        <v>9.7591250670960798E-4</v>
      </c>
      <c r="K18" s="9">
        <f t="shared" si="13"/>
        <v>1.0202721661054994E-3</v>
      </c>
      <c r="L18" s="9">
        <f t="shared" si="14"/>
        <v>1.068856554967666E-3</v>
      </c>
      <c r="M18" s="11">
        <f>Table1461012142422323436384044485052481113151719212325272931333539[[#This Row],[Thresh]]</f>
        <v>1.0202721661054994E-3</v>
      </c>
      <c r="N18" s="9">
        <f>Table1461012142422323436384044485052481113151719212325272931333539[[#This Row],[Thresh]]*2</f>
        <v>2.0405443322109988E-3</v>
      </c>
      <c r="O18" s="12">
        <f>Table1461012142422323436384044485052481113151719212325272931333539[[#This Row],[CV]]</f>
        <v>9.7591250670960798E-4</v>
      </c>
      <c r="P18" s="9">
        <f>Table1461012142422323436384044485052481113151719212325272931333539[[#This Row],[CV]]*2</f>
        <v>1.951825013419216E-3</v>
      </c>
      <c r="Q18" s="12">
        <f>Table1461012142422323436384044485052481113151719212325272931333539[[#This Row],[R]]/2</f>
        <v>4.3402777777777775E-4</v>
      </c>
      <c r="R18" s="12"/>
      <c r="S18" s="12"/>
      <c r="T18" s="12"/>
      <c r="U18" s="9"/>
      <c r="V18" s="13" t="s">
        <v>48</v>
      </c>
      <c r="W18" s="104"/>
    </row>
    <row r="19" spans="1:23" ht="17.149999999999999" customHeight="1" x14ac:dyDescent="0.35">
      <c r="A19" s="8" t="s">
        <v>47</v>
      </c>
      <c r="B19" s="9">
        <v>1.2268518518518519E-2</v>
      </c>
      <c r="C19" s="9">
        <v>3.7037037037037034E-3</v>
      </c>
      <c r="D19" s="9">
        <f t="shared" si="15"/>
        <v>7.1378240740740742E-3</v>
      </c>
      <c r="E19" s="10">
        <v>0.58179999999999998</v>
      </c>
      <c r="F19" s="9">
        <f t="shared" si="8"/>
        <v>9.2592592592592585E-4</v>
      </c>
      <c r="G19" s="9">
        <f t="shared" si="9"/>
        <v>9.5170987654320989E-4</v>
      </c>
      <c r="H19" s="9">
        <f t="shared" si="10"/>
        <v>9.8148148148148161E-4</v>
      </c>
      <c r="I19" s="9">
        <f t="shared" si="11"/>
        <v>1.0233439532722685E-3</v>
      </c>
      <c r="J19" s="9">
        <f t="shared" si="12"/>
        <v>1.0344672571121847E-3</v>
      </c>
      <c r="K19" s="9">
        <f t="shared" si="13"/>
        <v>1.0814884960718295E-3</v>
      </c>
      <c r="L19" s="9">
        <f t="shared" si="14"/>
        <v>1.1329879482657262E-3</v>
      </c>
      <c r="M19" s="11">
        <f>Table1461012142422323436384044485052481113151719212325272931333539[[#This Row],[Thresh]]</f>
        <v>1.0814884960718295E-3</v>
      </c>
      <c r="N19" s="9">
        <f>Table1461012142422323436384044485052481113151719212325272931333539[[#This Row],[Thresh]]*2</f>
        <v>2.1629769921436589E-3</v>
      </c>
      <c r="O19" s="12">
        <f>Table1461012142422323436384044485052481113151719212325272931333539[[#This Row],[CV]]</f>
        <v>1.0344672571121847E-3</v>
      </c>
      <c r="P19" s="9">
        <f>Table1461012142422323436384044485052481113151719212325272931333539[[#This Row],[CV]]*2</f>
        <v>2.0689345142243694E-3</v>
      </c>
      <c r="Q19" s="12">
        <f>Table1461012142422323436384044485052481113151719212325272931333539[[#This Row],[R]]/2</f>
        <v>4.6296296296296293E-4</v>
      </c>
      <c r="R19" s="12"/>
      <c r="S19" s="12"/>
      <c r="T19" s="12"/>
      <c r="U19" s="9"/>
      <c r="V19" s="13" t="s">
        <v>48</v>
      </c>
      <c r="W19" s="104" t="s">
        <v>167</v>
      </c>
    </row>
    <row r="20" spans="1:23" ht="17.149999999999999" customHeight="1" x14ac:dyDescent="0.35">
      <c r="A20" s="8" t="s">
        <v>49</v>
      </c>
      <c r="B20" s="9">
        <v>1.238425925925926E-2</v>
      </c>
      <c r="C20" s="9">
        <v>3.7037037037037034E-3</v>
      </c>
      <c r="D20" s="9">
        <f t="shared" si="15"/>
        <v>7.2051620370370368E-3</v>
      </c>
      <c r="E20" s="10">
        <v>0.58179999999999998</v>
      </c>
      <c r="F20" s="9">
        <f t="shared" si="8"/>
        <v>9.2592592592592585E-4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Table1461012142422323436384044485052481113151719212325272931333539[[#This Row],[Thresh]]</f>
        <v>1.0916912177328843E-3</v>
      </c>
      <c r="N20" s="9">
        <f>Table1461012142422323436384044485052481113151719212325272931333539[[#This Row],[Thresh]]*2</f>
        <v>2.1833824354657687E-3</v>
      </c>
      <c r="O20" s="12">
        <f>Table1461012142422323436384044485052481113151719212325272931333539[[#This Row],[CV]]</f>
        <v>1.0442263821792807E-3</v>
      </c>
      <c r="P20" s="9">
        <f>Table1461012142422323436384044485052481113151719212325272931333539[[#This Row],[CV]]*2</f>
        <v>2.0884527643585614E-3</v>
      </c>
      <c r="Q20" s="12">
        <f>Table1461012142422323436384044485052481113151719212325272931333539[[#This Row],[R]]/2</f>
        <v>4.6296296296296293E-4</v>
      </c>
      <c r="R20" s="12"/>
      <c r="S20" s="12"/>
      <c r="T20" s="12"/>
      <c r="U20" s="9"/>
      <c r="V20" s="13" t="s">
        <v>48</v>
      </c>
      <c r="W20" s="104"/>
    </row>
    <row r="21" spans="1:23" ht="17.149999999999999" customHeight="1" x14ac:dyDescent="0.35">
      <c r="A21" s="8" t="s">
        <v>33</v>
      </c>
      <c r="B21" s="9">
        <v>1.238425925925926E-2</v>
      </c>
      <c r="C21" s="9">
        <v>3.645833333333333E-3</v>
      </c>
      <c r="D21" s="9">
        <f t="shared" si="15"/>
        <v>7.2051620370370368E-3</v>
      </c>
      <c r="E21" s="10">
        <v>0.58179999999999998</v>
      </c>
      <c r="F21" s="9">
        <f t="shared" si="8"/>
        <v>9.1145833333333324E-4</v>
      </c>
      <c r="G21" s="9">
        <f t="shared" si="9"/>
        <v>9.6068827160493821E-4</v>
      </c>
      <c r="H21" s="9">
        <f t="shared" si="10"/>
        <v>9.9074074074074082E-4</v>
      </c>
      <c r="I21" s="9">
        <f t="shared" si="11"/>
        <v>1.0329981415106862E-3</v>
      </c>
      <c r="J21" s="9">
        <f t="shared" si="12"/>
        <v>1.0442263821792807E-3</v>
      </c>
      <c r="K21" s="9">
        <f t="shared" si="13"/>
        <v>1.0916912177328843E-3</v>
      </c>
      <c r="L21" s="9">
        <f t="shared" si="14"/>
        <v>1.1436765138154027E-3</v>
      </c>
      <c r="M21" s="11">
        <f>Table1461012142422323436384044485052481113151719212325272931333539[[#This Row],[Thresh]]</f>
        <v>1.0916912177328843E-3</v>
      </c>
      <c r="N21" s="9">
        <f>Table1461012142422323436384044485052481113151719212325272931333539[[#This Row],[Thresh]]*2</f>
        <v>2.1833824354657687E-3</v>
      </c>
      <c r="O21" s="12">
        <f>Table1461012142422323436384044485052481113151719212325272931333539[[#This Row],[CV]]</f>
        <v>1.0442263821792807E-3</v>
      </c>
      <c r="P21" s="9">
        <f>Table1461012142422323436384044485052481113151719212325272931333539[[#This Row],[CV]]*2</f>
        <v>2.0884527643585614E-3</v>
      </c>
      <c r="Q21" s="12">
        <f>Table1461012142422323436384044485052481113151719212325272931333539[[#This Row],[R]]/2</f>
        <v>4.5572916666666662E-4</v>
      </c>
      <c r="R21" s="12"/>
      <c r="S21" s="12"/>
      <c r="T21" s="12"/>
      <c r="U21" s="9"/>
      <c r="V21" s="13" t="s">
        <v>48</v>
      </c>
      <c r="W21" s="104"/>
    </row>
    <row r="22" spans="1:23" ht="17.149999999999999" customHeight="1" x14ac:dyDescent="0.35">
      <c r="A22" s="8" t="s">
        <v>51</v>
      </c>
      <c r="B22" s="9">
        <v>1.2499999999999999E-2</v>
      </c>
      <c r="C22" s="9">
        <v>3.7037037037037034E-3</v>
      </c>
      <c r="D22" s="9">
        <f t="shared" si="15"/>
        <v>7.2724999999999995E-3</v>
      </c>
      <c r="E22" s="10">
        <v>0.58179999999999998</v>
      </c>
      <c r="F22" s="9">
        <f t="shared" si="8"/>
        <v>9.2592592592592585E-4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Table1461012142422323436384044485052481113151719212325272931333539[[#This Row],[Thresh]]</f>
        <v>1.1018939393939394E-3</v>
      </c>
      <c r="N22" s="9">
        <f>Table1461012142422323436384044485052481113151719212325272931333539[[#This Row],[Thresh]]*2</f>
        <v>2.2037878787878789E-3</v>
      </c>
      <c r="O22" s="12">
        <f>Table1461012142422323436384044485052481113151719212325272931333539[[#This Row],[CV]]</f>
        <v>1.0539855072463768E-3</v>
      </c>
      <c r="P22" s="9">
        <f>Table1461012142422323436384044485052481113151719212325272931333539[[#This Row],[CV]]*2</f>
        <v>2.1079710144927535E-3</v>
      </c>
      <c r="Q22" s="12">
        <f>Table1461012142422323436384044485052481113151719212325272931333539[[#This Row],[R]]/2</f>
        <v>4.6296296296296293E-4</v>
      </c>
      <c r="R22" s="12"/>
      <c r="S22" s="12"/>
      <c r="T22" s="12"/>
      <c r="U22" s="9"/>
      <c r="V22" s="13" t="s">
        <v>48</v>
      </c>
      <c r="W22" s="104"/>
    </row>
    <row r="23" spans="1:23" ht="17.149999999999999" customHeight="1" x14ac:dyDescent="0.35">
      <c r="A23" s="8" t="s">
        <v>37</v>
      </c>
      <c r="B23" s="9">
        <v>1.238425925925926E-2</v>
      </c>
      <c r="C23" s="9">
        <v>3.8194444444444443E-3</v>
      </c>
      <c r="D23" s="9">
        <f t="shared" si="15"/>
        <v>7.2051620370370368E-3</v>
      </c>
      <c r="E23" s="10">
        <v>0.58179999999999998</v>
      </c>
      <c r="F23" s="9">
        <f t="shared" si="8"/>
        <v>9.5486111111111108E-4</v>
      </c>
      <c r="G23" s="9">
        <f t="shared" si="9"/>
        <v>9.6068827160493821E-4</v>
      </c>
      <c r="H23" s="9">
        <f t="shared" si="10"/>
        <v>9.9074074074074082E-4</v>
      </c>
      <c r="I23" s="9">
        <f t="shared" si="11"/>
        <v>1.0329981415106862E-3</v>
      </c>
      <c r="J23" s="9">
        <f t="shared" si="12"/>
        <v>1.0442263821792807E-3</v>
      </c>
      <c r="K23" s="9">
        <f t="shared" si="13"/>
        <v>1.0916912177328843E-3</v>
      </c>
      <c r="L23" s="9">
        <f t="shared" si="14"/>
        <v>1.1436765138154027E-3</v>
      </c>
      <c r="M23" s="11"/>
      <c r="N23" s="9"/>
      <c r="O23" s="12"/>
      <c r="P23" s="9"/>
      <c r="Q23" s="12"/>
      <c r="R23" s="12"/>
      <c r="S23" s="12"/>
      <c r="T23" s="12"/>
      <c r="U23" s="9"/>
      <c r="V23" s="13" t="s">
        <v>168</v>
      </c>
      <c r="W23" s="104"/>
    </row>
    <row r="24" spans="1:23" ht="17.149999999999999" customHeight="1" x14ac:dyDescent="0.35">
      <c r="A24" s="8" t="s">
        <v>43</v>
      </c>
      <c r="B24" s="9">
        <v>1.4236111111111111E-2</v>
      </c>
      <c r="C24" s="9">
        <v>4.0509259259259257E-3</v>
      </c>
      <c r="D24" s="9">
        <f t="shared" si="15"/>
        <v>8.2825694444444448E-3</v>
      </c>
      <c r="E24" s="10">
        <v>0.58179999999999998</v>
      </c>
      <c r="F24" s="9">
        <f t="shared" si="8"/>
        <v>1.0127314814814814E-3</v>
      </c>
      <c r="G24" s="9">
        <f t="shared" si="9"/>
        <v>1.1043425925925927E-3</v>
      </c>
      <c r="H24" s="9">
        <f t="shared" si="10"/>
        <v>1.1388888888888889E-3</v>
      </c>
      <c r="I24" s="9">
        <f t="shared" si="11"/>
        <v>1.1874651533253684E-3</v>
      </c>
      <c r="J24" s="9">
        <f t="shared" si="12"/>
        <v>1.2003723832528181E-3</v>
      </c>
      <c r="K24" s="9">
        <f t="shared" si="13"/>
        <v>1.2549347643097644E-3</v>
      </c>
      <c r="L24" s="9">
        <f t="shared" si="14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168</v>
      </c>
      <c r="W24" s="104"/>
    </row>
    <row r="25" spans="1:23" ht="17.149999999999999" customHeight="1" x14ac:dyDescent="0.35">
      <c r="A25" s="8" t="s">
        <v>38</v>
      </c>
      <c r="B25" s="9">
        <v>1.238425925925926E-2</v>
      </c>
      <c r="C25" s="9">
        <v>3.8194444444444443E-3</v>
      </c>
      <c r="D25" s="9">
        <f t="shared" si="15"/>
        <v>7.2051620370370368E-3</v>
      </c>
      <c r="E25" s="10">
        <v>0.58179999999999998</v>
      </c>
      <c r="F25" s="9">
        <f t="shared" si="8"/>
        <v>9.5486111111111108E-4</v>
      </c>
      <c r="G25" s="9">
        <f t="shared" si="9"/>
        <v>9.6068827160493821E-4</v>
      </c>
      <c r="H25" s="9">
        <f t="shared" si="10"/>
        <v>9.9074074074074082E-4</v>
      </c>
      <c r="I25" s="9">
        <f t="shared" si="11"/>
        <v>1.0329981415106862E-3</v>
      </c>
      <c r="J25" s="9">
        <f t="shared" si="12"/>
        <v>1.0442263821792807E-3</v>
      </c>
      <c r="K25" s="9">
        <f t="shared" si="13"/>
        <v>1.0916912177328843E-3</v>
      </c>
      <c r="L25" s="9">
        <f t="shared" si="14"/>
        <v>1.1436765138154027E-3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168</v>
      </c>
      <c r="W25" s="104"/>
    </row>
    <row r="26" spans="1:23" ht="17.149999999999999" customHeight="1" x14ac:dyDescent="0.35">
      <c r="A26" s="8" t="s">
        <v>50</v>
      </c>
      <c r="B26" s="9">
        <v>1.2499999999999999E-2</v>
      </c>
      <c r="C26" s="9">
        <v>3.9351851851851857E-3</v>
      </c>
      <c r="D26" s="9">
        <f t="shared" si="15"/>
        <v>7.2724999999999995E-3</v>
      </c>
      <c r="E26" s="10">
        <v>0.58179999999999998</v>
      </c>
      <c r="F26" s="9">
        <f t="shared" si="8"/>
        <v>9.8379629629629642E-4</v>
      </c>
      <c r="G26" s="9">
        <f t="shared" si="9"/>
        <v>9.6966666666666664E-4</v>
      </c>
      <c r="H26" s="9">
        <f t="shared" si="10"/>
        <v>1E-3</v>
      </c>
      <c r="I26" s="9">
        <f t="shared" si="11"/>
        <v>1.0426523297491039E-3</v>
      </c>
      <c r="J26" s="9">
        <f t="shared" si="12"/>
        <v>1.0539855072463768E-3</v>
      </c>
      <c r="K26" s="9">
        <f t="shared" si="13"/>
        <v>1.1018939393939394E-3</v>
      </c>
      <c r="L26" s="9">
        <f t="shared" si="14"/>
        <v>1.1543650793650795E-3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168</v>
      </c>
      <c r="W26" s="104"/>
    </row>
    <row r="27" spans="1:23" ht="17.149999999999999" customHeight="1" x14ac:dyDescent="0.35">
      <c r="A27" s="8" t="s">
        <v>40</v>
      </c>
      <c r="B27" s="9">
        <v>1.3020833333333334E-2</v>
      </c>
      <c r="C27" s="9">
        <v>3.8194444444444443E-3</v>
      </c>
      <c r="D27" s="9">
        <f t="shared" si="15"/>
        <v>7.5755208333333334E-3</v>
      </c>
      <c r="E27" s="10">
        <v>0.58179999999999998</v>
      </c>
      <c r="F27" s="9">
        <f t="shared" si="8"/>
        <v>9.5486111111111108E-4</v>
      </c>
      <c r="G27" s="9">
        <f t="shared" si="9"/>
        <v>1.0100694444444445E-3</v>
      </c>
      <c r="H27" s="9">
        <f t="shared" si="10"/>
        <v>1.0416666666666667E-3</v>
      </c>
      <c r="I27" s="9">
        <f t="shared" si="11"/>
        <v>1.0860961768219832E-3</v>
      </c>
      <c r="J27" s="9">
        <f t="shared" si="12"/>
        <v>1.0979015700483092E-3</v>
      </c>
      <c r="K27" s="9">
        <f t="shared" si="13"/>
        <v>1.1478061868686869E-3</v>
      </c>
      <c r="L27" s="9">
        <f t="shared" si="14"/>
        <v>1.2024636243386244E-3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168</v>
      </c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5" t="s">
        <v>169</v>
      </c>
    </row>
    <row r="29" spans="1:23" ht="17.149999999999999" customHeight="1" x14ac:dyDescent="0.35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164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58</v>
      </c>
      <c r="O34" s="6" t="s">
        <v>133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 t="s">
        <v>170</v>
      </c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7" si="16">B35*E35</f>
        <v>6.0604166666666662E-3</v>
      </c>
      <c r="E35" s="10">
        <v>0.58179999999999998</v>
      </c>
      <c r="F35" s="9">
        <f t="shared" ref="F35:F48" si="17">C35/4</f>
        <v>7.378472222222222E-4</v>
      </c>
      <c r="G35" s="9">
        <f t="shared" ref="G35:G48" si="18">D35/7.5</f>
        <v>8.0805555555555546E-4</v>
      </c>
      <c r="H35" s="9">
        <f t="shared" ref="H35:H48" si="19">B35/12.5</f>
        <v>8.3333333333333328E-4</v>
      </c>
      <c r="I35" s="9">
        <f t="shared" ref="I35:I48" si="20">G35/0.93</f>
        <v>8.6887694145758646E-4</v>
      </c>
      <c r="J35" s="9">
        <f t="shared" ref="J35:J48" si="21">G35/0.92</f>
        <v>8.7832125603864715E-4</v>
      </c>
      <c r="K35" s="9">
        <f t="shared" ref="K35:K48" si="22">G35/0.88</f>
        <v>9.1824494949494938E-4</v>
      </c>
      <c r="L35" s="9">
        <f t="shared" ref="L35:L48" si="23">G35/0.84</f>
        <v>9.6197089947089938E-4</v>
      </c>
      <c r="M35" s="11">
        <f>Table2571113152523333537394145495153591214161820222426283032343640[[#This Row],[Thresh]]</f>
        <v>9.1824494949494938E-4</v>
      </c>
      <c r="N35" s="9">
        <f>Table2571113152523333537394145495153591214161820222426283032343640[[#This Row],[Thresh]]*2.5</f>
        <v>2.2956123737373733E-3</v>
      </c>
      <c r="O35" s="24">
        <f>Table2571113152523333537394145495153591214161820222426283032343640[[#This Row],[R]]/2</f>
        <v>3.689236111111111E-4</v>
      </c>
      <c r="P35" s="9"/>
      <c r="Q35" s="24"/>
      <c r="R35" s="9"/>
      <c r="S35" s="12"/>
      <c r="T35" s="96"/>
      <c r="U35" s="9"/>
      <c r="V35" s="23" t="s">
        <v>24</v>
      </c>
      <c r="W35" s="104"/>
    </row>
    <row r="36" spans="1:23" ht="17.149999999999999" customHeight="1" x14ac:dyDescent="0.35">
      <c r="A36" s="8" t="s">
        <v>61</v>
      </c>
      <c r="B36" s="9">
        <v>1.0416666666666666E-2</v>
      </c>
      <c r="C36" s="9">
        <v>2.8935185185185188E-3</v>
      </c>
      <c r="D36" s="9">
        <f t="shared" si="16"/>
        <v>6.0604166666666662E-3</v>
      </c>
      <c r="E36" s="10">
        <v>0.58179999999999998</v>
      </c>
      <c r="F36" s="9">
        <f t="shared" si="17"/>
        <v>7.233796296296297E-4</v>
      </c>
      <c r="G36" s="9">
        <f t="shared" si="18"/>
        <v>8.0805555555555546E-4</v>
      </c>
      <c r="H36" s="9">
        <f t="shared" si="19"/>
        <v>8.3333333333333328E-4</v>
      </c>
      <c r="I36" s="9">
        <f t="shared" si="20"/>
        <v>8.6887694145758646E-4</v>
      </c>
      <c r="J36" s="9">
        <f t="shared" si="21"/>
        <v>8.7832125603864715E-4</v>
      </c>
      <c r="K36" s="9">
        <f t="shared" si="22"/>
        <v>9.1824494949494938E-4</v>
      </c>
      <c r="L36" s="9">
        <f t="shared" si="23"/>
        <v>9.6197089947089938E-4</v>
      </c>
      <c r="M36" s="11">
        <f>Table2571113152523333537394145495153591214161820222426283032343640[[#This Row],[Thresh]]</f>
        <v>9.1824494949494938E-4</v>
      </c>
      <c r="N36" s="9">
        <f>Table2571113152523333537394145495153591214161820222426283032343640[[#This Row],[Thresh]]*2.5</f>
        <v>2.2956123737373733E-3</v>
      </c>
      <c r="O36" s="24">
        <f>Table2571113152523333537394145495153591214161820222426283032343640[[#This Row],[R]]/2</f>
        <v>3.6168981481481485E-4</v>
      </c>
      <c r="P36" s="9"/>
      <c r="Q36" s="24"/>
      <c r="R36" s="9"/>
      <c r="S36" s="12"/>
      <c r="T36" s="9"/>
      <c r="U36" s="9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16"/>
        <v>6.0604166666666662E-3</v>
      </c>
      <c r="E37" s="10">
        <v>0.58179999999999998</v>
      </c>
      <c r="F37" s="9">
        <f t="shared" si="17"/>
        <v>7.4363425925925931E-4</v>
      </c>
      <c r="G37" s="9">
        <f t="shared" si="18"/>
        <v>8.0805555555555546E-4</v>
      </c>
      <c r="H37" s="9">
        <f t="shared" si="19"/>
        <v>8.3333333333333328E-4</v>
      </c>
      <c r="I37" s="9">
        <f t="shared" si="20"/>
        <v>8.6887694145758646E-4</v>
      </c>
      <c r="J37" s="9">
        <f t="shared" si="21"/>
        <v>8.7832125603864715E-4</v>
      </c>
      <c r="K37" s="9">
        <f t="shared" si="22"/>
        <v>9.1824494949494938E-4</v>
      </c>
      <c r="L37" s="9">
        <f t="shared" si="23"/>
        <v>9.6197089947089938E-4</v>
      </c>
      <c r="M37" s="11">
        <f>Table2571113152523333537394145495153591214161820222426283032343640[[#This Row],[Thresh]]</f>
        <v>9.1824494949494938E-4</v>
      </c>
      <c r="N37" s="9">
        <f>Table2571113152523333537394145495153591214161820222426283032343640[[#This Row],[Thresh]]*2.5</f>
        <v>2.2956123737373733E-3</v>
      </c>
      <c r="O37" s="24">
        <f>Table2571113152523333537394145495153591214161820222426283032343640[[#This Row],[R]]/2</f>
        <v>3.7181712962962966E-4</v>
      </c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16"/>
        <v>6.3297685185185184E-3</v>
      </c>
      <c r="E38" s="10">
        <v>0.58179999999999998</v>
      </c>
      <c r="F38" s="9">
        <f t="shared" si="17"/>
        <v>7.5231481481481471E-4</v>
      </c>
      <c r="G38" s="9">
        <f t="shared" si="18"/>
        <v>8.4396913580246917E-4</v>
      </c>
      <c r="H38" s="9">
        <f t="shared" si="19"/>
        <v>8.7037037037037042E-4</v>
      </c>
      <c r="I38" s="9">
        <f t="shared" si="20"/>
        <v>9.0749369441125711E-4</v>
      </c>
      <c r="J38" s="9">
        <f t="shared" si="21"/>
        <v>9.173577563070317E-4</v>
      </c>
      <c r="K38" s="9">
        <f t="shared" si="22"/>
        <v>9.5905583613916951E-4</v>
      </c>
      <c r="L38" s="9">
        <f t="shared" si="23"/>
        <v>1.0047251616696062E-3</v>
      </c>
      <c r="M38" s="11">
        <f>Table2571113152523333537394145495153591214161820222426283032343640[[#This Row],[Thresh]]</f>
        <v>9.5905583613916951E-4</v>
      </c>
      <c r="N38" s="9">
        <f>Table2571113152523333537394145495153591214161820222426283032343640[[#This Row],[Thresh]]*2.5</f>
        <v>2.3976395903479238E-3</v>
      </c>
      <c r="O38" s="24">
        <f>Table2571113152523333537394145495153591214161820222426283032343640[[#This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16"/>
        <v>6.3297685185185184E-3</v>
      </c>
      <c r="E39" s="10">
        <v>0.58179999999999998</v>
      </c>
      <c r="F39" s="9">
        <f t="shared" si="17"/>
        <v>7.5231481481481471E-4</v>
      </c>
      <c r="G39" s="9">
        <f t="shared" si="18"/>
        <v>8.4396913580246917E-4</v>
      </c>
      <c r="H39" s="9">
        <f t="shared" si="19"/>
        <v>8.7037037037037042E-4</v>
      </c>
      <c r="I39" s="9">
        <f t="shared" si="20"/>
        <v>9.0749369441125711E-4</v>
      </c>
      <c r="J39" s="9">
        <f t="shared" si="21"/>
        <v>9.173577563070317E-4</v>
      </c>
      <c r="K39" s="9">
        <f t="shared" si="22"/>
        <v>9.5905583613916951E-4</v>
      </c>
      <c r="L39" s="9">
        <f t="shared" si="23"/>
        <v>1.0047251616696062E-3</v>
      </c>
      <c r="M39" s="11">
        <f>Table2571113152523333537394145495153591214161820222426283032343640[[#This Row],[Thresh]]</f>
        <v>9.5905583613916951E-4</v>
      </c>
      <c r="N39" s="9">
        <f>Table2571113152523333537394145495153591214161820222426283032343640[[#This Row],[Thresh]]*2.5</f>
        <v>2.3976395903479238E-3</v>
      </c>
      <c r="O39" s="24">
        <f>Table2571113152523333537394145495153591214161820222426283032343640[[#This Row],[R]]/2</f>
        <v>3.7615740740740735E-4</v>
      </c>
      <c r="P39" s="9"/>
      <c r="Q39" s="24"/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16"/>
        <v>6.5317824074074089E-3</v>
      </c>
      <c r="E40" s="10">
        <v>0.58179999999999998</v>
      </c>
      <c r="F40" s="9">
        <f t="shared" si="17"/>
        <v>7.8124999999999993E-4</v>
      </c>
      <c r="G40" s="9">
        <f t="shared" si="18"/>
        <v>8.7090432098765457E-4</v>
      </c>
      <c r="H40" s="9">
        <f t="shared" si="19"/>
        <v>8.9814814814814835E-4</v>
      </c>
      <c r="I40" s="9">
        <f t="shared" si="20"/>
        <v>9.3645625912651019E-4</v>
      </c>
      <c r="J40" s="9">
        <f t="shared" si="21"/>
        <v>9.4663513150832011E-4</v>
      </c>
      <c r="K40" s="9">
        <f t="shared" si="22"/>
        <v>9.8966400112233477E-4</v>
      </c>
      <c r="L40" s="9">
        <f t="shared" si="23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132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16"/>
        <v>6.5317824074074089E-3</v>
      </c>
      <c r="E41" s="10">
        <v>0.58179999999999998</v>
      </c>
      <c r="F41" s="9">
        <f t="shared" si="17"/>
        <v>7.8124999999999993E-4</v>
      </c>
      <c r="G41" s="9">
        <f t="shared" si="18"/>
        <v>8.7090432098765457E-4</v>
      </c>
      <c r="H41" s="9">
        <f t="shared" si="19"/>
        <v>8.9814814814814835E-4</v>
      </c>
      <c r="I41" s="9">
        <f t="shared" si="20"/>
        <v>9.3645625912651019E-4</v>
      </c>
      <c r="J41" s="9">
        <f t="shared" si="21"/>
        <v>9.4663513150832011E-4</v>
      </c>
      <c r="K41" s="9">
        <f t="shared" si="22"/>
        <v>9.8966400112233477E-4</v>
      </c>
      <c r="L41" s="9">
        <f t="shared" si="23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132</v>
      </c>
      <c r="W41" s="104"/>
    </row>
    <row r="42" spans="1:23" ht="17.149999999999999" customHeight="1" x14ac:dyDescent="0.35">
      <c r="A42" s="8" t="s">
        <v>68</v>
      </c>
      <c r="B42" s="9">
        <v>1.1226851851851854E-2</v>
      </c>
      <c r="C42" s="9">
        <v>3.1828703703703702E-3</v>
      </c>
      <c r="D42" s="9">
        <f t="shared" si="16"/>
        <v>6.5317824074074089E-3</v>
      </c>
      <c r="E42" s="10">
        <v>0.58179999999999998</v>
      </c>
      <c r="F42" s="9">
        <f t="shared" si="17"/>
        <v>7.9571759259259255E-4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132</v>
      </c>
      <c r="W42" s="104"/>
    </row>
    <row r="43" spans="1:23" ht="17.149999999999999" customHeight="1" x14ac:dyDescent="0.35">
      <c r="A43" s="8" t="s">
        <v>81</v>
      </c>
      <c r="B43" s="9">
        <v>1.0763888888888891E-2</v>
      </c>
      <c r="C43" s="9">
        <v>3.0092592592592593E-3</v>
      </c>
      <c r="D43" s="9">
        <f t="shared" si="16"/>
        <v>6.2624305555555567E-3</v>
      </c>
      <c r="E43" s="10">
        <v>0.58179999999999998</v>
      </c>
      <c r="F43" s="9">
        <f t="shared" si="17"/>
        <v>7.5231481481481482E-4</v>
      </c>
      <c r="G43" s="9">
        <f t="shared" si="18"/>
        <v>8.3499074074074085E-4</v>
      </c>
      <c r="H43" s="9">
        <f t="shared" si="19"/>
        <v>8.6111111111111121E-4</v>
      </c>
      <c r="I43" s="9">
        <f t="shared" si="20"/>
        <v>8.9783950617283953E-4</v>
      </c>
      <c r="J43" s="9">
        <f t="shared" si="21"/>
        <v>9.0759863123993567E-4</v>
      </c>
      <c r="K43" s="9">
        <f t="shared" si="22"/>
        <v>9.4885311447811464E-4</v>
      </c>
      <c r="L43" s="9">
        <f t="shared" si="23"/>
        <v>9.9403659611992969E-4</v>
      </c>
      <c r="M43" s="11"/>
      <c r="N43" s="9"/>
      <c r="O43" s="24"/>
      <c r="P43" s="9"/>
      <c r="Q43" s="24"/>
      <c r="R43" s="9"/>
      <c r="S43" s="12"/>
      <c r="T43" s="25"/>
      <c r="V43" s="23" t="s">
        <v>132</v>
      </c>
      <c r="W43" s="104" t="s">
        <v>171</v>
      </c>
    </row>
    <row r="44" spans="1:23" ht="17.149999999999999" customHeight="1" x14ac:dyDescent="0.35">
      <c r="A44" s="8" t="s">
        <v>83</v>
      </c>
      <c r="B44" s="9">
        <v>1.0995370370370371E-2</v>
      </c>
      <c r="C44" s="9">
        <v>3.0092592592592588E-3</v>
      </c>
      <c r="D44" s="9">
        <f t="shared" si="16"/>
        <v>6.397106481481481E-3</v>
      </c>
      <c r="E44" s="10">
        <v>0.58179999999999998</v>
      </c>
      <c r="F44" s="9">
        <f t="shared" si="17"/>
        <v>7.5231481481481471E-4</v>
      </c>
      <c r="G44" s="9">
        <f t="shared" si="18"/>
        <v>8.5294753086419749E-4</v>
      </c>
      <c r="H44" s="9">
        <f t="shared" si="19"/>
        <v>8.7962962962962962E-4</v>
      </c>
      <c r="I44" s="9">
        <f t="shared" si="20"/>
        <v>9.171478826496747E-4</v>
      </c>
      <c r="J44" s="9">
        <f t="shared" si="21"/>
        <v>9.2711688137412762E-4</v>
      </c>
      <c r="K44" s="9">
        <f t="shared" si="22"/>
        <v>9.6925855780022438E-4</v>
      </c>
      <c r="L44" s="9">
        <f t="shared" si="23"/>
        <v>1.0154137272192828E-3</v>
      </c>
      <c r="M44" s="11"/>
      <c r="N44" s="9"/>
      <c r="O44" s="24"/>
      <c r="P44" s="9"/>
      <c r="Q44" s="24"/>
      <c r="R44" s="9"/>
      <c r="S44" s="12"/>
      <c r="T44" s="25"/>
      <c r="V44" s="23" t="s">
        <v>132</v>
      </c>
      <c r="W44" s="104"/>
    </row>
    <row r="45" spans="1:23" ht="17.149999999999999" customHeight="1" x14ac:dyDescent="0.35">
      <c r="A45" s="8" t="s">
        <v>91</v>
      </c>
      <c r="B45" s="9">
        <v>1.1458333333333334E-2</v>
      </c>
      <c r="C45" s="9">
        <v>3.2407407407407406E-3</v>
      </c>
      <c r="D45" s="9">
        <f t="shared" si="16"/>
        <v>6.6664583333333333E-3</v>
      </c>
      <c r="E45" s="10">
        <v>0.58179999999999998</v>
      </c>
      <c r="F45" s="9">
        <f t="shared" si="17"/>
        <v>8.1018518518518516E-4</v>
      </c>
      <c r="G45" s="9">
        <f t="shared" si="18"/>
        <v>8.888611111111111E-4</v>
      </c>
      <c r="H45" s="9">
        <f t="shared" si="19"/>
        <v>9.1666666666666676E-4</v>
      </c>
      <c r="I45" s="9">
        <f t="shared" si="20"/>
        <v>9.5576463560334524E-4</v>
      </c>
      <c r="J45" s="9">
        <f t="shared" si="21"/>
        <v>9.6615338164251206E-4</v>
      </c>
      <c r="K45" s="9">
        <f t="shared" si="22"/>
        <v>1.0100694444444445E-3</v>
      </c>
      <c r="L45" s="9">
        <f t="shared" si="23"/>
        <v>1.0581679894179894E-3</v>
      </c>
      <c r="M45" s="11"/>
      <c r="N45" s="9"/>
      <c r="O45" s="24"/>
      <c r="P45" s="9"/>
      <c r="Q45" s="24"/>
      <c r="R45" s="9"/>
      <c r="S45" s="12"/>
      <c r="V45" s="23" t="s">
        <v>132</v>
      </c>
      <c r="W45" s="104"/>
    </row>
    <row r="46" spans="1:23" ht="17.149999999999999" customHeight="1" x14ac:dyDescent="0.35">
      <c r="A46" s="8" t="s">
        <v>113</v>
      </c>
      <c r="B46" s="9">
        <v>1.1805555555555555E-2</v>
      </c>
      <c r="C46" s="9">
        <v>3.414351851851852E-3</v>
      </c>
      <c r="D46" s="9">
        <f t="shared" si="16"/>
        <v>6.868472222222222E-3</v>
      </c>
      <c r="E46" s="10">
        <v>0.58179999999999998</v>
      </c>
      <c r="F46" s="9">
        <f t="shared" si="17"/>
        <v>8.53587962962963E-4</v>
      </c>
      <c r="G46" s="9">
        <f t="shared" si="18"/>
        <v>9.1579629629629628E-4</v>
      </c>
      <c r="H46" s="9">
        <f t="shared" si="19"/>
        <v>9.4444444444444437E-4</v>
      </c>
      <c r="I46" s="9">
        <f t="shared" si="20"/>
        <v>9.8472720031859799E-4</v>
      </c>
      <c r="J46" s="9">
        <f t="shared" si="21"/>
        <v>9.9543075684380036E-4</v>
      </c>
      <c r="K46" s="9">
        <f t="shared" si="22"/>
        <v>1.0406776094276093E-3</v>
      </c>
      <c r="L46" s="9">
        <f t="shared" si="23"/>
        <v>1.0902336860670195E-3</v>
      </c>
      <c r="M46" s="11"/>
      <c r="N46" s="9"/>
      <c r="O46" s="12"/>
      <c r="P46" s="9"/>
      <c r="Q46" s="12"/>
      <c r="R46" s="9"/>
      <c r="S46" s="24"/>
      <c r="T46" s="24"/>
      <c r="V46" s="23" t="s">
        <v>132</v>
      </c>
      <c r="W46" s="104"/>
    </row>
    <row r="47" spans="1:23" ht="17.149999999999999" customHeight="1" x14ac:dyDescent="0.35">
      <c r="A47" s="8" t="s">
        <v>112</v>
      </c>
      <c r="B47" s="9">
        <v>1.1458333333333334E-2</v>
      </c>
      <c r="C47" s="9">
        <v>3.0671296296296297E-3</v>
      </c>
      <c r="D47" s="9">
        <f t="shared" si="16"/>
        <v>6.6664583333333333E-3</v>
      </c>
      <c r="E47" s="10">
        <v>0.58179999999999998</v>
      </c>
      <c r="F47" s="9">
        <f t="shared" si="17"/>
        <v>7.6678240740740743E-4</v>
      </c>
      <c r="G47" s="9">
        <f t="shared" si="18"/>
        <v>8.888611111111111E-4</v>
      </c>
      <c r="H47" s="9">
        <f t="shared" si="19"/>
        <v>9.1666666666666676E-4</v>
      </c>
      <c r="I47" s="9">
        <f t="shared" si="20"/>
        <v>9.5576463560334524E-4</v>
      </c>
      <c r="J47" s="9">
        <f t="shared" si="21"/>
        <v>9.6615338164251206E-4</v>
      </c>
      <c r="K47" s="9">
        <f t="shared" si="22"/>
        <v>1.0100694444444445E-3</v>
      </c>
      <c r="L47" s="9">
        <f t="shared" si="23"/>
        <v>1.0581679894179894E-3</v>
      </c>
      <c r="M47" s="11"/>
      <c r="N47" s="9"/>
      <c r="O47" s="24"/>
      <c r="P47" s="9"/>
      <c r="Q47" s="24"/>
      <c r="R47" s="9"/>
      <c r="S47" s="12"/>
      <c r="T47" s="96"/>
      <c r="U47" s="9"/>
      <c r="V47" s="23" t="s">
        <v>132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>
        <f t="shared" si="17"/>
        <v>0</v>
      </c>
      <c r="G48" s="9">
        <f t="shared" si="18"/>
        <v>0</v>
      </c>
      <c r="H48" s="9">
        <f t="shared" si="19"/>
        <v>0</v>
      </c>
      <c r="I48" s="9">
        <f t="shared" si="20"/>
        <v>0</v>
      </c>
      <c r="J48" s="9">
        <f t="shared" si="21"/>
        <v>0</v>
      </c>
      <c r="K48" s="9">
        <f t="shared" si="22"/>
        <v>0</v>
      </c>
      <c r="L48" s="9">
        <f t="shared" si="23"/>
        <v>0</v>
      </c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30" t="s">
        <v>12</v>
      </c>
      <c r="N49" s="15" t="s">
        <v>58</v>
      </c>
      <c r="O49" s="15" t="s">
        <v>117</v>
      </c>
      <c r="P49" s="15" t="s">
        <v>118</v>
      </c>
      <c r="Q49" s="15"/>
      <c r="R49" s="15"/>
      <c r="S49" s="15"/>
      <c r="T49" s="15"/>
      <c r="U49" s="15"/>
      <c r="V49" s="17"/>
      <c r="W49" s="104"/>
    </row>
    <row r="50" spans="1:23" ht="17.149999999999999" customHeight="1" x14ac:dyDescent="0.35">
      <c r="A50" s="8" t="s">
        <v>70</v>
      </c>
      <c r="B50" s="9">
        <v>9.780092592592592E-3</v>
      </c>
      <c r="C50" s="9">
        <v>2.8124999999999995E-3</v>
      </c>
      <c r="D50" s="9">
        <f t="shared" ref="D50:D62" si="24">B50*E50</f>
        <v>5.6900578703703696E-3</v>
      </c>
      <c r="E50" s="10">
        <v>0.58179999999999998</v>
      </c>
      <c r="F50" s="9">
        <f t="shared" ref="F50:F62" si="25">C50/4</f>
        <v>7.0312499999999987E-4</v>
      </c>
      <c r="G50" s="9">
        <f t="shared" ref="G50:G62" si="26">D50/7.5</f>
        <v>7.5867438271604926E-4</v>
      </c>
      <c r="H50" s="9">
        <f t="shared" ref="H50:H62" si="27">B50/12.5</f>
        <v>7.8240740740740734E-4</v>
      </c>
      <c r="I50" s="9">
        <f t="shared" ref="I50:I62" si="28">G50/0.93</f>
        <v>8.1577890614628948E-4</v>
      </c>
      <c r="J50" s="9">
        <f t="shared" ref="J50:J62" si="29">G50/0.92</f>
        <v>8.2464606816961877E-4</v>
      </c>
      <c r="K50" s="9">
        <f t="shared" ref="K50:K62" si="30">G50/0.88</f>
        <v>8.6212998035914683E-4</v>
      </c>
      <c r="L50" s="9">
        <f t="shared" ref="L50:L62" si="31">G50/0.84</f>
        <v>9.031837889476777E-4</v>
      </c>
      <c r="M50" s="11">
        <f>Table2571113152523333537394145495153591214161820222426283032343640[[#This Row],[Thresh]]</f>
        <v>8.6212998035914683E-4</v>
      </c>
      <c r="N50" s="9">
        <f>Table2571113152523333537394145495153591214161820222426283032343640[[#This Row],[Thresh]]*2.5</f>
        <v>2.1553249508978671E-3</v>
      </c>
      <c r="O50" s="24">
        <f>Table2571113152523333537394145495153591214161820222426283032343640[[#This Row],[R]]/2</f>
        <v>3.5156249999999993E-4</v>
      </c>
      <c r="P50" s="9">
        <f>Table2571113152523333537394145495153591214161820222426283032343640[[#This Row],[200 R]]*1.5</f>
        <v>5.2734374999999993E-4</v>
      </c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73</v>
      </c>
      <c r="B51" s="9">
        <v>1.0011574074074074E-2</v>
      </c>
      <c r="C51" s="9">
        <v>2.8935185185185188E-3</v>
      </c>
      <c r="D51" s="9">
        <f t="shared" si="24"/>
        <v>5.8247337962962957E-3</v>
      </c>
      <c r="E51" s="10">
        <v>0.58179999999999998</v>
      </c>
      <c r="F51" s="9">
        <f t="shared" si="25"/>
        <v>7.233796296296297E-4</v>
      </c>
      <c r="G51" s="9">
        <f t="shared" si="26"/>
        <v>7.7663117283950612E-4</v>
      </c>
      <c r="H51" s="9">
        <f t="shared" si="27"/>
        <v>8.0092592592592585E-4</v>
      </c>
      <c r="I51" s="9">
        <f t="shared" si="28"/>
        <v>8.3508728262312486E-4</v>
      </c>
      <c r="J51" s="9">
        <f t="shared" si="29"/>
        <v>8.4416431830381094E-4</v>
      </c>
      <c r="K51" s="9">
        <f t="shared" si="30"/>
        <v>8.825354236812569E-4</v>
      </c>
      <c r="L51" s="9">
        <f t="shared" si="31"/>
        <v>9.2456092004703113E-4</v>
      </c>
      <c r="M51" s="11">
        <f>Table2571113152523333537394145495153591214161820222426283032343640[[#This Row],[Thresh]]</f>
        <v>8.825354236812569E-4</v>
      </c>
      <c r="N51" s="9">
        <f>Table2571113152523333537394145495153591214161820222426283032343640[[#This Row],[Thresh]]*2.5</f>
        <v>2.2063385592031421E-3</v>
      </c>
      <c r="O51" s="24">
        <f>Table2571113152523333537394145495153591214161820222426283032343640[[#This Row],[R]]/2</f>
        <v>3.6168981481481485E-4</v>
      </c>
      <c r="P51" s="9">
        <f>Table2571113152523333537394145495153591214161820222426283032343640[[#This Row],[200 R]]*1.5</f>
        <v>5.4253472222222225E-4</v>
      </c>
      <c r="Q51" s="24"/>
      <c r="R51" s="9"/>
      <c r="S51" s="24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76</v>
      </c>
      <c r="B52" s="9">
        <v>1.0011574074074074E-2</v>
      </c>
      <c r="C52" s="9">
        <v>2.9513888888888888E-3</v>
      </c>
      <c r="D52" s="9">
        <f t="shared" si="24"/>
        <v>5.8247337962962957E-3</v>
      </c>
      <c r="E52" s="10">
        <v>0.58179999999999998</v>
      </c>
      <c r="F52" s="9">
        <f t="shared" si="25"/>
        <v>7.378472222222222E-4</v>
      </c>
      <c r="G52" s="9">
        <f t="shared" si="26"/>
        <v>7.7663117283950612E-4</v>
      </c>
      <c r="H52" s="9">
        <f t="shared" si="27"/>
        <v>8.0092592592592585E-4</v>
      </c>
      <c r="I52" s="9">
        <f t="shared" si="28"/>
        <v>8.3508728262312486E-4</v>
      </c>
      <c r="J52" s="9">
        <f t="shared" si="29"/>
        <v>8.4416431830381094E-4</v>
      </c>
      <c r="K52" s="9">
        <f t="shared" si="30"/>
        <v>8.825354236812569E-4</v>
      </c>
      <c r="L52" s="9">
        <f t="shared" si="31"/>
        <v>9.2456092004703113E-4</v>
      </c>
      <c r="M52" s="11">
        <f>Table2571113152523333537394145495153591214161820222426283032343640[[#This Row],[Thresh]]</f>
        <v>8.825354236812569E-4</v>
      </c>
      <c r="N52" s="9">
        <f>Table2571113152523333537394145495153591214161820222426283032343640[[#This Row],[Thresh]]*2.5</f>
        <v>2.2063385592031421E-3</v>
      </c>
      <c r="O52" s="24">
        <f>Table2571113152523333537394145495153591214161820222426283032343640[[#This Row],[R]]/2</f>
        <v>3.689236111111111E-4</v>
      </c>
      <c r="P52" s="9">
        <f>Table2571113152523333537394145495153591214161820222426283032343640[[#This Row],[200 R]]*1.5</f>
        <v>5.5338541666666665E-4</v>
      </c>
      <c r="Q52" s="24"/>
      <c r="R52" s="9"/>
      <c r="S52" s="24"/>
      <c r="T52" s="24"/>
      <c r="U52" s="24"/>
      <c r="V52" s="23" t="s">
        <v>30</v>
      </c>
      <c r="W52" s="104" t="s">
        <v>172</v>
      </c>
    </row>
    <row r="53" spans="1:23" ht="17.149999999999999" customHeight="1" x14ac:dyDescent="0.35">
      <c r="A53" s="8" t="s">
        <v>72</v>
      </c>
      <c r="B53" s="9">
        <v>1.0127314814814815E-2</v>
      </c>
      <c r="C53" s="9">
        <v>2.8935185185185188E-3</v>
      </c>
      <c r="D53" s="9">
        <f t="shared" si="24"/>
        <v>5.8920717592592592E-3</v>
      </c>
      <c r="E53" s="10">
        <v>0.58179999999999998</v>
      </c>
      <c r="F53" s="9">
        <f t="shared" si="25"/>
        <v>7.233796296296297E-4</v>
      </c>
      <c r="G53" s="9">
        <f t="shared" si="26"/>
        <v>7.8560956790123455E-4</v>
      </c>
      <c r="H53" s="9">
        <f t="shared" si="27"/>
        <v>8.1018518518518516E-4</v>
      </c>
      <c r="I53" s="9">
        <f t="shared" si="28"/>
        <v>8.4474147086154245E-4</v>
      </c>
      <c r="J53" s="9">
        <f t="shared" si="29"/>
        <v>8.5392344337090708E-4</v>
      </c>
      <c r="K53" s="9">
        <f t="shared" si="30"/>
        <v>8.9273814534231199E-4</v>
      </c>
      <c r="L53" s="9">
        <f t="shared" si="31"/>
        <v>9.3524948559670779E-4</v>
      </c>
      <c r="M53" s="11">
        <f>Table2571113152523333537394145495153591214161820222426283032343640[[#This Row],[Thresh]]</f>
        <v>8.9273814534231199E-4</v>
      </c>
      <c r="N53" s="9">
        <f>Table2571113152523333537394145495153591214161820222426283032343640[[#This Row],[Thresh]]*2.5</f>
        <v>2.23184536335578E-3</v>
      </c>
      <c r="O53" s="24">
        <f>Table2571113152523333537394145495153591214161820222426283032343640[[#This Row],[R]]/2</f>
        <v>3.6168981481481485E-4</v>
      </c>
      <c r="P53" s="9">
        <f>Table2571113152523333537394145495153591214161820222426283032343640[[#This Row],[200 R]]*1.5</f>
        <v>5.4253472222222225E-4</v>
      </c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80</v>
      </c>
      <c r="B54" s="9">
        <v>1.0416666666666666E-2</v>
      </c>
      <c r="C54" s="9">
        <v>3.0092592592592588E-3</v>
      </c>
      <c r="D54" s="9">
        <f t="shared" si="24"/>
        <v>6.0604166666666662E-3</v>
      </c>
      <c r="E54" s="10">
        <v>0.58179999999999998</v>
      </c>
      <c r="F54" s="9">
        <f t="shared" si="25"/>
        <v>7.5231481481481471E-4</v>
      </c>
      <c r="G54" s="9">
        <f t="shared" si="26"/>
        <v>8.0805555555555546E-4</v>
      </c>
      <c r="H54" s="9">
        <f t="shared" si="27"/>
        <v>8.3333333333333328E-4</v>
      </c>
      <c r="I54" s="9">
        <f t="shared" si="28"/>
        <v>8.6887694145758646E-4</v>
      </c>
      <c r="J54" s="9">
        <f t="shared" si="29"/>
        <v>8.7832125603864715E-4</v>
      </c>
      <c r="K54" s="9">
        <f t="shared" si="30"/>
        <v>9.1824494949494938E-4</v>
      </c>
      <c r="L54" s="9">
        <f t="shared" si="31"/>
        <v>9.6197089947089938E-4</v>
      </c>
      <c r="M54" s="11">
        <f>Table2571113152523333537394145495153591214161820222426283032343640[[#This Row],[Thresh]]</f>
        <v>9.1824494949494938E-4</v>
      </c>
      <c r="N54" s="9">
        <f>Table2571113152523333537394145495153591214161820222426283032343640[[#This Row],[Thresh]]*2.5</f>
        <v>2.2956123737373733E-3</v>
      </c>
      <c r="O54" s="24">
        <f>Table2571113152523333537394145495153591214161820222426283032343640[[#This Row],[R]]/2</f>
        <v>3.7615740740740735E-4</v>
      </c>
      <c r="P54" s="9">
        <f>Table2571113152523333537394145495153591214161820222426283032343640[[#This Row],[200 R]]*1.5</f>
        <v>5.6423611111111106E-4</v>
      </c>
      <c r="Q54" s="24"/>
      <c r="R54" s="9"/>
      <c r="S54" s="24"/>
      <c r="T54" s="97"/>
      <c r="U54" s="24"/>
      <c r="V54" s="23" t="s">
        <v>30</v>
      </c>
      <c r="W54" s="104"/>
    </row>
    <row r="55" spans="1:23" ht="17.149999999999999" customHeight="1" x14ac:dyDescent="0.35">
      <c r="A55" s="8" t="s">
        <v>77</v>
      </c>
      <c r="B55" s="9">
        <v>1.0416666666666666E-2</v>
      </c>
      <c r="C55" s="9">
        <v>2.9745370370370373E-3</v>
      </c>
      <c r="D55" s="9">
        <f t="shared" si="24"/>
        <v>6.0604166666666662E-3</v>
      </c>
      <c r="E55" s="10">
        <v>0.58179999999999998</v>
      </c>
      <c r="F55" s="9">
        <f t="shared" si="25"/>
        <v>7.4363425925925931E-4</v>
      </c>
      <c r="G55" s="9">
        <f t="shared" si="26"/>
        <v>8.0805555555555546E-4</v>
      </c>
      <c r="H55" s="9">
        <f t="shared" si="27"/>
        <v>8.3333333333333328E-4</v>
      </c>
      <c r="I55" s="9">
        <f t="shared" si="28"/>
        <v>8.6887694145758646E-4</v>
      </c>
      <c r="J55" s="9">
        <f t="shared" si="29"/>
        <v>8.7832125603864715E-4</v>
      </c>
      <c r="K55" s="9">
        <f t="shared" si="30"/>
        <v>9.1824494949494938E-4</v>
      </c>
      <c r="L55" s="9">
        <f t="shared" si="31"/>
        <v>9.6197089947089938E-4</v>
      </c>
      <c r="M55" s="11">
        <f>Table2571113152523333537394145495153591214161820222426283032343640[[#This Row],[Thresh]]</f>
        <v>9.1824494949494938E-4</v>
      </c>
      <c r="N55" s="9">
        <f>Table2571113152523333537394145495153591214161820222426283032343640[[#This Row],[Thresh]]*2.5</f>
        <v>2.2956123737373733E-3</v>
      </c>
      <c r="O55" s="24">
        <f>Table2571113152523333537394145495153591214161820222426283032343640[[#This Row],[R]]/2</f>
        <v>3.7181712962962966E-4</v>
      </c>
      <c r="P55" s="9">
        <f>Table2571113152523333537394145495153591214161820222426283032343640[[#This Row],[200 R]]*1.5</f>
        <v>5.5772569444444446E-4</v>
      </c>
      <c r="Q55" s="24"/>
      <c r="R55" s="9"/>
      <c r="S55" s="9"/>
      <c r="T55" s="24"/>
      <c r="U55" s="24"/>
      <c r="V55" s="23" t="s">
        <v>30</v>
      </c>
      <c r="W55" s="104"/>
    </row>
    <row r="56" spans="1:23" ht="17.149999999999999" customHeight="1" x14ac:dyDescent="0.35">
      <c r="A56" s="8" t="s">
        <v>75</v>
      </c>
      <c r="B56" s="9">
        <v>1.087962962962963E-2</v>
      </c>
      <c r="C56" s="9">
        <v>2.9513888888888888E-3</v>
      </c>
      <c r="D56" s="9">
        <f t="shared" si="24"/>
        <v>6.3297685185185184E-3</v>
      </c>
      <c r="E56" s="10">
        <v>0.58179999999999998</v>
      </c>
      <c r="F56" s="9">
        <f t="shared" si="25"/>
        <v>7.378472222222222E-4</v>
      </c>
      <c r="G56" s="9">
        <f t="shared" si="26"/>
        <v>8.4396913580246917E-4</v>
      </c>
      <c r="H56" s="9">
        <f t="shared" si="27"/>
        <v>8.7037037037037042E-4</v>
      </c>
      <c r="I56" s="9">
        <f t="shared" si="28"/>
        <v>9.0749369441125711E-4</v>
      </c>
      <c r="J56" s="9">
        <f t="shared" si="29"/>
        <v>9.173577563070317E-4</v>
      </c>
      <c r="K56" s="9">
        <f t="shared" si="30"/>
        <v>9.5905583613916951E-4</v>
      </c>
      <c r="L56" s="9">
        <f t="shared" si="31"/>
        <v>1.0047251616696062E-3</v>
      </c>
      <c r="M56" s="11">
        <f>Table2571113152523333537394145495153591214161820222426283032343640[[#This Row],[Thresh]]</f>
        <v>9.5905583613916951E-4</v>
      </c>
      <c r="N56" s="9">
        <f>Table2571113152523333537394145495153591214161820222426283032343640[[#This Row],[Thresh]]*2.5</f>
        <v>2.3976395903479238E-3</v>
      </c>
      <c r="O56" s="24">
        <f>Table2571113152523333537394145495153591214161820222426283032343640[[#This Row],[R]]/2</f>
        <v>3.689236111111111E-4</v>
      </c>
      <c r="P56" s="9">
        <f>Table2571113152523333537394145495153591214161820222426283032343640[[#This Row],[200 R]]*1.5</f>
        <v>5.5338541666666665E-4</v>
      </c>
      <c r="Q56" s="24"/>
      <c r="R56" s="9"/>
      <c r="S56" s="12"/>
      <c r="T56" s="25"/>
      <c r="U56" s="9"/>
      <c r="V56" s="23" t="s">
        <v>30</v>
      </c>
      <c r="W56" s="104"/>
    </row>
    <row r="57" spans="1:23" ht="17.149999999999999" customHeight="1" x14ac:dyDescent="0.35">
      <c r="A57" s="8" t="s">
        <v>86</v>
      </c>
      <c r="B57" s="9">
        <v>1.087962962962963E-2</v>
      </c>
      <c r="C57" s="9">
        <v>3.1249999999999997E-3</v>
      </c>
      <c r="D57" s="9">
        <f t="shared" si="24"/>
        <v>6.3297685185185184E-3</v>
      </c>
      <c r="E57" s="10">
        <v>0.58179999999999998</v>
      </c>
      <c r="F57" s="9">
        <f t="shared" si="25"/>
        <v>7.8124999999999993E-4</v>
      </c>
      <c r="G57" s="9">
        <f t="shared" si="26"/>
        <v>8.4396913580246917E-4</v>
      </c>
      <c r="H57" s="9">
        <f t="shared" si="27"/>
        <v>8.7037037037037042E-4</v>
      </c>
      <c r="I57" s="9">
        <f t="shared" si="28"/>
        <v>9.0749369441125711E-4</v>
      </c>
      <c r="J57" s="9">
        <f t="shared" si="29"/>
        <v>9.173577563070317E-4</v>
      </c>
      <c r="K57" s="9">
        <f t="shared" si="30"/>
        <v>9.5905583613916951E-4</v>
      </c>
      <c r="L57" s="9">
        <f t="shared" si="31"/>
        <v>1.0047251616696062E-3</v>
      </c>
      <c r="M57" s="11"/>
      <c r="N57" s="9"/>
      <c r="O57" s="24"/>
      <c r="P57" s="9"/>
      <c r="Q57" s="24"/>
      <c r="R57" s="9"/>
      <c r="S57" s="24"/>
      <c r="T57" s="24"/>
      <c r="U57" s="24"/>
      <c r="V57" s="23" t="s">
        <v>134</v>
      </c>
      <c r="W57" s="104"/>
    </row>
    <row r="58" spans="1:23" ht="17.149999999999999" customHeight="1" x14ac:dyDescent="0.35">
      <c r="A58" s="8" t="s">
        <v>92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25"/>
        <v>8.1018518518518516E-4</v>
      </c>
      <c r="G58" s="9">
        <f t="shared" si="26"/>
        <v>8.888611111111111E-4</v>
      </c>
      <c r="H58" s="9">
        <f t="shared" si="27"/>
        <v>9.1666666666666676E-4</v>
      </c>
      <c r="I58" s="9">
        <f t="shared" si="28"/>
        <v>9.5576463560334524E-4</v>
      </c>
      <c r="J58" s="9">
        <f t="shared" si="29"/>
        <v>9.6615338164251206E-4</v>
      </c>
      <c r="K58" s="9">
        <f t="shared" si="30"/>
        <v>1.0100694444444445E-3</v>
      </c>
      <c r="L58" s="9">
        <f t="shared" si="31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134</v>
      </c>
      <c r="W58" s="104"/>
    </row>
    <row r="59" spans="1:23" ht="17.149999999999999" customHeight="1" x14ac:dyDescent="0.35">
      <c r="A59" s="8" t="s">
        <v>93</v>
      </c>
      <c r="B59" s="9">
        <v>1.1921296296296298E-2</v>
      </c>
      <c r="C59" s="9">
        <v>3.414351851851852E-3</v>
      </c>
      <c r="D59" s="9">
        <f t="shared" si="24"/>
        <v>6.9358101851851863E-3</v>
      </c>
      <c r="E59" s="10">
        <v>0.58179999999999998</v>
      </c>
      <c r="F59" s="9">
        <f t="shared" si="25"/>
        <v>8.53587962962963E-4</v>
      </c>
      <c r="G59" s="9">
        <f t="shared" si="26"/>
        <v>9.2477469135802482E-4</v>
      </c>
      <c r="H59" s="9">
        <f t="shared" si="27"/>
        <v>9.5370370370370379E-4</v>
      </c>
      <c r="I59" s="9">
        <f t="shared" si="28"/>
        <v>9.943813885570159E-4</v>
      </c>
      <c r="J59" s="9">
        <f t="shared" si="29"/>
        <v>1.0051898819108964E-3</v>
      </c>
      <c r="K59" s="9">
        <f t="shared" si="30"/>
        <v>1.0508803310886646E-3</v>
      </c>
      <c r="L59" s="9">
        <f t="shared" si="31"/>
        <v>1.1009222516166963E-3</v>
      </c>
      <c r="M59" s="11"/>
      <c r="N59" s="9"/>
      <c r="O59" s="24"/>
      <c r="P59" s="9"/>
      <c r="Q59" s="24"/>
      <c r="R59" s="9"/>
      <c r="S59" s="12"/>
      <c r="T59" s="25"/>
      <c r="V59" s="23" t="s">
        <v>134</v>
      </c>
      <c r="W59" s="104"/>
    </row>
    <row r="60" spans="1:23" ht="17.149999999999999" customHeight="1" x14ac:dyDescent="0.35">
      <c r="A60" s="8" t="s">
        <v>94</v>
      </c>
      <c r="B60" s="9">
        <v>1.1574074074074073E-2</v>
      </c>
      <c r="C60" s="9">
        <v>3.414351851851852E-3</v>
      </c>
      <c r="D60" s="9">
        <f t="shared" si="24"/>
        <v>6.7337962962962959E-3</v>
      </c>
      <c r="E60" s="10">
        <v>0.58179999999999998</v>
      </c>
      <c r="F60" s="9">
        <f t="shared" si="25"/>
        <v>8.53587962962963E-4</v>
      </c>
      <c r="G60" s="9">
        <f t="shared" si="26"/>
        <v>8.9783950617283942E-4</v>
      </c>
      <c r="H60" s="9">
        <f t="shared" si="27"/>
        <v>9.2592592592592585E-4</v>
      </c>
      <c r="I60" s="9">
        <f t="shared" si="28"/>
        <v>9.6541882384176272E-4</v>
      </c>
      <c r="J60" s="9">
        <f t="shared" si="29"/>
        <v>9.7591250670960798E-4</v>
      </c>
      <c r="K60" s="9">
        <f t="shared" si="30"/>
        <v>1.0202721661054994E-3</v>
      </c>
      <c r="L60" s="9">
        <f t="shared" si="31"/>
        <v>1.068856554967666E-3</v>
      </c>
      <c r="M60" s="11"/>
      <c r="N60" s="9"/>
      <c r="O60" s="24"/>
      <c r="P60" s="9"/>
      <c r="Q60" s="24"/>
      <c r="R60" s="9"/>
      <c r="S60" s="12"/>
      <c r="V60" s="23" t="s">
        <v>134</v>
      </c>
      <c r="W60" s="104"/>
    </row>
    <row r="61" spans="1:23" ht="17.149999999999999" customHeight="1" x14ac:dyDescent="0.35">
      <c r="A61" s="8" t="s">
        <v>84</v>
      </c>
      <c r="B61" s="9">
        <v>1.064814814814815E-2</v>
      </c>
      <c r="C61" s="9">
        <v>3.0671296296296297E-3</v>
      </c>
      <c r="D61" s="9">
        <f t="shared" si="24"/>
        <v>6.1950925925925932E-3</v>
      </c>
      <c r="E61" s="10">
        <v>0.58179999999999998</v>
      </c>
      <c r="F61" s="9">
        <f t="shared" si="25"/>
        <v>7.6678240740740743E-4</v>
      </c>
      <c r="G61" s="9">
        <f t="shared" si="26"/>
        <v>8.2601234567901242E-4</v>
      </c>
      <c r="H61" s="9">
        <f t="shared" si="27"/>
        <v>8.5185185185185201E-4</v>
      </c>
      <c r="I61" s="9">
        <f t="shared" si="28"/>
        <v>8.8818531793442195E-4</v>
      </c>
      <c r="J61" s="9">
        <f t="shared" si="29"/>
        <v>8.9783950617283953E-4</v>
      </c>
      <c r="K61" s="9">
        <f t="shared" si="30"/>
        <v>9.3865039281705955E-4</v>
      </c>
      <c r="L61" s="9">
        <f t="shared" si="31"/>
        <v>9.8334803057025292E-4</v>
      </c>
      <c r="M61" s="11"/>
      <c r="N61" s="9"/>
      <c r="O61" s="24"/>
      <c r="P61" s="9"/>
      <c r="Q61" s="24"/>
      <c r="R61" s="9"/>
      <c r="S61" s="9"/>
      <c r="T61" s="24"/>
      <c r="V61" s="23" t="s">
        <v>134</v>
      </c>
      <c r="W61" s="105"/>
    </row>
    <row r="62" spans="1:23" ht="17.149999999999999" customHeight="1" x14ac:dyDescent="0.35">
      <c r="A62" s="8" t="s">
        <v>74</v>
      </c>
      <c r="B62" s="9">
        <v>1.0243055555555556E-2</v>
      </c>
      <c r="C62" s="9">
        <v>2.9513888888888888E-3</v>
      </c>
      <c r="D62" s="9">
        <f t="shared" si="24"/>
        <v>5.9594097222222218E-3</v>
      </c>
      <c r="E62" s="10">
        <v>0.58179999999999998</v>
      </c>
      <c r="F62" s="9">
        <f t="shared" si="25"/>
        <v>7.378472222222222E-4</v>
      </c>
      <c r="G62" s="9">
        <f t="shared" si="26"/>
        <v>7.9458796296296287E-4</v>
      </c>
      <c r="H62" s="9">
        <f t="shared" si="27"/>
        <v>8.1944444444444447E-4</v>
      </c>
      <c r="I62" s="9">
        <f t="shared" si="28"/>
        <v>8.5439565909996003E-4</v>
      </c>
      <c r="J62" s="9">
        <f t="shared" si="29"/>
        <v>8.636825684380031E-4</v>
      </c>
      <c r="K62" s="9">
        <f t="shared" si="30"/>
        <v>9.0294086700336686E-4</v>
      </c>
      <c r="L62" s="9">
        <f t="shared" si="31"/>
        <v>9.4593805114638445E-4</v>
      </c>
      <c r="M62" s="11"/>
      <c r="N62" s="9"/>
      <c r="O62" s="24"/>
      <c r="P62" s="9"/>
      <c r="Q62" s="24"/>
      <c r="R62" s="9"/>
      <c r="S62" s="12"/>
      <c r="T62" s="25"/>
      <c r="V62" s="23" t="s">
        <v>134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89" si="32">C66/4</f>
        <v>0</v>
      </c>
      <c r="G66" s="9">
        <f t="shared" ref="G66:G89" si="33">D66/7.5</f>
        <v>0</v>
      </c>
      <c r="H66" s="9">
        <f t="shared" ref="H66:H89" si="34">B66/12.5</f>
        <v>0</v>
      </c>
      <c r="I66" s="9">
        <f t="shared" ref="I66:I89" si="35">G66/0.93</f>
        <v>0</v>
      </c>
      <c r="J66" s="9">
        <f t="shared" ref="J66:J89" si="36">G66/0.92</f>
        <v>0</v>
      </c>
      <c r="K66" s="9">
        <f t="shared" ref="K66:K89" si="37">G66/0.88</f>
        <v>0</v>
      </c>
      <c r="L66" s="9">
        <f t="shared" ref="L66:L89" si="38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164</v>
      </c>
      <c r="B67" s="15"/>
      <c r="C67" s="15"/>
      <c r="D67" s="15"/>
      <c r="E67" s="16"/>
      <c r="F67" s="15">
        <f t="shared" si="32"/>
        <v>0</v>
      </c>
      <c r="G67" s="15">
        <f t="shared" si="33"/>
        <v>0</v>
      </c>
      <c r="H67" s="15">
        <f t="shared" si="34"/>
        <v>0</v>
      </c>
      <c r="I67" s="15">
        <f t="shared" si="35"/>
        <v>0</v>
      </c>
      <c r="J67" s="15">
        <f t="shared" si="36"/>
        <v>0</v>
      </c>
      <c r="K67" s="15">
        <f t="shared" si="37"/>
        <v>0</v>
      </c>
      <c r="L67" s="15">
        <f t="shared" si="38"/>
        <v>0</v>
      </c>
      <c r="M67" s="30" t="s">
        <v>12</v>
      </c>
      <c r="N67" s="15" t="s">
        <v>58</v>
      </c>
      <c r="O67" s="15" t="s">
        <v>136</v>
      </c>
      <c r="P67" s="15" t="s">
        <v>152</v>
      </c>
      <c r="Q67" s="15" t="s">
        <v>133</v>
      </c>
      <c r="R67" s="15"/>
      <c r="S67" s="15"/>
      <c r="T67" s="15"/>
      <c r="U67" s="15"/>
      <c r="V67" s="17"/>
      <c r="W67" s="107" t="s">
        <v>173</v>
      </c>
    </row>
    <row r="68" spans="1:23" ht="17.149999999999999" customHeight="1" x14ac:dyDescent="0.35">
      <c r="A68" s="8" t="s">
        <v>71</v>
      </c>
      <c r="B68" s="9">
        <v>1.0011574074074074E-2</v>
      </c>
      <c r="C68" s="9">
        <v>2.8935185185185188E-3</v>
      </c>
      <c r="D68" s="9">
        <f t="shared" ref="D68:D89" si="39">B68*E68</f>
        <v>5.8247337962962957E-3</v>
      </c>
      <c r="E68" s="10">
        <v>0.58179999999999998</v>
      </c>
      <c r="F68" s="9">
        <f t="shared" si="32"/>
        <v>7.233796296296297E-4</v>
      </c>
      <c r="G68" s="9">
        <f t="shared" si="33"/>
        <v>7.7663117283950612E-4</v>
      </c>
      <c r="H68" s="9">
        <f t="shared" si="34"/>
        <v>8.0092592592592585E-4</v>
      </c>
      <c r="I68" s="9">
        <f t="shared" si="35"/>
        <v>8.3508728262312486E-4</v>
      </c>
      <c r="J68" s="9">
        <f t="shared" si="36"/>
        <v>8.4416431830381094E-4</v>
      </c>
      <c r="K68" s="9">
        <f t="shared" si="37"/>
        <v>8.825354236812569E-4</v>
      </c>
      <c r="L68" s="9">
        <f t="shared" si="38"/>
        <v>9.2456092004703113E-4</v>
      </c>
      <c r="M68" s="11">
        <f>Table2571113152523333537394145495153591214161820222426283032343640[[#This Row],[Thresh]]</f>
        <v>8.825354236812569E-4</v>
      </c>
      <c r="N68" s="9">
        <f>Table2571113152523333537394145495153591214161820222426283032343640[[#This Row],[Thresh]]*2.5</f>
        <v>2.2063385592031421E-3</v>
      </c>
      <c r="O68" s="24">
        <f>Table2571113152523333537394145495153591214161820222426283032343640[[#This Row],[CV]]</f>
        <v>8.4416431830381094E-4</v>
      </c>
      <c r="P68" s="9">
        <f>Table2571113152523333537394145495153591214161820222426283032343640[[#This Row],[CV]]*2.5</f>
        <v>2.1104107957595273E-3</v>
      </c>
      <c r="Q68" s="24">
        <f>Table2571113152523333537394145495153591214161820222426283032343640[[#This Row],[R]]/2</f>
        <v>3.6168981481481485E-4</v>
      </c>
      <c r="R68" s="9"/>
      <c r="S68" s="24"/>
      <c r="T68" s="24"/>
      <c r="U68" s="24"/>
      <c r="V68" s="23" t="s">
        <v>34</v>
      </c>
      <c r="W68" s="108"/>
    </row>
    <row r="69" spans="1:23" ht="17.149999999999999" customHeight="1" x14ac:dyDescent="0.35">
      <c r="A69" s="8" t="s">
        <v>96</v>
      </c>
      <c r="B69" s="9">
        <v>1.0011574074074074E-2</v>
      </c>
      <c r="C69" s="9">
        <v>2.9513888888888888E-3</v>
      </c>
      <c r="D69" s="9">
        <f t="shared" si="39"/>
        <v>5.8247337962962957E-3</v>
      </c>
      <c r="E69" s="10">
        <v>0.58179999999999998</v>
      </c>
      <c r="F69" s="9">
        <f t="shared" si="32"/>
        <v>7.378472222222222E-4</v>
      </c>
      <c r="G69" s="9">
        <f t="shared" si="33"/>
        <v>7.7663117283950612E-4</v>
      </c>
      <c r="H69" s="9">
        <f t="shared" si="34"/>
        <v>8.0092592592592585E-4</v>
      </c>
      <c r="I69" s="9">
        <f t="shared" si="35"/>
        <v>8.3508728262312486E-4</v>
      </c>
      <c r="J69" s="9">
        <f t="shared" si="36"/>
        <v>8.4416431830381094E-4</v>
      </c>
      <c r="K69" s="9">
        <f t="shared" si="37"/>
        <v>8.825354236812569E-4</v>
      </c>
      <c r="L69" s="9">
        <f t="shared" si="38"/>
        <v>9.2456092004703113E-4</v>
      </c>
      <c r="M69" s="11">
        <f>Table2571113152523333537394145495153591214161820222426283032343640[[#This Row],[Thresh]]</f>
        <v>8.825354236812569E-4</v>
      </c>
      <c r="N69" s="9">
        <f>Table2571113152523333537394145495153591214161820222426283032343640[[#This Row],[Thresh]]*2.5</f>
        <v>2.2063385592031421E-3</v>
      </c>
      <c r="O69" s="24">
        <f>Table2571113152523333537394145495153591214161820222426283032343640[[#This Row],[CV]]</f>
        <v>8.4416431830381094E-4</v>
      </c>
      <c r="P69" s="9">
        <f>Table2571113152523333537394145495153591214161820222426283032343640[[#This Row],[CV]]*2.5</f>
        <v>2.1104107957595273E-3</v>
      </c>
      <c r="Q69" s="24">
        <f>Table2571113152523333537394145495153591214161820222426283032343640[[#This Row],[R]]/2</f>
        <v>3.689236111111111E-4</v>
      </c>
      <c r="R69" s="9"/>
      <c r="S69" s="24"/>
      <c r="T69" s="97"/>
      <c r="U69" s="24"/>
      <c r="V69" s="23" t="s">
        <v>34</v>
      </c>
      <c r="W69" s="108"/>
    </row>
    <row r="70" spans="1:23" ht="17.149999999999999" customHeight="1" x14ac:dyDescent="0.35">
      <c r="A70" s="8" t="s">
        <v>97</v>
      </c>
      <c r="B70" s="9">
        <v>1.0011574074074074E-2</v>
      </c>
      <c r="C70" s="9">
        <v>2.9745370370370373E-3</v>
      </c>
      <c r="D70" s="9">
        <f t="shared" si="39"/>
        <v>5.8247337962962957E-3</v>
      </c>
      <c r="E70" s="10">
        <v>0.58179999999999998</v>
      </c>
      <c r="F70" s="9">
        <f t="shared" si="32"/>
        <v>7.4363425925925931E-4</v>
      </c>
      <c r="G70" s="9">
        <f t="shared" si="33"/>
        <v>7.7663117283950612E-4</v>
      </c>
      <c r="H70" s="9">
        <f t="shared" si="34"/>
        <v>8.0092592592592585E-4</v>
      </c>
      <c r="I70" s="9">
        <f t="shared" si="35"/>
        <v>8.3508728262312486E-4</v>
      </c>
      <c r="J70" s="9">
        <f t="shared" si="36"/>
        <v>8.4416431830381094E-4</v>
      </c>
      <c r="K70" s="9">
        <f t="shared" si="37"/>
        <v>8.825354236812569E-4</v>
      </c>
      <c r="L70" s="9">
        <f t="shared" si="38"/>
        <v>9.2456092004703113E-4</v>
      </c>
      <c r="M70" s="11">
        <f>Table2571113152523333537394145495153591214161820222426283032343640[[#This Row],[Thresh]]</f>
        <v>8.825354236812569E-4</v>
      </c>
      <c r="N70" s="9">
        <f>Table2571113152523333537394145495153591214161820222426283032343640[[#This Row],[Thresh]]*2.5</f>
        <v>2.2063385592031421E-3</v>
      </c>
      <c r="O70" s="24">
        <f>Table2571113152523333537394145495153591214161820222426283032343640[[#This Row],[CV]]</f>
        <v>8.4416431830381094E-4</v>
      </c>
      <c r="P70" s="9">
        <f>Table2571113152523333537394145495153591214161820222426283032343640[[#This Row],[CV]]*2.5</f>
        <v>2.1104107957595273E-3</v>
      </c>
      <c r="Q70" s="24">
        <f>Table2571113152523333537394145495153591214161820222426283032343640[[#This Row],[R]]/2</f>
        <v>3.7181712962962966E-4</v>
      </c>
      <c r="R70" s="9"/>
      <c r="S70" s="24"/>
      <c r="T70" s="97"/>
      <c r="U70" s="100"/>
      <c r="V70" s="23" t="s">
        <v>34</v>
      </c>
      <c r="W70" s="108"/>
    </row>
    <row r="71" spans="1:23" ht="17.149999999999999" customHeight="1" x14ac:dyDescent="0.35">
      <c r="A71" s="8" t="s">
        <v>98</v>
      </c>
      <c r="B71" s="9">
        <v>1.0243055555555556E-2</v>
      </c>
      <c r="C71" s="9">
        <v>3.0092592592592588E-3</v>
      </c>
      <c r="D71" s="9">
        <f t="shared" si="39"/>
        <v>5.9594097222222218E-3</v>
      </c>
      <c r="E71" s="10">
        <v>0.58179999999999998</v>
      </c>
      <c r="F71" s="9">
        <f t="shared" si="32"/>
        <v>7.5231481481481471E-4</v>
      </c>
      <c r="G71" s="9">
        <f t="shared" si="33"/>
        <v>7.9458796296296287E-4</v>
      </c>
      <c r="H71" s="9">
        <f t="shared" si="34"/>
        <v>8.1944444444444447E-4</v>
      </c>
      <c r="I71" s="9">
        <f t="shared" si="35"/>
        <v>8.5439565909996003E-4</v>
      </c>
      <c r="J71" s="9">
        <f t="shared" si="36"/>
        <v>8.636825684380031E-4</v>
      </c>
      <c r="K71" s="9">
        <f t="shared" si="37"/>
        <v>9.0294086700336686E-4</v>
      </c>
      <c r="L71" s="9">
        <f t="shared" si="38"/>
        <v>9.4593805114638445E-4</v>
      </c>
      <c r="M71" s="11">
        <f>Table2571113152523333537394145495153591214161820222426283032343640[[#This Row],[Thresh]]</f>
        <v>9.0294086700336686E-4</v>
      </c>
      <c r="N71" s="9">
        <f>Table2571113152523333537394145495153591214161820222426283032343640[[#This Row],[Thresh]]*2.5</f>
        <v>2.2573521675084171E-3</v>
      </c>
      <c r="O71" s="24">
        <f>Table2571113152523333537394145495153591214161820222426283032343640[[#This Row],[CV]]</f>
        <v>8.636825684380031E-4</v>
      </c>
      <c r="P71" s="9">
        <f>Table2571113152523333537394145495153591214161820222426283032343640[[#This Row],[CV]]*2.5</f>
        <v>2.1592064210950077E-3</v>
      </c>
      <c r="Q71" s="24">
        <f>Table2571113152523333537394145495153591214161820222426283032343640[[#This Row],[R]]/2</f>
        <v>3.7615740740740735E-4</v>
      </c>
      <c r="R71" s="9"/>
      <c r="S71" s="24"/>
      <c r="T71" s="97"/>
      <c r="U71" s="24"/>
      <c r="V71" s="23" t="s">
        <v>34</v>
      </c>
      <c r="W71" s="108"/>
    </row>
    <row r="72" spans="1:23" ht="17.149999999999999" customHeight="1" x14ac:dyDescent="0.35">
      <c r="A72" s="8" t="s">
        <v>100</v>
      </c>
      <c r="B72" s="9">
        <v>1.0243055555555556E-2</v>
      </c>
      <c r="C72" s="9">
        <v>2.9745370370370373E-3</v>
      </c>
      <c r="D72" s="9">
        <f t="shared" si="39"/>
        <v>5.9594097222222218E-3</v>
      </c>
      <c r="E72" s="10">
        <v>0.58179999999999998</v>
      </c>
      <c r="F72" s="9">
        <f t="shared" si="32"/>
        <v>7.4363425925925931E-4</v>
      </c>
      <c r="G72" s="9">
        <f t="shared" si="33"/>
        <v>7.9458796296296287E-4</v>
      </c>
      <c r="H72" s="9">
        <f t="shared" si="34"/>
        <v>8.1944444444444447E-4</v>
      </c>
      <c r="I72" s="9">
        <f t="shared" si="35"/>
        <v>8.5439565909996003E-4</v>
      </c>
      <c r="J72" s="9">
        <f t="shared" si="36"/>
        <v>8.636825684380031E-4</v>
      </c>
      <c r="K72" s="9">
        <f t="shared" si="37"/>
        <v>9.0294086700336686E-4</v>
      </c>
      <c r="L72" s="9">
        <f t="shared" si="38"/>
        <v>9.4593805114638445E-4</v>
      </c>
      <c r="M72" s="11">
        <f>Table2571113152523333537394145495153591214161820222426283032343640[[#This Row],[Thresh]]</f>
        <v>9.0294086700336686E-4</v>
      </c>
      <c r="N72" s="9">
        <f>Table2571113152523333537394145495153591214161820222426283032343640[[#This Row],[Thresh]]*2.5</f>
        <v>2.2573521675084171E-3</v>
      </c>
      <c r="O72" s="24">
        <f>Table2571113152523333537394145495153591214161820222426283032343640[[#This Row],[CV]]</f>
        <v>8.636825684380031E-4</v>
      </c>
      <c r="P72" s="9">
        <f>Table2571113152523333537394145495153591214161820222426283032343640[[#This Row],[CV]]*2.5</f>
        <v>2.1592064210950077E-3</v>
      </c>
      <c r="Q72" s="24">
        <f>Table2571113152523333537394145495153591214161820222426283032343640[[#This Row],[R]]/2</f>
        <v>3.7181712962962966E-4</v>
      </c>
      <c r="R72" s="9"/>
      <c r="S72" s="24"/>
      <c r="T72" s="97"/>
      <c r="U72" s="24"/>
      <c r="V72" s="23" t="s">
        <v>34</v>
      </c>
      <c r="W72" s="108"/>
    </row>
    <row r="73" spans="1:23" ht="17.149999999999999" customHeight="1" x14ac:dyDescent="0.35">
      <c r="A73" s="8" t="s">
        <v>101</v>
      </c>
      <c r="B73" s="9">
        <v>1.0243055555555556E-2</v>
      </c>
      <c r="C73" s="9">
        <v>3.0671296296296297E-3</v>
      </c>
      <c r="D73" s="9">
        <f t="shared" si="39"/>
        <v>5.9594097222222218E-3</v>
      </c>
      <c r="E73" s="10">
        <v>0.58179999999999998</v>
      </c>
      <c r="F73" s="9">
        <f t="shared" si="32"/>
        <v>7.6678240740740743E-4</v>
      </c>
      <c r="G73" s="9">
        <f t="shared" si="33"/>
        <v>7.9458796296296287E-4</v>
      </c>
      <c r="H73" s="9">
        <f t="shared" si="34"/>
        <v>8.1944444444444447E-4</v>
      </c>
      <c r="I73" s="9">
        <f t="shared" si="35"/>
        <v>8.5439565909996003E-4</v>
      </c>
      <c r="J73" s="9">
        <f t="shared" si="36"/>
        <v>8.636825684380031E-4</v>
      </c>
      <c r="K73" s="9">
        <f t="shared" si="37"/>
        <v>9.0294086700336686E-4</v>
      </c>
      <c r="L73" s="9">
        <f t="shared" si="38"/>
        <v>9.4593805114638445E-4</v>
      </c>
      <c r="M73" s="11">
        <f>Table2571113152523333537394145495153591214161820222426283032343640[[#This Row],[Thresh]]</f>
        <v>9.0294086700336686E-4</v>
      </c>
      <c r="N73" s="9">
        <f>Table2571113152523333537394145495153591214161820222426283032343640[[#This Row],[Thresh]]*2.5</f>
        <v>2.2573521675084171E-3</v>
      </c>
      <c r="O73" s="24">
        <f>Table2571113152523333537394145495153591214161820222426283032343640[[#This Row],[CV]]</f>
        <v>8.636825684380031E-4</v>
      </c>
      <c r="P73" s="9">
        <f>Table2571113152523333537394145495153591214161820222426283032343640[[#This Row],[CV]]*2.5</f>
        <v>2.1592064210950077E-3</v>
      </c>
      <c r="Q73" s="24">
        <f>Table2571113152523333537394145495153591214161820222426283032343640[[#This Row],[R]]/2</f>
        <v>3.8339120370370371E-4</v>
      </c>
      <c r="R73" s="9"/>
      <c r="S73" s="24"/>
      <c r="T73" s="97"/>
      <c r="U73" s="24"/>
      <c r="V73" s="23" t="s">
        <v>34</v>
      </c>
      <c r="W73" s="108"/>
    </row>
    <row r="74" spans="1:23" ht="17.149999999999999" customHeight="1" x14ac:dyDescent="0.35">
      <c r="A74" s="8" t="s">
        <v>78</v>
      </c>
      <c r="B74" s="9">
        <v>1.0243055555555556E-2</v>
      </c>
      <c r="C74" s="9">
        <v>2.9745370370370373E-3</v>
      </c>
      <c r="D74" s="9">
        <f t="shared" si="39"/>
        <v>5.9594097222222218E-3</v>
      </c>
      <c r="E74" s="10">
        <v>0.58179999999999998</v>
      </c>
      <c r="F74" s="9">
        <f t="shared" si="32"/>
        <v>7.4363425925925931E-4</v>
      </c>
      <c r="G74" s="9">
        <f t="shared" si="33"/>
        <v>7.9458796296296287E-4</v>
      </c>
      <c r="H74" s="9">
        <f t="shared" si="34"/>
        <v>8.1944444444444447E-4</v>
      </c>
      <c r="I74" s="9">
        <f t="shared" si="35"/>
        <v>8.5439565909996003E-4</v>
      </c>
      <c r="J74" s="9">
        <f t="shared" si="36"/>
        <v>8.636825684380031E-4</v>
      </c>
      <c r="K74" s="9">
        <f t="shared" si="37"/>
        <v>9.0294086700336686E-4</v>
      </c>
      <c r="L74" s="9">
        <f t="shared" si="38"/>
        <v>9.4593805114638445E-4</v>
      </c>
      <c r="M74" s="11">
        <f>Table2571113152523333537394145495153591214161820222426283032343640[[#This Row],[Thresh]]</f>
        <v>9.0294086700336686E-4</v>
      </c>
      <c r="N74" s="9">
        <f>Table2571113152523333537394145495153591214161820222426283032343640[[#This Row],[Thresh]]*2.5</f>
        <v>2.2573521675084171E-3</v>
      </c>
      <c r="O74" s="24">
        <f>Table2571113152523333537394145495153591214161820222426283032343640[[#This Row],[CV]]</f>
        <v>8.636825684380031E-4</v>
      </c>
      <c r="P74" s="9">
        <f>Table2571113152523333537394145495153591214161820222426283032343640[[#This Row],[CV]]*2.5</f>
        <v>2.1592064210950077E-3</v>
      </c>
      <c r="Q74" s="24">
        <f>Table2571113152523333537394145495153591214161820222426283032343640[[#This Row],[R]]/2</f>
        <v>3.7181712962962966E-4</v>
      </c>
      <c r="R74" s="9"/>
      <c r="S74" s="24"/>
      <c r="T74" s="97"/>
      <c r="U74" s="24"/>
      <c r="V74" s="23" t="s">
        <v>34</v>
      </c>
      <c r="W74" s="108"/>
    </row>
    <row r="75" spans="1:23" ht="17.149999999999999" customHeight="1" x14ac:dyDescent="0.35">
      <c r="A75" s="8" t="s">
        <v>99</v>
      </c>
      <c r="B75" s="9">
        <v>1.0243055555555556E-2</v>
      </c>
      <c r="C75" s="9">
        <v>3.0092592592592588E-3</v>
      </c>
      <c r="D75" s="9">
        <f t="shared" si="39"/>
        <v>5.9594097222222218E-3</v>
      </c>
      <c r="E75" s="10">
        <v>0.58179999999999998</v>
      </c>
      <c r="F75" s="9">
        <f t="shared" si="32"/>
        <v>7.5231481481481471E-4</v>
      </c>
      <c r="G75" s="9">
        <f t="shared" si="33"/>
        <v>7.9458796296296287E-4</v>
      </c>
      <c r="H75" s="9">
        <f t="shared" si="34"/>
        <v>8.1944444444444447E-4</v>
      </c>
      <c r="I75" s="9">
        <f t="shared" si="35"/>
        <v>8.5439565909996003E-4</v>
      </c>
      <c r="J75" s="9">
        <f t="shared" si="36"/>
        <v>8.636825684380031E-4</v>
      </c>
      <c r="K75" s="9">
        <f t="shared" si="37"/>
        <v>9.0294086700336686E-4</v>
      </c>
      <c r="L75" s="9">
        <f t="shared" si="38"/>
        <v>9.4593805114638445E-4</v>
      </c>
      <c r="M75" s="11">
        <f>Table2571113152523333537394145495153591214161820222426283032343640[[#This Row],[Thresh]]</f>
        <v>9.0294086700336686E-4</v>
      </c>
      <c r="N75" s="9">
        <f>Table2571113152523333537394145495153591214161820222426283032343640[[#This Row],[Thresh]]*2.5</f>
        <v>2.2573521675084171E-3</v>
      </c>
      <c r="O75" s="24">
        <f>Table2571113152523333537394145495153591214161820222426283032343640[[#This Row],[CV]]</f>
        <v>8.636825684380031E-4</v>
      </c>
      <c r="P75" s="9">
        <f>Table2571113152523333537394145495153591214161820222426283032343640[[#This Row],[CV]]*2.5</f>
        <v>2.1592064210950077E-3</v>
      </c>
      <c r="Q75" s="24">
        <f>Table2571113152523333537394145495153591214161820222426283032343640[[#This Row],[R]]/2</f>
        <v>3.7615740740740735E-4</v>
      </c>
      <c r="R75" s="9"/>
      <c r="S75" s="24"/>
      <c r="T75" s="97"/>
      <c r="U75" s="24"/>
      <c r="V75" s="23" t="s">
        <v>34</v>
      </c>
      <c r="W75" s="108"/>
    </row>
    <row r="76" spans="1:23" ht="17.149999999999999" customHeight="1" x14ac:dyDescent="0.35">
      <c r="A76" s="8" t="s">
        <v>102</v>
      </c>
      <c r="B76" s="9">
        <v>1.0474537037037037E-2</v>
      </c>
      <c r="C76" s="9">
        <v>3.0671296296296297E-3</v>
      </c>
      <c r="D76" s="9">
        <f t="shared" si="39"/>
        <v>6.094085648148148E-3</v>
      </c>
      <c r="E76" s="10">
        <v>0.58179999999999998</v>
      </c>
      <c r="F76" s="9">
        <f t="shared" si="32"/>
        <v>7.6678240740740743E-4</v>
      </c>
      <c r="G76" s="9">
        <f t="shared" si="33"/>
        <v>8.1254475308641973E-4</v>
      </c>
      <c r="H76" s="9">
        <f t="shared" si="34"/>
        <v>8.3796296296296299E-4</v>
      </c>
      <c r="I76" s="9">
        <f t="shared" si="35"/>
        <v>8.7370403557679541E-4</v>
      </c>
      <c r="J76" s="9">
        <f t="shared" si="36"/>
        <v>8.8320081857219527E-4</v>
      </c>
      <c r="K76" s="9">
        <f t="shared" si="37"/>
        <v>9.2334631032547692E-4</v>
      </c>
      <c r="L76" s="9">
        <f t="shared" si="38"/>
        <v>9.6731518224573777E-4</v>
      </c>
      <c r="M76" s="11">
        <f>Table2571113152523333537394145495153591214161820222426283032343640[[#This Row],[Thresh]]</f>
        <v>9.2334631032547692E-4</v>
      </c>
      <c r="N76" s="9">
        <f>Table2571113152523333537394145495153591214161820222426283032343640[[#This Row],[Thresh]]*2.5</f>
        <v>2.3083657758136925E-3</v>
      </c>
      <c r="O76" s="24">
        <f>Table2571113152523333537394145495153591214161820222426283032343640[[#This Row],[CV]]</f>
        <v>8.8320081857219527E-4</v>
      </c>
      <c r="P76" s="9">
        <f>Table2571113152523333537394145495153591214161820222426283032343640[[#This Row],[CV]]*2.5</f>
        <v>2.2080020464304881E-3</v>
      </c>
      <c r="Q76" s="24">
        <f>Table2571113152523333537394145495153591214161820222426283032343640[[#This Row],[R]]/2</f>
        <v>3.8339120370370371E-4</v>
      </c>
      <c r="R76" s="9"/>
      <c r="S76" s="24"/>
      <c r="T76" s="97"/>
      <c r="U76" s="24"/>
      <c r="V76" s="23" t="s">
        <v>34</v>
      </c>
      <c r="W76" s="104" t="s">
        <v>174</v>
      </c>
    </row>
    <row r="77" spans="1:23" ht="17.149999999999999" customHeight="1" x14ac:dyDescent="0.35">
      <c r="A77" s="8" t="s">
        <v>85</v>
      </c>
      <c r="B77" s="9">
        <v>1.0763888888888889E-2</v>
      </c>
      <c r="C77" s="9">
        <v>3.0671296296296297E-3</v>
      </c>
      <c r="D77" s="9">
        <f t="shared" si="39"/>
        <v>6.2624305555555549E-3</v>
      </c>
      <c r="E77" s="10">
        <v>0.58179999999999998</v>
      </c>
      <c r="F77" s="9">
        <f t="shared" si="32"/>
        <v>7.6678240740740743E-4</v>
      </c>
      <c r="G77" s="9">
        <f t="shared" si="33"/>
        <v>8.3499074074074064E-4</v>
      </c>
      <c r="H77" s="9">
        <f t="shared" si="34"/>
        <v>8.611111111111111E-4</v>
      </c>
      <c r="I77" s="9">
        <f t="shared" si="35"/>
        <v>8.9783950617283931E-4</v>
      </c>
      <c r="J77" s="9">
        <f t="shared" si="36"/>
        <v>9.0759863123993545E-4</v>
      </c>
      <c r="K77" s="9">
        <f t="shared" si="37"/>
        <v>9.4885311447811432E-4</v>
      </c>
      <c r="L77" s="9">
        <f t="shared" si="38"/>
        <v>9.9403659611992947E-4</v>
      </c>
      <c r="M77" s="11">
        <f>Table2571113152523333537394145495153591214161820222426283032343640[[#This Row],[Thresh]]</f>
        <v>9.4885311447811432E-4</v>
      </c>
      <c r="N77" s="9">
        <f>Table2571113152523333537394145495153591214161820222426283032343640[[#This Row],[Thresh]]*2.5</f>
        <v>2.3721327861952858E-3</v>
      </c>
      <c r="O77" s="24">
        <f>Table2571113152523333537394145495153591214161820222426283032343640[[#This Row],[CV]]</f>
        <v>9.0759863123993545E-4</v>
      </c>
      <c r="P77" s="9">
        <f>Table2571113152523333537394145495153591214161820222426283032343640[[#This Row],[CV]]*2.5</f>
        <v>2.2689965780998385E-3</v>
      </c>
      <c r="Q77" s="24">
        <f>Table2571113152523333537394145495153591214161820222426283032343640[[#This Row],[R]]/2</f>
        <v>3.8339120370370371E-4</v>
      </c>
      <c r="R77" s="9"/>
      <c r="S77" s="24"/>
      <c r="T77" s="24"/>
      <c r="U77" s="24"/>
      <c r="V77" s="23" t="s">
        <v>34</v>
      </c>
      <c r="W77" s="104"/>
    </row>
    <row r="78" spans="1:23" ht="17.149999999999999" customHeight="1" x14ac:dyDescent="0.35">
      <c r="A78" s="8" t="s">
        <v>103</v>
      </c>
      <c r="B78" s="9">
        <v>1.064814814814815E-2</v>
      </c>
      <c r="C78" s="9">
        <v>3.0671296296296297E-3</v>
      </c>
      <c r="D78" s="9">
        <f t="shared" si="39"/>
        <v>6.1950925925925932E-3</v>
      </c>
      <c r="E78" s="10">
        <v>0.58179999999999998</v>
      </c>
      <c r="F78" s="9">
        <f t="shared" si="32"/>
        <v>7.6678240740740743E-4</v>
      </c>
      <c r="G78" s="9">
        <f t="shared" si="33"/>
        <v>8.2601234567901242E-4</v>
      </c>
      <c r="H78" s="9">
        <f t="shared" si="34"/>
        <v>8.5185185185185201E-4</v>
      </c>
      <c r="I78" s="9">
        <f t="shared" si="35"/>
        <v>8.8818531793442195E-4</v>
      </c>
      <c r="J78" s="9">
        <f t="shared" si="36"/>
        <v>8.9783950617283953E-4</v>
      </c>
      <c r="K78" s="9">
        <f t="shared" si="37"/>
        <v>9.3865039281705955E-4</v>
      </c>
      <c r="L78" s="9">
        <f t="shared" si="38"/>
        <v>9.8334803057025292E-4</v>
      </c>
      <c r="M78" s="11"/>
      <c r="N78" s="9"/>
      <c r="O78" s="24"/>
      <c r="P78" s="9"/>
      <c r="Q78" s="24"/>
      <c r="R78" s="9"/>
      <c r="S78" s="9"/>
      <c r="T78" s="24"/>
      <c r="V78" s="23" t="s">
        <v>145</v>
      </c>
      <c r="W78" s="104"/>
    </row>
    <row r="79" spans="1:23" ht="17.149999999999999" customHeight="1" x14ac:dyDescent="0.35">
      <c r="A79" s="8" t="s">
        <v>104</v>
      </c>
      <c r="B79" s="9">
        <v>1.064814814814815E-2</v>
      </c>
      <c r="C79" s="9">
        <v>3.1249999999999997E-3</v>
      </c>
      <c r="D79" s="9">
        <f t="shared" si="39"/>
        <v>6.1950925925925932E-3</v>
      </c>
      <c r="E79" s="10">
        <v>0.58179999999999998</v>
      </c>
      <c r="F79" s="9">
        <f t="shared" si="32"/>
        <v>7.8124999999999993E-4</v>
      </c>
      <c r="G79" s="9">
        <f t="shared" si="33"/>
        <v>8.2601234567901242E-4</v>
      </c>
      <c r="H79" s="9">
        <f t="shared" si="34"/>
        <v>8.5185185185185201E-4</v>
      </c>
      <c r="I79" s="9">
        <f t="shared" si="35"/>
        <v>8.8818531793442195E-4</v>
      </c>
      <c r="J79" s="9">
        <f t="shared" si="36"/>
        <v>8.9783950617283953E-4</v>
      </c>
      <c r="K79" s="9">
        <f t="shared" si="37"/>
        <v>9.3865039281705955E-4</v>
      </c>
      <c r="L79" s="9">
        <f t="shared" si="38"/>
        <v>9.8334803057025292E-4</v>
      </c>
      <c r="M79" s="11"/>
      <c r="N79" s="9"/>
      <c r="O79" s="24"/>
      <c r="P79" s="9"/>
      <c r="Q79" s="24"/>
      <c r="R79" s="9"/>
      <c r="S79" s="9"/>
      <c r="T79" s="24"/>
      <c r="U79" s="24"/>
      <c r="V79" s="23" t="s">
        <v>145</v>
      </c>
      <c r="W79" s="104"/>
    </row>
    <row r="80" spans="1:23" ht="17.149999999999999" customHeight="1" x14ac:dyDescent="0.35">
      <c r="A80" s="8" t="s">
        <v>106</v>
      </c>
      <c r="B80" s="9">
        <v>1.064814814814815E-2</v>
      </c>
      <c r="C80" s="9">
        <v>3.1249999999999997E-3</v>
      </c>
      <c r="D80" s="9">
        <f t="shared" si="39"/>
        <v>6.1950925925925932E-3</v>
      </c>
      <c r="E80" s="10">
        <v>0.58179999999999998</v>
      </c>
      <c r="F80" s="9">
        <f t="shared" si="32"/>
        <v>7.8124999999999993E-4</v>
      </c>
      <c r="G80" s="9">
        <f t="shared" si="33"/>
        <v>8.2601234567901242E-4</v>
      </c>
      <c r="H80" s="9">
        <f t="shared" si="34"/>
        <v>8.5185185185185201E-4</v>
      </c>
      <c r="I80" s="9">
        <f t="shared" si="35"/>
        <v>8.8818531793442195E-4</v>
      </c>
      <c r="J80" s="9">
        <f t="shared" si="36"/>
        <v>8.9783950617283953E-4</v>
      </c>
      <c r="K80" s="9">
        <f t="shared" si="37"/>
        <v>9.3865039281705955E-4</v>
      </c>
      <c r="L80" s="9">
        <f t="shared" si="38"/>
        <v>9.8334803057025292E-4</v>
      </c>
      <c r="M80" s="11"/>
      <c r="N80" s="9"/>
      <c r="O80" s="24"/>
      <c r="P80" s="9"/>
      <c r="Q80" s="24"/>
      <c r="R80" s="9"/>
      <c r="S80" s="9"/>
      <c r="T80" s="24"/>
      <c r="V80" s="23" t="s">
        <v>145</v>
      </c>
      <c r="W80" s="104"/>
    </row>
    <row r="81" spans="1:23" ht="17.149999999999999" customHeight="1" x14ac:dyDescent="0.35">
      <c r="A81" s="8" t="s">
        <v>105</v>
      </c>
      <c r="B81" s="9">
        <v>1.064814814814815E-2</v>
      </c>
      <c r="C81" s="9">
        <v>3.1249999999999997E-3</v>
      </c>
      <c r="D81" s="9">
        <f t="shared" si="39"/>
        <v>6.1950925925925932E-3</v>
      </c>
      <c r="E81" s="10">
        <v>0.58179999999999998</v>
      </c>
      <c r="F81" s="9">
        <f t="shared" si="32"/>
        <v>7.8124999999999993E-4</v>
      </c>
      <c r="G81" s="9">
        <f t="shared" si="33"/>
        <v>8.2601234567901242E-4</v>
      </c>
      <c r="H81" s="9">
        <f t="shared" si="34"/>
        <v>8.5185185185185201E-4</v>
      </c>
      <c r="I81" s="9">
        <f t="shared" si="35"/>
        <v>8.8818531793442195E-4</v>
      </c>
      <c r="J81" s="9">
        <f t="shared" si="36"/>
        <v>8.9783950617283953E-4</v>
      </c>
      <c r="K81" s="9">
        <f t="shared" si="37"/>
        <v>9.3865039281705955E-4</v>
      </c>
      <c r="L81" s="9">
        <f t="shared" si="38"/>
        <v>9.8334803057025292E-4</v>
      </c>
      <c r="M81" s="11"/>
      <c r="N81" s="9"/>
      <c r="O81" s="24"/>
      <c r="P81" s="9"/>
      <c r="Q81" s="24"/>
      <c r="R81" s="9"/>
      <c r="S81" s="9"/>
      <c r="T81" s="24"/>
      <c r="V81" s="23" t="s">
        <v>145</v>
      </c>
      <c r="W81" s="104"/>
    </row>
    <row r="82" spans="1:23" ht="17.149999999999999" customHeight="1" x14ac:dyDescent="0.35">
      <c r="A82" s="8" t="s">
        <v>107</v>
      </c>
      <c r="B82" s="9">
        <v>1.0648148148148148E-2</v>
      </c>
      <c r="C82" s="9">
        <v>3.1249999999999997E-3</v>
      </c>
      <c r="D82" s="9">
        <f t="shared" si="39"/>
        <v>6.1950925925925923E-3</v>
      </c>
      <c r="E82" s="10">
        <v>0.58179999999999998</v>
      </c>
      <c r="F82" s="9">
        <f t="shared" si="32"/>
        <v>7.8124999999999993E-4</v>
      </c>
      <c r="G82" s="9">
        <f t="shared" si="33"/>
        <v>8.2601234567901232E-4</v>
      </c>
      <c r="H82" s="9">
        <f t="shared" si="34"/>
        <v>8.5185185185185179E-4</v>
      </c>
      <c r="I82" s="9">
        <f t="shared" si="35"/>
        <v>8.8818531793442184E-4</v>
      </c>
      <c r="J82" s="9">
        <f t="shared" si="36"/>
        <v>8.9783950617283942E-4</v>
      </c>
      <c r="K82" s="9">
        <f t="shared" si="37"/>
        <v>9.3865039281705945E-4</v>
      </c>
      <c r="L82" s="9">
        <f t="shared" si="38"/>
        <v>9.833480305702527E-4</v>
      </c>
      <c r="M82" s="11"/>
      <c r="N82" s="9"/>
      <c r="O82" s="24"/>
      <c r="P82" s="9"/>
      <c r="Q82" s="24"/>
      <c r="R82" s="9"/>
      <c r="S82" s="9"/>
      <c r="T82" s="24"/>
      <c r="V82" s="23" t="s">
        <v>145</v>
      </c>
      <c r="W82" s="104"/>
    </row>
    <row r="83" spans="1:23" ht="17.149999999999999" customHeight="1" x14ac:dyDescent="0.35">
      <c r="A83" s="8" t="s">
        <v>108</v>
      </c>
      <c r="B83" s="9">
        <v>1.0763888888888891E-2</v>
      </c>
      <c r="C83" s="9">
        <v>3.1828703703703702E-3</v>
      </c>
      <c r="D83" s="9">
        <f t="shared" si="39"/>
        <v>6.2624305555555567E-3</v>
      </c>
      <c r="E83" s="10">
        <v>0.58179999999999998</v>
      </c>
      <c r="F83" s="9">
        <f t="shared" si="32"/>
        <v>7.9571759259259255E-4</v>
      </c>
      <c r="G83" s="9">
        <f t="shared" si="33"/>
        <v>8.3499074074074085E-4</v>
      </c>
      <c r="H83" s="9">
        <f t="shared" si="34"/>
        <v>8.6111111111111121E-4</v>
      </c>
      <c r="I83" s="9">
        <f t="shared" si="35"/>
        <v>8.9783950617283953E-4</v>
      </c>
      <c r="J83" s="9">
        <f t="shared" si="36"/>
        <v>9.0759863123993567E-4</v>
      </c>
      <c r="K83" s="9">
        <f t="shared" si="37"/>
        <v>9.4885311447811464E-4</v>
      </c>
      <c r="L83" s="9">
        <f t="shared" si="38"/>
        <v>9.9403659611992969E-4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145</v>
      </c>
      <c r="W83" s="104"/>
    </row>
    <row r="84" spans="1:23" ht="17.149999999999999" customHeight="1" x14ac:dyDescent="0.35">
      <c r="A84" s="8" t="s">
        <v>87</v>
      </c>
      <c r="B84" s="9">
        <v>1.0763888888888891E-2</v>
      </c>
      <c r="C84" s="9">
        <v>3.1249999999999997E-3</v>
      </c>
      <c r="D84" s="9">
        <f t="shared" si="39"/>
        <v>6.2624305555555567E-3</v>
      </c>
      <c r="E84" s="10">
        <v>0.58179999999999998</v>
      </c>
      <c r="F84" s="9">
        <f t="shared" si="32"/>
        <v>7.8124999999999993E-4</v>
      </c>
      <c r="G84" s="9">
        <f t="shared" si="33"/>
        <v>8.3499074074074085E-4</v>
      </c>
      <c r="H84" s="9">
        <f t="shared" si="34"/>
        <v>8.6111111111111121E-4</v>
      </c>
      <c r="I84" s="9">
        <f t="shared" si="35"/>
        <v>8.9783950617283953E-4</v>
      </c>
      <c r="J84" s="9">
        <f t="shared" si="36"/>
        <v>9.0759863123993567E-4</v>
      </c>
      <c r="K84" s="9">
        <f t="shared" si="37"/>
        <v>9.4885311447811464E-4</v>
      </c>
      <c r="L84" s="9">
        <f t="shared" si="38"/>
        <v>9.9403659611992969E-4</v>
      </c>
      <c r="M84" s="11"/>
      <c r="N84" s="9"/>
      <c r="O84" s="24"/>
      <c r="P84" s="9"/>
      <c r="Q84" s="24"/>
      <c r="R84" s="9"/>
      <c r="S84" s="9"/>
      <c r="T84" s="24"/>
      <c r="U84" s="24"/>
      <c r="V84" s="23" t="s">
        <v>145</v>
      </c>
      <c r="W84" s="104"/>
    </row>
    <row r="85" spans="1:23" ht="17.149999999999999" customHeight="1" x14ac:dyDescent="0.35">
      <c r="A85" s="8" t="s">
        <v>109</v>
      </c>
      <c r="B85" s="9">
        <v>1.0763888888888889E-2</v>
      </c>
      <c r="C85" s="9">
        <v>3.1249999999999997E-3</v>
      </c>
      <c r="D85" s="9">
        <f t="shared" si="39"/>
        <v>6.2624305555555549E-3</v>
      </c>
      <c r="E85" s="10">
        <v>0.58179999999999998</v>
      </c>
      <c r="F85" s="9">
        <f t="shared" si="32"/>
        <v>7.8124999999999993E-4</v>
      </c>
      <c r="G85" s="9">
        <f t="shared" si="33"/>
        <v>8.3499074074074064E-4</v>
      </c>
      <c r="H85" s="9">
        <f t="shared" si="34"/>
        <v>8.611111111111111E-4</v>
      </c>
      <c r="I85" s="9">
        <f t="shared" si="35"/>
        <v>8.9783950617283931E-4</v>
      </c>
      <c r="J85" s="9">
        <f t="shared" si="36"/>
        <v>9.0759863123993545E-4</v>
      </c>
      <c r="K85" s="9">
        <f t="shared" si="37"/>
        <v>9.4885311447811432E-4</v>
      </c>
      <c r="L85" s="9">
        <f t="shared" si="38"/>
        <v>9.9403659611992947E-4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145</v>
      </c>
      <c r="W85" s="104" t="s">
        <v>175</v>
      </c>
    </row>
    <row r="86" spans="1:23" ht="17.149999999999999" customHeight="1" x14ac:dyDescent="0.35">
      <c r="A86" s="8" t="s">
        <v>110</v>
      </c>
      <c r="B86" s="9">
        <v>1.087962962962963E-2</v>
      </c>
      <c r="C86" s="9">
        <v>3.1249999999999997E-3</v>
      </c>
      <c r="D86" s="9">
        <f t="shared" si="39"/>
        <v>6.3297685185185184E-3</v>
      </c>
      <c r="E86" s="10">
        <v>0.58179999999999998</v>
      </c>
      <c r="F86" s="9">
        <f t="shared" si="32"/>
        <v>7.8124999999999993E-4</v>
      </c>
      <c r="G86" s="9">
        <f t="shared" si="33"/>
        <v>8.4396913580246917E-4</v>
      </c>
      <c r="H86" s="9">
        <f t="shared" si="34"/>
        <v>8.7037037037037042E-4</v>
      </c>
      <c r="I86" s="9">
        <f t="shared" si="35"/>
        <v>9.0749369441125711E-4</v>
      </c>
      <c r="J86" s="9">
        <f t="shared" si="36"/>
        <v>9.173577563070317E-4</v>
      </c>
      <c r="K86" s="9">
        <f t="shared" si="37"/>
        <v>9.5905583613916951E-4</v>
      </c>
      <c r="L86" s="9">
        <f t="shared" si="38"/>
        <v>1.0047251616696062E-3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145</v>
      </c>
      <c r="W86" s="104"/>
    </row>
    <row r="87" spans="1:23" ht="17.149999999999999" customHeight="1" x14ac:dyDescent="0.35">
      <c r="A87" s="8" t="s">
        <v>111</v>
      </c>
      <c r="B87" s="9">
        <v>1.087962962962963E-2</v>
      </c>
      <c r="C87" s="9">
        <v>3.1828703703703702E-3</v>
      </c>
      <c r="D87" s="9">
        <f t="shared" si="39"/>
        <v>6.3297685185185184E-3</v>
      </c>
      <c r="E87" s="10">
        <v>0.58179999999999998</v>
      </c>
      <c r="F87" s="9">
        <f t="shared" si="32"/>
        <v>7.9571759259259255E-4</v>
      </c>
      <c r="G87" s="9">
        <f t="shared" si="33"/>
        <v>8.4396913580246917E-4</v>
      </c>
      <c r="H87" s="9">
        <f t="shared" si="34"/>
        <v>8.7037037037037042E-4</v>
      </c>
      <c r="I87" s="9">
        <f t="shared" si="35"/>
        <v>9.0749369441125711E-4</v>
      </c>
      <c r="J87" s="9">
        <f t="shared" si="36"/>
        <v>9.173577563070317E-4</v>
      </c>
      <c r="K87" s="9">
        <f t="shared" si="37"/>
        <v>9.5905583613916951E-4</v>
      </c>
      <c r="L87" s="9">
        <f t="shared" si="38"/>
        <v>1.0047251616696062E-3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145</v>
      </c>
      <c r="W87" s="104"/>
    </row>
    <row r="88" spans="1:23" ht="17.149999999999999" customHeight="1" x14ac:dyDescent="0.35">
      <c r="A88" s="8" t="s">
        <v>88</v>
      </c>
      <c r="B88" s="9">
        <v>1.087962962962963E-2</v>
      </c>
      <c r="C88" s="9">
        <v>3.1828703703703702E-3</v>
      </c>
      <c r="D88" s="9">
        <f t="shared" si="39"/>
        <v>6.3297685185185184E-3</v>
      </c>
      <c r="E88" s="10">
        <v>0.58179999999999998</v>
      </c>
      <c r="F88" s="9">
        <f t="shared" si="32"/>
        <v>7.9571759259259255E-4</v>
      </c>
      <c r="G88" s="9">
        <f t="shared" si="33"/>
        <v>8.4396913580246917E-4</v>
      </c>
      <c r="H88" s="9">
        <f t="shared" si="34"/>
        <v>8.7037037037037042E-4</v>
      </c>
      <c r="I88" s="9">
        <f t="shared" si="35"/>
        <v>9.0749369441125711E-4</v>
      </c>
      <c r="J88" s="9">
        <f t="shared" si="36"/>
        <v>9.173577563070317E-4</v>
      </c>
      <c r="K88" s="9">
        <f t="shared" si="37"/>
        <v>9.5905583613916951E-4</v>
      </c>
      <c r="L88" s="9">
        <f t="shared" si="38"/>
        <v>1.0047251616696062E-3</v>
      </c>
      <c r="M88" s="11"/>
      <c r="N88" s="9"/>
      <c r="O88" s="24"/>
      <c r="P88" s="9"/>
      <c r="Q88" s="24"/>
      <c r="R88" s="9"/>
      <c r="S88" s="9"/>
      <c r="T88" s="24"/>
      <c r="U88" s="24"/>
      <c r="V88" s="23" t="s">
        <v>145</v>
      </c>
      <c r="W88" s="104"/>
    </row>
    <row r="89" spans="1:23" ht="17.149999999999999" customHeight="1" x14ac:dyDescent="0.35">
      <c r="A89" s="8" t="s">
        <v>90</v>
      </c>
      <c r="B89" s="9">
        <v>1.0995370370370371E-2</v>
      </c>
      <c r="C89" s="9">
        <v>3.1828703703703702E-3</v>
      </c>
      <c r="D89" s="9">
        <f t="shared" si="39"/>
        <v>6.397106481481481E-3</v>
      </c>
      <c r="E89" s="10">
        <v>0.58179999999999998</v>
      </c>
      <c r="F89" s="9">
        <f t="shared" si="32"/>
        <v>7.9571759259259255E-4</v>
      </c>
      <c r="G89" s="9">
        <f t="shared" si="33"/>
        <v>8.5294753086419749E-4</v>
      </c>
      <c r="H89" s="9">
        <f t="shared" si="34"/>
        <v>8.7962962962962962E-4</v>
      </c>
      <c r="I89" s="9">
        <f t="shared" si="35"/>
        <v>9.171478826496747E-4</v>
      </c>
      <c r="J89" s="9">
        <f t="shared" si="36"/>
        <v>9.2711688137412762E-4</v>
      </c>
      <c r="K89" s="9">
        <f t="shared" si="37"/>
        <v>9.6925855780022438E-4</v>
      </c>
      <c r="L89" s="9">
        <f t="shared" si="38"/>
        <v>1.0154137272192828E-3</v>
      </c>
      <c r="M89" s="11"/>
      <c r="N89" s="9"/>
      <c r="O89" s="24"/>
      <c r="P89" s="9"/>
      <c r="Q89" s="24"/>
      <c r="R89" s="9"/>
      <c r="S89" s="12"/>
      <c r="T89" s="25"/>
      <c r="U89" s="28"/>
      <c r="V89" s="23" t="s">
        <v>145</v>
      </c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14"/>
      <c r="B91" s="15"/>
      <c r="C91" s="15"/>
      <c r="D91" s="15"/>
      <c r="E91" s="16"/>
      <c r="F91" s="15">
        <f>C91/4</f>
        <v>0</v>
      </c>
      <c r="G91" s="15">
        <f>D91/7.5</f>
        <v>0</v>
      </c>
      <c r="H91" s="15">
        <f>B91/12.5</f>
        <v>0</v>
      </c>
      <c r="I91" s="15">
        <f>G91/0.93</f>
        <v>0</v>
      </c>
      <c r="J91" s="15">
        <f>G91/0.92</f>
        <v>0</v>
      </c>
      <c r="K91" s="15">
        <f>G91/0.88</f>
        <v>0</v>
      </c>
      <c r="L91" s="15">
        <f>G91/0.84</f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4"/>
    </row>
    <row r="92" spans="1:23" ht="17.149999999999999" customHeight="1" x14ac:dyDescent="0.35">
      <c r="A92" s="8" t="s">
        <v>82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>C92/4</f>
        <v>7.5231481481481471E-4</v>
      </c>
      <c r="G92" s="9">
        <f>D92/7.5</f>
        <v>8.0805555555555546E-4</v>
      </c>
      <c r="H92" s="9">
        <f>B92/12.5</f>
        <v>8.3333333333333328E-4</v>
      </c>
      <c r="I92" s="9">
        <f>G92/0.93</f>
        <v>8.6887694145758646E-4</v>
      </c>
      <c r="J92" s="9">
        <f>G92/0.92</f>
        <v>8.7832125603864715E-4</v>
      </c>
      <c r="K92" s="9">
        <f>G92/0.88</f>
        <v>9.1824494949494938E-4</v>
      </c>
      <c r="L92" s="9">
        <f>G92/0.84</f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53</v>
      </c>
      <c r="W92" s="104"/>
    </row>
    <row r="93" spans="1:23" ht="17.149999999999999" customHeight="1" x14ac:dyDescent="0.35">
      <c r="A93" s="8" t="s">
        <v>115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53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8798-7322-4C12-8163-1431CEBE4C75}">
  <sheetPr>
    <pageSetUpPr fitToPage="1"/>
  </sheetPr>
  <dimension ref="A1:W99"/>
  <sheetViews>
    <sheetView topLeftCell="A35" workbookViewId="0">
      <selection activeCell="W43" sqref="W43:W5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176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177</v>
      </c>
      <c r="N1" s="6" t="s">
        <v>178</v>
      </c>
      <c r="O1" s="6" t="s">
        <v>179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180</v>
      </c>
    </row>
    <row r="2" spans="1:23" ht="17.149999999999999" customHeight="1" x14ac:dyDescent="0.35">
      <c r="A2" s="8" t="s">
        <v>28</v>
      </c>
      <c r="B2" s="9">
        <v>1.1689814814814814E-2</v>
      </c>
      <c r="C2" s="9">
        <v>3.3564814814814811E-3</v>
      </c>
      <c r="D2" s="9">
        <f t="shared" ref="D2:D11" si="0">B2*E2</f>
        <v>6.8011342592592585E-3</v>
      </c>
      <c r="E2" s="10">
        <v>0.58179999999999998</v>
      </c>
      <c r="F2" s="9">
        <f t="shared" ref="F2:F16" si="1">C2/4</f>
        <v>8.3912037037037028E-4</v>
      </c>
      <c r="G2" s="9">
        <f t="shared" ref="G2:G16" si="2">D2/7.5</f>
        <v>9.0681790123456785E-4</v>
      </c>
      <c r="H2" s="9">
        <f t="shared" ref="H2:H16" si="3">B2/12.5</f>
        <v>9.3518518518518516E-4</v>
      </c>
      <c r="I2" s="9">
        <f t="shared" ref="I2:I16" si="4">G2/0.93</f>
        <v>9.7507301208018041E-4</v>
      </c>
      <c r="J2" s="9">
        <f t="shared" ref="J2:J16" si="5">G2/0.92</f>
        <v>9.8567163177670412E-4</v>
      </c>
      <c r="K2" s="9">
        <f t="shared" ref="K2:K16" si="6">G2/0.88</f>
        <v>1.0304748877665545E-3</v>
      </c>
      <c r="L2" s="9">
        <f t="shared" ref="L2:L16" si="7">G2/0.84</f>
        <v>1.0795451205173427E-3</v>
      </c>
      <c r="M2" s="11"/>
      <c r="N2" s="9"/>
      <c r="O2" s="12"/>
      <c r="P2" s="9"/>
      <c r="Q2" s="12"/>
      <c r="R2" s="9"/>
      <c r="S2" s="12"/>
      <c r="T2" s="12"/>
      <c r="U2" s="9"/>
      <c r="V2" s="13" t="s">
        <v>30</v>
      </c>
      <c r="W2" s="108"/>
    </row>
    <row r="3" spans="1:23" ht="17.149999999999999" customHeight="1" x14ac:dyDescent="0.35">
      <c r="A3" s="8" t="s">
        <v>39</v>
      </c>
      <c r="B3" s="9">
        <v>1.3020833333333334E-2</v>
      </c>
      <c r="C3" s="9">
        <v>3.8194444444444443E-3</v>
      </c>
      <c r="D3" s="9">
        <f t="shared" si="0"/>
        <v>7.5755208333333334E-3</v>
      </c>
      <c r="E3" s="10">
        <v>0.58179999999999998</v>
      </c>
      <c r="F3" s="9">
        <f t="shared" si="1"/>
        <v>9.5486111111111108E-4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30</v>
      </c>
      <c r="W3" s="108"/>
    </row>
    <row r="4" spans="1:23" ht="17.149999999999999" customHeight="1" x14ac:dyDescent="0.35">
      <c r="A4" s="8" t="s">
        <v>41</v>
      </c>
      <c r="B4" s="9">
        <v>1.3541666666666667E-2</v>
      </c>
      <c r="C4" s="9">
        <v>4.0509259259259257E-3</v>
      </c>
      <c r="D4" s="9">
        <f t="shared" si="0"/>
        <v>7.8785416666666674E-3</v>
      </c>
      <c r="E4" s="10">
        <v>0.58179999999999998</v>
      </c>
      <c r="F4" s="9">
        <f t="shared" si="1"/>
        <v>1.0127314814814814E-3</v>
      </c>
      <c r="G4" s="9">
        <f t="shared" si="2"/>
        <v>1.0504722222222224E-3</v>
      </c>
      <c r="H4" s="9">
        <f t="shared" si="3"/>
        <v>1.0833333333333333E-3</v>
      </c>
      <c r="I4" s="9">
        <f t="shared" si="4"/>
        <v>1.1295400238948627E-3</v>
      </c>
      <c r="J4" s="9">
        <f t="shared" si="5"/>
        <v>1.1418176328502417E-3</v>
      </c>
      <c r="K4" s="9">
        <f t="shared" si="6"/>
        <v>1.1937184343434346E-3</v>
      </c>
      <c r="L4" s="9">
        <f t="shared" si="7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30</v>
      </c>
      <c r="W4" s="108"/>
    </row>
    <row r="5" spans="1:23" ht="17.149999999999999" customHeight="1" x14ac:dyDescent="0.35">
      <c r="A5" s="8" t="s">
        <v>42</v>
      </c>
      <c r="B5" s="9">
        <v>1.4236111111111111E-2</v>
      </c>
      <c r="C5" s="9">
        <v>4.0509259259259257E-3</v>
      </c>
      <c r="D5" s="9">
        <f t="shared" si="0"/>
        <v>8.2825694444444448E-3</v>
      </c>
      <c r="E5" s="10">
        <v>0.58179999999999998</v>
      </c>
      <c r="F5" s="9">
        <f t="shared" si="1"/>
        <v>1.0127314814814814E-3</v>
      </c>
      <c r="G5" s="9">
        <f t="shared" si="2"/>
        <v>1.1043425925925927E-3</v>
      </c>
      <c r="H5" s="9">
        <f t="shared" si="3"/>
        <v>1.1388888888888889E-3</v>
      </c>
      <c r="I5" s="9">
        <f t="shared" si="4"/>
        <v>1.1874651533253684E-3</v>
      </c>
      <c r="J5" s="9">
        <f t="shared" si="5"/>
        <v>1.2003723832528181E-3</v>
      </c>
      <c r="K5" s="9">
        <f t="shared" si="6"/>
        <v>1.2549347643097644E-3</v>
      </c>
      <c r="L5" s="9">
        <f t="shared" si="7"/>
        <v>1.3146935626102295E-3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30</v>
      </c>
      <c r="W5" s="108"/>
    </row>
    <row r="6" spans="1:23" ht="17.149999999999999" customHeight="1" x14ac:dyDescent="0.35">
      <c r="A6" s="8" t="s">
        <v>44</v>
      </c>
      <c r="B6" s="9">
        <v>1.4236111111111111E-2</v>
      </c>
      <c r="C6" s="9">
        <v>4.1666666666666666E-3</v>
      </c>
      <c r="D6" s="9">
        <f t="shared" si="0"/>
        <v>8.2825694444444448E-3</v>
      </c>
      <c r="E6" s="10">
        <v>0.58179999999999998</v>
      </c>
      <c r="F6" s="9">
        <f t="shared" si="1"/>
        <v>1.0416666666666667E-3</v>
      </c>
      <c r="G6" s="9">
        <f t="shared" si="2"/>
        <v>1.1043425925925927E-3</v>
      </c>
      <c r="H6" s="9">
        <f t="shared" si="3"/>
        <v>1.1388888888888889E-3</v>
      </c>
      <c r="I6" s="9">
        <f t="shared" si="4"/>
        <v>1.1874651533253684E-3</v>
      </c>
      <c r="J6" s="9">
        <f t="shared" si="5"/>
        <v>1.2003723832528181E-3</v>
      </c>
      <c r="K6" s="9">
        <f t="shared" si="6"/>
        <v>1.2549347643097644E-3</v>
      </c>
      <c r="L6" s="9">
        <f t="shared" si="7"/>
        <v>1.3146935626102295E-3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30</v>
      </c>
      <c r="W6" s="108"/>
    </row>
    <row r="7" spans="1:23" ht="17.149999999999999" customHeight="1" x14ac:dyDescent="0.35">
      <c r="A7" s="8" t="s">
        <v>37</v>
      </c>
      <c r="B7" s="9">
        <v>1.238425925925926E-2</v>
      </c>
      <c r="C7" s="9">
        <v>3.8194444444444443E-3</v>
      </c>
      <c r="D7" s="9">
        <f t="shared" si="0"/>
        <v>7.2051620370370368E-3</v>
      </c>
      <c r="E7" s="10">
        <v>0.58179999999999998</v>
      </c>
      <c r="F7" s="9">
        <f t="shared" si="1"/>
        <v>9.5486111111111108E-4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12"/>
      <c r="S7" s="12"/>
      <c r="T7" s="12"/>
      <c r="U7" s="9"/>
      <c r="V7" s="13" t="s">
        <v>34</v>
      </c>
      <c r="W7" s="108"/>
    </row>
    <row r="8" spans="1:23" ht="17.149999999999999" customHeight="1" x14ac:dyDescent="0.35">
      <c r="A8" s="8" t="s">
        <v>43</v>
      </c>
      <c r="B8" s="9">
        <v>1.4236111111111111E-2</v>
      </c>
      <c r="C8" s="9">
        <v>4.0509259259259257E-3</v>
      </c>
      <c r="D8" s="9">
        <f t="shared" si="0"/>
        <v>8.2825694444444448E-3</v>
      </c>
      <c r="E8" s="10">
        <v>0.58179999999999998</v>
      </c>
      <c r="F8" s="9">
        <f t="shared" si="1"/>
        <v>1.0127314814814814E-3</v>
      </c>
      <c r="G8" s="9">
        <f t="shared" si="2"/>
        <v>1.1043425925925927E-3</v>
      </c>
      <c r="H8" s="9">
        <f t="shared" si="3"/>
        <v>1.1388888888888889E-3</v>
      </c>
      <c r="I8" s="9">
        <f t="shared" si="4"/>
        <v>1.1874651533253684E-3</v>
      </c>
      <c r="J8" s="9">
        <f t="shared" si="5"/>
        <v>1.2003723832528181E-3</v>
      </c>
      <c r="K8" s="9">
        <f t="shared" si="6"/>
        <v>1.2549347643097644E-3</v>
      </c>
      <c r="L8" s="9">
        <f t="shared" si="7"/>
        <v>1.3146935626102295E-3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34</v>
      </c>
      <c r="W8" s="108"/>
    </row>
    <row r="9" spans="1:23" ht="17.149999999999999" customHeight="1" x14ac:dyDescent="0.35">
      <c r="A9" s="8" t="s">
        <v>38</v>
      </c>
      <c r="B9" s="9">
        <v>1.238425925925926E-2</v>
      </c>
      <c r="C9" s="9">
        <v>3.8194444444444443E-3</v>
      </c>
      <c r="D9" s="9">
        <f t="shared" si="0"/>
        <v>7.2051620370370368E-3</v>
      </c>
      <c r="E9" s="10">
        <v>0.58179999999999998</v>
      </c>
      <c r="F9" s="9">
        <f t="shared" si="1"/>
        <v>9.5486111111111108E-4</v>
      </c>
      <c r="G9" s="9">
        <f t="shared" si="2"/>
        <v>9.6068827160493821E-4</v>
      </c>
      <c r="H9" s="9">
        <f t="shared" si="3"/>
        <v>9.9074074074074082E-4</v>
      </c>
      <c r="I9" s="9">
        <f t="shared" si="4"/>
        <v>1.0329981415106862E-3</v>
      </c>
      <c r="J9" s="9">
        <f t="shared" si="5"/>
        <v>1.0442263821792807E-3</v>
      </c>
      <c r="K9" s="9">
        <f t="shared" si="6"/>
        <v>1.0916912177328843E-3</v>
      </c>
      <c r="L9" s="9">
        <f t="shared" si="7"/>
        <v>1.1436765138154027E-3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34</v>
      </c>
      <c r="W9" s="108"/>
    </row>
    <row r="10" spans="1:23" ht="17.149999999999999" customHeight="1" x14ac:dyDescent="0.35">
      <c r="A10" s="8" t="s">
        <v>50</v>
      </c>
      <c r="B10" s="9">
        <v>1.2499999999999999E-2</v>
      </c>
      <c r="C10" s="9">
        <v>3.9351851851851857E-3</v>
      </c>
      <c r="D10" s="9">
        <f t="shared" si="0"/>
        <v>7.2724999999999995E-3</v>
      </c>
      <c r="E10" s="10">
        <v>0.58179999999999998</v>
      </c>
      <c r="F10" s="9">
        <f t="shared" si="1"/>
        <v>9.8379629629629642E-4</v>
      </c>
      <c r="G10" s="9">
        <f t="shared" si="2"/>
        <v>9.6966666666666664E-4</v>
      </c>
      <c r="H10" s="9">
        <f t="shared" si="3"/>
        <v>1E-3</v>
      </c>
      <c r="I10" s="9">
        <f t="shared" si="4"/>
        <v>1.0426523297491039E-3</v>
      </c>
      <c r="J10" s="9">
        <f t="shared" si="5"/>
        <v>1.0539855072463768E-3</v>
      </c>
      <c r="K10" s="9">
        <f t="shared" si="6"/>
        <v>1.1018939393939394E-3</v>
      </c>
      <c r="L10" s="9">
        <f t="shared" si="7"/>
        <v>1.1543650793650795E-3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34</v>
      </c>
      <c r="W10" s="104" t="s">
        <v>181</v>
      </c>
    </row>
    <row r="11" spans="1:23" ht="17.149999999999999" customHeight="1" x14ac:dyDescent="0.35">
      <c r="A11" s="8" t="s">
        <v>40</v>
      </c>
      <c r="B11" s="9">
        <v>1.3020833333333334E-2</v>
      </c>
      <c r="C11" s="9">
        <v>3.8194444444444443E-3</v>
      </c>
      <c r="D11" s="9">
        <f t="shared" si="0"/>
        <v>7.5755208333333334E-3</v>
      </c>
      <c r="E11" s="10">
        <v>0.58179999999999998</v>
      </c>
      <c r="F11" s="9">
        <f t="shared" si="1"/>
        <v>9.5486111111111108E-4</v>
      </c>
      <c r="G11" s="9">
        <f t="shared" si="2"/>
        <v>1.0100694444444445E-3</v>
      </c>
      <c r="H11" s="9">
        <f t="shared" si="3"/>
        <v>1.0416666666666667E-3</v>
      </c>
      <c r="I11" s="9">
        <f t="shared" si="4"/>
        <v>1.0860961768219832E-3</v>
      </c>
      <c r="J11" s="9">
        <f t="shared" si="5"/>
        <v>1.0979015700483092E-3</v>
      </c>
      <c r="K11" s="9">
        <f t="shared" si="6"/>
        <v>1.1478061868686869E-3</v>
      </c>
      <c r="L11" s="9">
        <f t="shared" si="7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34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>
        <f t="shared" si="1"/>
        <v>0</v>
      </c>
      <c r="G12" s="9">
        <f t="shared" si="2"/>
        <v>0</v>
      </c>
      <c r="H12" s="9">
        <f t="shared" si="3"/>
        <v>0</v>
      </c>
      <c r="I12" s="9">
        <f t="shared" si="4"/>
        <v>0</v>
      </c>
      <c r="J12" s="9">
        <f t="shared" si="5"/>
        <v>0</v>
      </c>
      <c r="K12" s="9">
        <f t="shared" si="6"/>
        <v>0</v>
      </c>
      <c r="L12" s="9">
        <f t="shared" si="7"/>
        <v>0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si="1"/>
        <v>0</v>
      </c>
      <c r="G13" s="15">
        <f t="shared" si="2"/>
        <v>0</v>
      </c>
      <c r="H13" s="15">
        <f t="shared" si="3"/>
        <v>0</v>
      </c>
      <c r="I13" s="15">
        <f t="shared" si="4"/>
        <v>0</v>
      </c>
      <c r="J13" s="15">
        <f t="shared" si="5"/>
        <v>0</v>
      </c>
      <c r="K13" s="15">
        <f t="shared" si="6"/>
        <v>0</v>
      </c>
      <c r="L13" s="15">
        <f t="shared" si="7"/>
        <v>0</v>
      </c>
      <c r="M13" s="30"/>
      <c r="N13" s="15"/>
      <c r="O13" s="15"/>
      <c r="P13" s="15"/>
      <c r="Q13" s="15"/>
      <c r="R13" s="15"/>
      <c r="S13" s="15"/>
      <c r="T13" s="15"/>
      <c r="U13" s="15"/>
      <c r="V13" s="17"/>
      <c r="W13" s="104"/>
    </row>
    <row r="14" spans="1:23" ht="17.149999999999999" customHeight="1" x14ac:dyDescent="0.35">
      <c r="A14" s="8" t="s">
        <v>47</v>
      </c>
      <c r="B14" s="9">
        <v>1.2268518518518519E-2</v>
      </c>
      <c r="C14" s="9">
        <v>3.7037037037037034E-3</v>
      </c>
      <c r="D14" s="9">
        <f>B14*E14</f>
        <v>7.1378240740740742E-3</v>
      </c>
      <c r="E14" s="10">
        <v>0.58179999999999998</v>
      </c>
      <c r="F14" s="9">
        <f t="shared" si="1"/>
        <v>9.2592592592592585E-4</v>
      </c>
      <c r="G14" s="9">
        <f t="shared" si="2"/>
        <v>9.5170987654320989E-4</v>
      </c>
      <c r="H14" s="9">
        <f t="shared" si="3"/>
        <v>9.8148148148148161E-4</v>
      </c>
      <c r="I14" s="9">
        <f t="shared" si="4"/>
        <v>1.0233439532722685E-3</v>
      </c>
      <c r="J14" s="9">
        <f t="shared" si="5"/>
        <v>1.0344672571121847E-3</v>
      </c>
      <c r="K14" s="9">
        <f t="shared" si="6"/>
        <v>1.0814884960718295E-3</v>
      </c>
      <c r="L14" s="9">
        <f t="shared" si="7"/>
        <v>1.1329879482657262E-3</v>
      </c>
      <c r="M14" s="11"/>
      <c r="N14" s="9"/>
      <c r="O14" s="12"/>
      <c r="P14" s="9"/>
      <c r="Q14" s="12"/>
      <c r="R14" s="12"/>
      <c r="S14" s="12"/>
      <c r="T14" s="12"/>
      <c r="U14" s="9"/>
      <c r="V14" s="13" t="s">
        <v>48</v>
      </c>
      <c r="W14" s="104"/>
    </row>
    <row r="15" spans="1:23" ht="17.149999999999999" customHeight="1" x14ac:dyDescent="0.35">
      <c r="A15" s="8" t="s">
        <v>33</v>
      </c>
      <c r="B15" s="9">
        <v>1.238425925925926E-2</v>
      </c>
      <c r="C15" s="9">
        <v>3.645833333333333E-3</v>
      </c>
      <c r="D15" s="9">
        <f>B15*E15</f>
        <v>7.2051620370370368E-3</v>
      </c>
      <c r="E15" s="10">
        <v>0.58179999999999998</v>
      </c>
      <c r="F15" s="9">
        <f t="shared" si="1"/>
        <v>9.1145833333333324E-4</v>
      </c>
      <c r="G15" s="9">
        <f t="shared" si="2"/>
        <v>9.6068827160493821E-4</v>
      </c>
      <c r="H15" s="9">
        <f t="shared" si="3"/>
        <v>9.9074074074074082E-4</v>
      </c>
      <c r="I15" s="9">
        <f t="shared" si="4"/>
        <v>1.0329981415106862E-3</v>
      </c>
      <c r="J15" s="9">
        <f t="shared" si="5"/>
        <v>1.0442263821792807E-3</v>
      </c>
      <c r="K15" s="9">
        <f t="shared" si="6"/>
        <v>1.0916912177328843E-3</v>
      </c>
      <c r="L15" s="9">
        <f t="shared" si="7"/>
        <v>1.1436765138154027E-3</v>
      </c>
      <c r="M15" s="11"/>
      <c r="N15" s="9"/>
      <c r="O15" s="12"/>
      <c r="P15" s="9"/>
      <c r="Q15" s="12"/>
      <c r="R15" s="12"/>
      <c r="S15" s="12"/>
      <c r="T15" s="12"/>
      <c r="U15" s="9"/>
      <c r="V15" s="13" t="s">
        <v>48</v>
      </c>
      <c r="W15" s="104"/>
    </row>
    <row r="16" spans="1:23" ht="17.149999999999999" customHeight="1" x14ac:dyDescent="0.35">
      <c r="A16" s="8" t="s">
        <v>51</v>
      </c>
      <c r="B16" s="9">
        <v>1.2499999999999999E-2</v>
      </c>
      <c r="C16" s="9">
        <v>3.7037037037037034E-3</v>
      </c>
      <c r="D16" s="9">
        <f>B16*E16</f>
        <v>7.2724999999999995E-3</v>
      </c>
      <c r="E16" s="10">
        <v>0.58179999999999998</v>
      </c>
      <c r="F16" s="9">
        <f t="shared" si="1"/>
        <v>9.2592592592592585E-4</v>
      </c>
      <c r="G16" s="9">
        <f t="shared" si="2"/>
        <v>9.6966666666666664E-4</v>
      </c>
      <c r="H16" s="9">
        <f t="shared" si="3"/>
        <v>1E-3</v>
      </c>
      <c r="I16" s="9">
        <f t="shared" si="4"/>
        <v>1.0426523297491039E-3</v>
      </c>
      <c r="J16" s="9">
        <f t="shared" si="5"/>
        <v>1.0539855072463768E-3</v>
      </c>
      <c r="K16" s="9">
        <f t="shared" si="6"/>
        <v>1.1018939393939394E-3</v>
      </c>
      <c r="L16" s="9">
        <f t="shared" si="7"/>
        <v>1.1543650793650795E-3</v>
      </c>
      <c r="M16" s="11"/>
      <c r="N16" s="9"/>
      <c r="O16" s="12"/>
      <c r="P16" s="9"/>
      <c r="Q16" s="12"/>
      <c r="R16" s="12"/>
      <c r="S16" s="12"/>
      <c r="T16" s="12"/>
      <c r="U16" s="9"/>
      <c r="V16" s="13" t="s">
        <v>48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ref="F18:F27" si="8">C18/4</f>
        <v>0</v>
      </c>
      <c r="G18" s="15">
        <f t="shared" ref="G18:G27" si="9">D18/7.5</f>
        <v>0</v>
      </c>
      <c r="H18" s="15">
        <f t="shared" ref="H18:H27" si="10">B18/12.5</f>
        <v>0</v>
      </c>
      <c r="I18" s="15">
        <f t="shared" ref="I18:I27" si="11">G18/0.93</f>
        <v>0</v>
      </c>
      <c r="J18" s="15">
        <f t="shared" ref="J18:J27" si="12">G18/0.92</f>
        <v>0</v>
      </c>
      <c r="K18" s="15">
        <f t="shared" ref="K18:K27" si="13">G18/0.88</f>
        <v>0</v>
      </c>
      <c r="L18" s="15">
        <f t="shared" ref="L18:L27" si="14">G18/0.84</f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26</v>
      </c>
      <c r="B19" s="9">
        <v>1.2152777777777778E-2</v>
      </c>
      <c r="C19" s="9">
        <v>3.472222222222222E-3</v>
      </c>
      <c r="D19" s="9">
        <f t="shared" ref="D19:D27" si="15">B19*E19</f>
        <v>7.0704861111111107E-3</v>
      </c>
      <c r="E19" s="10">
        <v>0.58179999999999998</v>
      </c>
      <c r="F19" s="9">
        <f t="shared" si="8"/>
        <v>8.6805555555555551E-4</v>
      </c>
      <c r="G19" s="9">
        <f t="shared" si="9"/>
        <v>9.4273148148148146E-4</v>
      </c>
      <c r="H19" s="9">
        <f t="shared" si="10"/>
        <v>9.7222222222222219E-4</v>
      </c>
      <c r="I19" s="9">
        <f t="shared" si="11"/>
        <v>1.0136897650338511E-3</v>
      </c>
      <c r="J19" s="9">
        <f t="shared" si="12"/>
        <v>1.0247081320450884E-3</v>
      </c>
      <c r="K19" s="9">
        <f t="shared" si="13"/>
        <v>1.0712857744107744E-3</v>
      </c>
      <c r="L19" s="9">
        <f t="shared" si="14"/>
        <v>1.1222993827160494E-3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</v>
      </c>
      <c r="W19" s="104"/>
    </row>
    <row r="20" spans="1:23" ht="17.149999999999999" customHeight="1" x14ac:dyDescent="0.35">
      <c r="A20" s="8" t="s">
        <v>23</v>
      </c>
      <c r="B20" s="9">
        <v>1.3020833333333334E-2</v>
      </c>
      <c r="C20" s="9">
        <v>3.7037037037037034E-3</v>
      </c>
      <c r="D20" s="9">
        <f t="shared" si="15"/>
        <v>7.5755208333333334E-3</v>
      </c>
      <c r="E20" s="10">
        <v>0.58179999999999998</v>
      </c>
      <c r="F20" s="9">
        <f t="shared" si="8"/>
        <v>9.2592592592592585E-4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</v>
      </c>
      <c r="W20" s="104"/>
    </row>
    <row r="21" spans="1:23" ht="17.149999999999999" customHeight="1" x14ac:dyDescent="0.35">
      <c r="A21" s="8" t="s">
        <v>36</v>
      </c>
      <c r="B21" s="9">
        <v>1.3020833333333334E-2</v>
      </c>
      <c r="C21" s="9">
        <v>3.7615740740740739E-3</v>
      </c>
      <c r="D21" s="9">
        <f t="shared" si="15"/>
        <v>7.5755208333333334E-3</v>
      </c>
      <c r="E21" s="10">
        <v>0.58179999999999998</v>
      </c>
      <c r="F21" s="9">
        <f t="shared" si="8"/>
        <v>9.4039351851851847E-4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</v>
      </c>
      <c r="W21" s="104"/>
    </row>
    <row r="22" spans="1:23" ht="17.149999999999999" customHeight="1" x14ac:dyDescent="0.35">
      <c r="A22" s="8" t="s">
        <v>31</v>
      </c>
      <c r="B22" s="9">
        <v>1.1689814814814814E-2</v>
      </c>
      <c r="C22" s="9">
        <v>3.3564814814814811E-3</v>
      </c>
      <c r="D22" s="9">
        <f t="shared" si="15"/>
        <v>6.8011342592592585E-3</v>
      </c>
      <c r="E22" s="10">
        <v>0.58179999999999998</v>
      </c>
      <c r="F22" s="9">
        <f t="shared" si="8"/>
        <v>8.3912037037037028E-4</v>
      </c>
      <c r="G22" s="9">
        <f t="shared" si="9"/>
        <v>9.0681790123456785E-4</v>
      </c>
      <c r="H22" s="9">
        <f t="shared" si="10"/>
        <v>9.3518518518518516E-4</v>
      </c>
      <c r="I22" s="9">
        <f t="shared" si="11"/>
        <v>9.7507301208018041E-4</v>
      </c>
      <c r="J22" s="9">
        <f t="shared" si="12"/>
        <v>9.8567163177670412E-4</v>
      </c>
      <c r="K22" s="9">
        <f t="shared" si="13"/>
        <v>1.0304748877665545E-3</v>
      </c>
      <c r="L22" s="9">
        <f t="shared" si="14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52</v>
      </c>
      <c r="B23" s="9">
        <v>1.1805555555555555E-2</v>
      </c>
      <c r="C23" s="9">
        <v>3.472222222222222E-3</v>
      </c>
      <c r="D23" s="9">
        <f t="shared" si="15"/>
        <v>6.868472222222222E-3</v>
      </c>
      <c r="E23" s="10">
        <v>0.58179999999999998</v>
      </c>
      <c r="F23" s="9">
        <f t="shared" si="8"/>
        <v>8.6805555555555551E-4</v>
      </c>
      <c r="G23" s="9">
        <f t="shared" si="9"/>
        <v>9.1579629629629628E-4</v>
      </c>
      <c r="H23" s="9">
        <f t="shared" si="10"/>
        <v>9.4444444444444437E-4</v>
      </c>
      <c r="I23" s="9">
        <f t="shared" si="11"/>
        <v>9.8472720031859799E-4</v>
      </c>
      <c r="J23" s="9">
        <f t="shared" si="12"/>
        <v>9.9543075684380036E-4</v>
      </c>
      <c r="K23" s="9">
        <f t="shared" si="13"/>
        <v>1.0406776094276093E-3</v>
      </c>
      <c r="L23" s="9">
        <f t="shared" si="14"/>
        <v>1.0902336860670195E-3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32</v>
      </c>
      <c r="B24" s="9">
        <v>1.238425925925926E-2</v>
      </c>
      <c r="C24" s="9">
        <v>3.5879629629629629E-3</v>
      </c>
      <c r="D24" s="9">
        <f t="shared" si="15"/>
        <v>7.2051620370370368E-3</v>
      </c>
      <c r="E24" s="10">
        <v>0.58179999999999998</v>
      </c>
      <c r="F24" s="9">
        <f t="shared" si="8"/>
        <v>8.9699074074074073E-4</v>
      </c>
      <c r="G24" s="9">
        <f t="shared" si="9"/>
        <v>9.6068827160493821E-4</v>
      </c>
      <c r="H24" s="9">
        <f t="shared" si="10"/>
        <v>9.9074074074074082E-4</v>
      </c>
      <c r="I24" s="9">
        <f t="shared" si="11"/>
        <v>1.0329981415106862E-3</v>
      </c>
      <c r="J24" s="9">
        <f t="shared" si="12"/>
        <v>1.0442263821792807E-3</v>
      </c>
      <c r="K24" s="9">
        <f t="shared" si="13"/>
        <v>1.0916912177328843E-3</v>
      </c>
      <c r="L24" s="9">
        <f t="shared" si="14"/>
        <v>1.1436765138154027E-3</v>
      </c>
      <c r="M24" s="11"/>
      <c r="N24" s="9"/>
      <c r="O24" s="12"/>
      <c r="P24" s="9"/>
      <c r="Q24" s="12"/>
      <c r="R24" s="9"/>
      <c r="S24" s="12"/>
      <c r="T24" s="12"/>
      <c r="U24" s="9"/>
      <c r="V24" s="13" t="s">
        <v>5</v>
      </c>
      <c r="W24" s="104"/>
    </row>
    <row r="25" spans="1:23" ht="17.149999999999999" customHeight="1" x14ac:dyDescent="0.35">
      <c r="A25" s="8" t="s">
        <v>25</v>
      </c>
      <c r="B25" s="9">
        <v>1.3020833333333334E-2</v>
      </c>
      <c r="C25" s="9">
        <v>3.7037037037037038E-3</v>
      </c>
      <c r="D25" s="9">
        <f t="shared" si="15"/>
        <v>7.5755208333333334E-3</v>
      </c>
      <c r="E25" s="10">
        <v>0.58179999999999998</v>
      </c>
      <c r="F25" s="9">
        <f t="shared" si="8"/>
        <v>9.2592592592592596E-4</v>
      </c>
      <c r="G25" s="9">
        <f t="shared" si="9"/>
        <v>1.0100694444444445E-3</v>
      </c>
      <c r="H25" s="9">
        <f t="shared" si="10"/>
        <v>1.0416666666666667E-3</v>
      </c>
      <c r="I25" s="9">
        <f t="shared" si="11"/>
        <v>1.0860961768219832E-3</v>
      </c>
      <c r="J25" s="9">
        <f t="shared" si="12"/>
        <v>1.0979015700483092E-3</v>
      </c>
      <c r="K25" s="9">
        <f t="shared" si="13"/>
        <v>1.1478061868686869E-3</v>
      </c>
      <c r="L25" s="9">
        <f t="shared" si="14"/>
        <v>1.2024636243386244E-3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4"/>
    </row>
    <row r="26" spans="1:23" ht="17.149999999999999" customHeight="1" x14ac:dyDescent="0.35">
      <c r="A26" s="8" t="s">
        <v>55</v>
      </c>
      <c r="B26" s="9">
        <v>1.1574074074074073E-2</v>
      </c>
      <c r="C26" s="9">
        <v>3.472222222222222E-3</v>
      </c>
      <c r="D26" s="9">
        <f t="shared" si="15"/>
        <v>6.7337962962962959E-3</v>
      </c>
      <c r="E26" s="10">
        <v>0.58179999999999998</v>
      </c>
      <c r="F26" s="9">
        <f t="shared" si="8"/>
        <v>8.6805555555555551E-4</v>
      </c>
      <c r="G26" s="9">
        <f t="shared" si="9"/>
        <v>8.9783950617283942E-4</v>
      </c>
      <c r="H26" s="9">
        <f t="shared" si="10"/>
        <v>9.2592592592592585E-4</v>
      </c>
      <c r="I26" s="9">
        <f t="shared" si="11"/>
        <v>9.6541882384176272E-4</v>
      </c>
      <c r="J26" s="9">
        <f t="shared" si="12"/>
        <v>9.7591250670960798E-4</v>
      </c>
      <c r="K26" s="9">
        <f t="shared" si="13"/>
        <v>1.0202721661054994E-3</v>
      </c>
      <c r="L26" s="9">
        <f t="shared" si="14"/>
        <v>1.068856554967666E-3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5</v>
      </c>
      <c r="W26" s="104"/>
    </row>
    <row r="27" spans="1:23" ht="17.149999999999999" customHeight="1" x14ac:dyDescent="0.35">
      <c r="A27" s="8" t="s">
        <v>49</v>
      </c>
      <c r="B27" s="9">
        <v>1.238425925925926E-2</v>
      </c>
      <c r="C27" s="9">
        <v>3.7037037037037034E-3</v>
      </c>
      <c r="D27" s="9">
        <f t="shared" si="15"/>
        <v>7.2051620370370368E-3</v>
      </c>
      <c r="E27" s="10">
        <v>0.58179999999999998</v>
      </c>
      <c r="F27" s="9">
        <f t="shared" si="8"/>
        <v>9.2592592592592585E-4</v>
      </c>
      <c r="G27" s="9">
        <f t="shared" si="9"/>
        <v>9.6068827160493821E-4</v>
      </c>
      <c r="H27" s="9">
        <f t="shared" si="10"/>
        <v>9.9074074074074082E-4</v>
      </c>
      <c r="I27" s="9">
        <f t="shared" si="11"/>
        <v>1.0329981415106862E-3</v>
      </c>
      <c r="J27" s="9">
        <f t="shared" si="12"/>
        <v>1.0442263821792807E-3</v>
      </c>
      <c r="K27" s="9">
        <f t="shared" si="13"/>
        <v>1.0916912177328843E-3</v>
      </c>
      <c r="L27" s="9">
        <f t="shared" si="14"/>
        <v>1.1436765138154027E-3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5"/>
    </row>
    <row r="29" spans="1:23" ht="17.149999999999999" customHeight="1" x14ac:dyDescent="0.35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5"/>
    </row>
    <row r="30" spans="1:23" ht="17.149999999999999" customHeight="1" x14ac:dyDescent="0.35">
      <c r="A30" s="8" t="s">
        <v>56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57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176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177</v>
      </c>
      <c r="N34" s="6" t="s">
        <v>178</v>
      </c>
      <c r="O34" s="6" t="s">
        <v>179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182</v>
      </c>
    </row>
    <row r="35" spans="1:23" ht="17.149999999999999" customHeight="1" x14ac:dyDescent="0.35">
      <c r="A35" s="8" t="s">
        <v>64</v>
      </c>
      <c r="B35" s="9">
        <v>1.0416666666666666E-2</v>
      </c>
      <c r="C35" s="9">
        <v>2.9513888888888888E-3</v>
      </c>
      <c r="D35" s="9">
        <f t="shared" ref="D35:D43" si="16">B35*E35</f>
        <v>6.0604166666666662E-3</v>
      </c>
      <c r="E35" s="10">
        <v>0.58179999999999998</v>
      </c>
      <c r="F35" s="9">
        <f t="shared" ref="F35:F44" si="17">C35/4</f>
        <v>7.378472222222222E-4</v>
      </c>
      <c r="G35" s="9">
        <f t="shared" ref="G35:G44" si="18">D35/7.5</f>
        <v>8.0805555555555546E-4</v>
      </c>
      <c r="H35" s="9">
        <f t="shared" ref="H35:H44" si="19">B35/12.5</f>
        <v>8.3333333333333328E-4</v>
      </c>
      <c r="I35" s="9">
        <f t="shared" ref="I35:I44" si="20">G35/0.93</f>
        <v>8.6887694145758646E-4</v>
      </c>
      <c r="J35" s="9">
        <f t="shared" ref="J35:J44" si="21">G35/0.92</f>
        <v>8.7832125603864715E-4</v>
      </c>
      <c r="K35" s="9">
        <f t="shared" ref="K35:K44" si="22">G35/0.88</f>
        <v>9.1824494949494938E-4</v>
      </c>
      <c r="L35" s="9">
        <f t="shared" ref="L35:L44" si="23">G35/0.84</f>
        <v>9.6197089947089938E-4</v>
      </c>
      <c r="M35" s="11"/>
      <c r="N35" s="9"/>
      <c r="O35" s="24"/>
      <c r="P35" s="9"/>
      <c r="Q35" s="24"/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66</v>
      </c>
      <c r="B36" s="9">
        <v>1.1226851851851854E-2</v>
      </c>
      <c r="C36" s="9">
        <v>3.1249999999999997E-3</v>
      </c>
      <c r="D36" s="9">
        <f t="shared" si="16"/>
        <v>6.5317824074074089E-3</v>
      </c>
      <c r="E36" s="10">
        <v>0.58179999999999998</v>
      </c>
      <c r="F36" s="9">
        <f t="shared" si="17"/>
        <v>7.8124999999999993E-4</v>
      </c>
      <c r="G36" s="9">
        <f t="shared" si="18"/>
        <v>8.7090432098765457E-4</v>
      </c>
      <c r="H36" s="9">
        <f t="shared" si="19"/>
        <v>8.9814814814814835E-4</v>
      </c>
      <c r="I36" s="9">
        <f t="shared" si="20"/>
        <v>9.3645625912651019E-4</v>
      </c>
      <c r="J36" s="9">
        <f t="shared" si="21"/>
        <v>9.4663513150832011E-4</v>
      </c>
      <c r="K36" s="9">
        <f t="shared" si="22"/>
        <v>9.8966400112233477E-4</v>
      </c>
      <c r="L36" s="9">
        <f t="shared" si="23"/>
        <v>1.0367908583186363E-3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67</v>
      </c>
      <c r="B37" s="9">
        <v>1.1226851851851854E-2</v>
      </c>
      <c r="C37" s="9">
        <v>3.1249999999999997E-3</v>
      </c>
      <c r="D37" s="9">
        <f t="shared" si="16"/>
        <v>6.5317824074074089E-3</v>
      </c>
      <c r="E37" s="10">
        <v>0.58179999999999998</v>
      </c>
      <c r="F37" s="9">
        <f t="shared" si="17"/>
        <v>7.8124999999999993E-4</v>
      </c>
      <c r="G37" s="9">
        <f t="shared" si="18"/>
        <v>8.7090432098765457E-4</v>
      </c>
      <c r="H37" s="9">
        <f t="shared" si="19"/>
        <v>8.9814814814814835E-4</v>
      </c>
      <c r="I37" s="9">
        <f t="shared" si="20"/>
        <v>9.3645625912651019E-4</v>
      </c>
      <c r="J37" s="9">
        <f t="shared" si="21"/>
        <v>9.4663513150832011E-4</v>
      </c>
      <c r="K37" s="9">
        <f t="shared" si="22"/>
        <v>9.8966400112233477E-4</v>
      </c>
      <c r="L37" s="9">
        <f t="shared" si="23"/>
        <v>1.0367908583186363E-3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68</v>
      </c>
      <c r="B38" s="9">
        <v>1.1226851851851854E-2</v>
      </c>
      <c r="C38" s="9">
        <v>3.1828703703703702E-3</v>
      </c>
      <c r="D38" s="9">
        <f t="shared" si="16"/>
        <v>6.5317824074074089E-3</v>
      </c>
      <c r="E38" s="10">
        <v>0.58179999999999998</v>
      </c>
      <c r="F38" s="9">
        <f t="shared" si="17"/>
        <v>7.9571759259259255E-4</v>
      </c>
      <c r="G38" s="9">
        <f t="shared" si="18"/>
        <v>8.7090432098765457E-4</v>
      </c>
      <c r="H38" s="9">
        <f t="shared" si="19"/>
        <v>8.9814814814814835E-4</v>
      </c>
      <c r="I38" s="9">
        <f t="shared" si="20"/>
        <v>9.3645625912651019E-4</v>
      </c>
      <c r="J38" s="9">
        <f t="shared" si="21"/>
        <v>9.4663513150832011E-4</v>
      </c>
      <c r="K38" s="9">
        <f t="shared" si="22"/>
        <v>9.8966400112233477E-4</v>
      </c>
      <c r="L38" s="9">
        <f t="shared" si="23"/>
        <v>1.0367908583186363E-3</v>
      </c>
      <c r="M38" s="11"/>
      <c r="N38" s="9"/>
      <c r="O38" s="24"/>
      <c r="P38" s="9"/>
      <c r="Q38" s="24"/>
      <c r="R38" s="9"/>
      <c r="S38" s="12"/>
      <c r="T38" s="25"/>
      <c r="V38" s="23" t="s">
        <v>24</v>
      </c>
      <c r="W38" s="108"/>
    </row>
    <row r="39" spans="1:23" ht="17.149999999999999" customHeight="1" x14ac:dyDescent="0.35">
      <c r="A39" s="8" t="s">
        <v>81</v>
      </c>
      <c r="B39" s="9">
        <v>1.0763888888888891E-2</v>
      </c>
      <c r="C39" s="9">
        <v>3.0092592592592593E-3</v>
      </c>
      <c r="D39" s="9">
        <f t="shared" si="16"/>
        <v>6.2624305555555567E-3</v>
      </c>
      <c r="E39" s="10">
        <v>0.58179999999999998</v>
      </c>
      <c r="F39" s="9">
        <f t="shared" si="17"/>
        <v>7.5231481481481482E-4</v>
      </c>
      <c r="G39" s="9">
        <f t="shared" si="18"/>
        <v>8.3499074074074085E-4</v>
      </c>
      <c r="H39" s="9">
        <f t="shared" si="19"/>
        <v>8.6111111111111121E-4</v>
      </c>
      <c r="I39" s="9">
        <f t="shared" si="20"/>
        <v>8.9783950617283953E-4</v>
      </c>
      <c r="J39" s="9">
        <f t="shared" si="21"/>
        <v>9.0759863123993567E-4</v>
      </c>
      <c r="K39" s="9">
        <f t="shared" si="22"/>
        <v>9.4885311447811464E-4</v>
      </c>
      <c r="L39" s="9">
        <f t="shared" si="23"/>
        <v>9.9403659611992969E-4</v>
      </c>
      <c r="M39" s="11"/>
      <c r="N39" s="9"/>
      <c r="O39" s="24"/>
      <c r="P39" s="9"/>
      <c r="Q39" s="24"/>
      <c r="R39" s="9"/>
      <c r="S39" s="12"/>
      <c r="T39" s="25"/>
      <c r="V39" s="23" t="s">
        <v>24</v>
      </c>
      <c r="W39" s="108"/>
    </row>
    <row r="40" spans="1:23" ht="17.149999999999999" customHeight="1" x14ac:dyDescent="0.35">
      <c r="A40" s="8" t="s">
        <v>83</v>
      </c>
      <c r="B40" s="9">
        <v>1.0995370370370371E-2</v>
      </c>
      <c r="C40" s="9">
        <v>3.0092592592592588E-3</v>
      </c>
      <c r="D40" s="9">
        <f t="shared" si="16"/>
        <v>6.397106481481481E-3</v>
      </c>
      <c r="E40" s="10">
        <v>0.58179999999999998</v>
      </c>
      <c r="F40" s="9">
        <f t="shared" si="17"/>
        <v>7.5231481481481471E-4</v>
      </c>
      <c r="G40" s="9">
        <f t="shared" si="18"/>
        <v>8.5294753086419749E-4</v>
      </c>
      <c r="H40" s="9">
        <f t="shared" si="19"/>
        <v>8.7962962962962962E-4</v>
      </c>
      <c r="I40" s="9">
        <f t="shared" si="20"/>
        <v>9.171478826496747E-4</v>
      </c>
      <c r="J40" s="9">
        <f t="shared" si="21"/>
        <v>9.2711688137412762E-4</v>
      </c>
      <c r="K40" s="9">
        <f t="shared" si="22"/>
        <v>9.6925855780022438E-4</v>
      </c>
      <c r="L40" s="9">
        <f t="shared" si="23"/>
        <v>1.0154137272192828E-3</v>
      </c>
      <c r="M40" s="11"/>
      <c r="N40" s="9"/>
      <c r="O40" s="24"/>
      <c r="P40" s="9"/>
      <c r="Q40" s="24"/>
      <c r="R40" s="9"/>
      <c r="S40" s="12"/>
      <c r="T40" s="25"/>
      <c r="V40" s="23" t="s">
        <v>24</v>
      </c>
      <c r="W40" s="108"/>
    </row>
    <row r="41" spans="1:23" ht="17.149999999999999" customHeight="1" x14ac:dyDescent="0.35">
      <c r="A41" s="8" t="s">
        <v>91</v>
      </c>
      <c r="B41" s="9">
        <v>1.1458333333333334E-2</v>
      </c>
      <c r="C41" s="9">
        <v>3.2407407407407406E-3</v>
      </c>
      <c r="D41" s="9">
        <f t="shared" si="16"/>
        <v>6.6664583333333333E-3</v>
      </c>
      <c r="E41" s="10">
        <v>0.58179999999999998</v>
      </c>
      <c r="F41" s="9">
        <f t="shared" si="17"/>
        <v>8.1018518518518516E-4</v>
      </c>
      <c r="G41" s="9">
        <f t="shared" si="18"/>
        <v>8.888611111111111E-4</v>
      </c>
      <c r="H41" s="9">
        <f t="shared" si="19"/>
        <v>9.1666666666666676E-4</v>
      </c>
      <c r="I41" s="9">
        <f t="shared" si="20"/>
        <v>9.5576463560334524E-4</v>
      </c>
      <c r="J41" s="9">
        <f t="shared" si="21"/>
        <v>9.6615338164251206E-4</v>
      </c>
      <c r="K41" s="9">
        <f t="shared" si="22"/>
        <v>1.0100694444444445E-3</v>
      </c>
      <c r="L41" s="9">
        <f t="shared" si="23"/>
        <v>1.0581679894179894E-3</v>
      </c>
      <c r="M41" s="11"/>
      <c r="N41" s="9"/>
      <c r="O41" s="24"/>
      <c r="P41" s="9"/>
      <c r="Q41" s="24"/>
      <c r="R41" s="9"/>
      <c r="S41" s="12"/>
      <c r="V41" s="23" t="s">
        <v>24</v>
      </c>
      <c r="W41" s="108"/>
    </row>
    <row r="42" spans="1:23" ht="17.149999999999999" customHeight="1" x14ac:dyDescent="0.35">
      <c r="A42" s="8" t="s">
        <v>113</v>
      </c>
      <c r="B42" s="9">
        <v>1.1805555555555555E-2</v>
      </c>
      <c r="C42" s="9">
        <v>3.414351851851852E-3</v>
      </c>
      <c r="D42" s="9">
        <f t="shared" si="16"/>
        <v>6.868472222222222E-3</v>
      </c>
      <c r="E42" s="10">
        <v>0.58179999999999998</v>
      </c>
      <c r="F42" s="9">
        <f t="shared" si="17"/>
        <v>8.53587962962963E-4</v>
      </c>
      <c r="G42" s="9">
        <f t="shared" si="18"/>
        <v>9.1579629629629628E-4</v>
      </c>
      <c r="H42" s="9">
        <f t="shared" si="19"/>
        <v>9.4444444444444437E-4</v>
      </c>
      <c r="I42" s="9">
        <f t="shared" si="20"/>
        <v>9.8472720031859799E-4</v>
      </c>
      <c r="J42" s="9">
        <f t="shared" si="21"/>
        <v>9.9543075684380036E-4</v>
      </c>
      <c r="K42" s="9">
        <f t="shared" si="22"/>
        <v>1.0406776094276093E-3</v>
      </c>
      <c r="L42" s="9">
        <f t="shared" si="23"/>
        <v>1.0902336860670195E-3</v>
      </c>
      <c r="M42" s="11"/>
      <c r="N42" s="9"/>
      <c r="O42" s="12"/>
      <c r="P42" s="9"/>
      <c r="Q42" s="12"/>
      <c r="R42" s="9"/>
      <c r="S42" s="24"/>
      <c r="T42" s="24"/>
      <c r="V42" s="23" t="s">
        <v>24</v>
      </c>
      <c r="W42" s="108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16"/>
        <v>6.6664583333333333E-3</v>
      </c>
      <c r="E43" s="10">
        <v>0.58179999999999998</v>
      </c>
      <c r="F43" s="9">
        <f t="shared" si="17"/>
        <v>7.6678240740740743E-4</v>
      </c>
      <c r="G43" s="9">
        <f t="shared" si="18"/>
        <v>8.888611111111111E-4</v>
      </c>
      <c r="H43" s="9">
        <f t="shared" si="19"/>
        <v>9.1666666666666676E-4</v>
      </c>
      <c r="I43" s="9">
        <f t="shared" si="20"/>
        <v>9.5576463560334524E-4</v>
      </c>
      <c r="J43" s="9">
        <f t="shared" si="21"/>
        <v>9.6615338164251206E-4</v>
      </c>
      <c r="K43" s="9">
        <f t="shared" si="22"/>
        <v>1.0100694444444445E-3</v>
      </c>
      <c r="L43" s="9">
        <f t="shared" si="23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 t="s">
        <v>183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86</v>
      </c>
      <c r="B46" s="9">
        <v>1.087962962962963E-2</v>
      </c>
      <c r="C46" s="9">
        <v>3.1249999999999997E-3</v>
      </c>
      <c r="D46" s="9">
        <f t="shared" ref="D46:D64" si="24">B46*E46</f>
        <v>6.3297685185185184E-3</v>
      </c>
      <c r="E46" s="10">
        <v>0.58179999999999998</v>
      </c>
      <c r="F46" s="9">
        <f t="shared" ref="F46:F64" si="25">C46/4</f>
        <v>7.8124999999999993E-4</v>
      </c>
      <c r="G46" s="9">
        <f t="shared" ref="G46:G64" si="26">D46/7.5</f>
        <v>8.4396913580246917E-4</v>
      </c>
      <c r="H46" s="9">
        <f t="shared" ref="H46:H64" si="27">B46/12.5</f>
        <v>8.7037037037037042E-4</v>
      </c>
      <c r="I46" s="9">
        <f t="shared" ref="I46:I64" si="28">G46/0.93</f>
        <v>9.0749369441125711E-4</v>
      </c>
      <c r="J46" s="9">
        <f t="shared" ref="J46:J64" si="29">G46/0.92</f>
        <v>9.173577563070317E-4</v>
      </c>
      <c r="K46" s="9">
        <f t="shared" ref="K46:K64" si="30">G46/0.88</f>
        <v>9.5905583613916951E-4</v>
      </c>
      <c r="L46" s="9">
        <f t="shared" ref="L46:L64" si="31">G46/0.84</f>
        <v>1.0047251616696062E-3</v>
      </c>
      <c r="M46" s="11"/>
      <c r="N46" s="9"/>
      <c r="O46" s="24"/>
      <c r="P46" s="9"/>
      <c r="Q46" s="24"/>
      <c r="R46" s="9"/>
      <c r="S46" s="24"/>
      <c r="T46" s="24"/>
      <c r="U46" s="24"/>
      <c r="V46" s="23" t="s">
        <v>30</v>
      </c>
      <c r="W46" s="104"/>
    </row>
    <row r="47" spans="1:23" ht="17.149999999999999" customHeight="1" x14ac:dyDescent="0.35">
      <c r="A47" s="8" t="s">
        <v>92</v>
      </c>
      <c r="B47" s="9">
        <v>1.1458333333333334E-2</v>
      </c>
      <c r="C47" s="9">
        <v>3.2407407407407406E-3</v>
      </c>
      <c r="D47" s="9">
        <f t="shared" si="24"/>
        <v>6.6664583333333333E-3</v>
      </c>
      <c r="E47" s="10">
        <v>0.58179999999999998</v>
      </c>
      <c r="F47" s="9">
        <f t="shared" si="25"/>
        <v>8.1018518518518516E-4</v>
      </c>
      <c r="G47" s="9">
        <f t="shared" si="26"/>
        <v>8.888611111111111E-4</v>
      </c>
      <c r="H47" s="9">
        <f t="shared" si="27"/>
        <v>9.1666666666666676E-4</v>
      </c>
      <c r="I47" s="9">
        <f t="shared" si="28"/>
        <v>9.5576463560334524E-4</v>
      </c>
      <c r="J47" s="9">
        <f t="shared" si="29"/>
        <v>9.6615338164251206E-4</v>
      </c>
      <c r="K47" s="9">
        <f t="shared" si="30"/>
        <v>1.0100694444444445E-3</v>
      </c>
      <c r="L47" s="9">
        <f t="shared" si="31"/>
        <v>1.0581679894179894E-3</v>
      </c>
      <c r="M47" s="11"/>
      <c r="N47" s="9"/>
      <c r="O47" s="24"/>
      <c r="P47" s="9"/>
      <c r="Q47" s="24"/>
      <c r="R47" s="9"/>
      <c r="S47" s="12"/>
      <c r="T47" s="25"/>
      <c r="V47" s="23" t="s">
        <v>30</v>
      </c>
      <c r="W47" s="104"/>
    </row>
    <row r="48" spans="1:23" ht="17.149999999999999" customHeight="1" x14ac:dyDescent="0.35">
      <c r="A48" s="8" t="s">
        <v>93</v>
      </c>
      <c r="B48" s="9">
        <v>1.1921296296296298E-2</v>
      </c>
      <c r="C48" s="9">
        <v>3.414351851851852E-3</v>
      </c>
      <c r="D48" s="9">
        <f t="shared" si="24"/>
        <v>6.9358101851851863E-3</v>
      </c>
      <c r="E48" s="10">
        <v>0.58179999999999998</v>
      </c>
      <c r="F48" s="9">
        <f t="shared" si="25"/>
        <v>8.53587962962963E-4</v>
      </c>
      <c r="G48" s="9">
        <f t="shared" si="26"/>
        <v>9.2477469135802482E-4</v>
      </c>
      <c r="H48" s="9">
        <f t="shared" si="27"/>
        <v>9.5370370370370379E-4</v>
      </c>
      <c r="I48" s="9">
        <f t="shared" si="28"/>
        <v>9.943813885570159E-4</v>
      </c>
      <c r="J48" s="9">
        <f t="shared" si="29"/>
        <v>1.0051898819108964E-3</v>
      </c>
      <c r="K48" s="9">
        <f t="shared" si="30"/>
        <v>1.0508803310886646E-3</v>
      </c>
      <c r="L48" s="9">
        <f t="shared" si="31"/>
        <v>1.1009222516166963E-3</v>
      </c>
      <c r="M48" s="11"/>
      <c r="N48" s="9"/>
      <c r="O48" s="24"/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94</v>
      </c>
      <c r="B49" s="9">
        <v>1.1574074074074073E-2</v>
      </c>
      <c r="C49" s="9">
        <v>3.414351851851852E-3</v>
      </c>
      <c r="D49" s="9">
        <f t="shared" si="24"/>
        <v>6.7337962962962959E-3</v>
      </c>
      <c r="E49" s="10">
        <v>0.58179999999999998</v>
      </c>
      <c r="F49" s="9">
        <f t="shared" si="25"/>
        <v>8.53587962962963E-4</v>
      </c>
      <c r="G49" s="9">
        <f t="shared" si="26"/>
        <v>8.9783950617283942E-4</v>
      </c>
      <c r="H49" s="9">
        <f t="shared" si="27"/>
        <v>9.2592592592592585E-4</v>
      </c>
      <c r="I49" s="9">
        <f t="shared" si="28"/>
        <v>9.6541882384176272E-4</v>
      </c>
      <c r="J49" s="9">
        <f t="shared" si="29"/>
        <v>9.7591250670960798E-4</v>
      </c>
      <c r="K49" s="9">
        <f t="shared" si="30"/>
        <v>1.0202721661054994E-3</v>
      </c>
      <c r="L49" s="9">
        <f t="shared" si="31"/>
        <v>1.068856554967666E-3</v>
      </c>
      <c r="M49" s="11"/>
      <c r="N49" s="9"/>
      <c r="O49" s="24"/>
      <c r="P49" s="9"/>
      <c r="Q49" s="24"/>
      <c r="R49" s="9"/>
      <c r="S49" s="12"/>
      <c r="V49" s="23" t="s">
        <v>30</v>
      </c>
      <c r="W49" s="104"/>
    </row>
    <row r="50" spans="1:23" ht="17.149999999999999" customHeight="1" x14ac:dyDescent="0.35">
      <c r="A50" s="8" t="s">
        <v>85</v>
      </c>
      <c r="B50" s="9">
        <v>1.0763888888888889E-2</v>
      </c>
      <c r="C50" s="9">
        <v>3.0671296296296297E-3</v>
      </c>
      <c r="D50" s="9">
        <f t="shared" si="24"/>
        <v>6.2624305555555549E-3</v>
      </c>
      <c r="E50" s="10">
        <v>0.58179999999999998</v>
      </c>
      <c r="F50" s="9">
        <f t="shared" si="25"/>
        <v>7.6678240740740743E-4</v>
      </c>
      <c r="G50" s="9">
        <f t="shared" si="26"/>
        <v>8.3499074074074064E-4</v>
      </c>
      <c r="H50" s="9">
        <f t="shared" si="27"/>
        <v>8.611111111111111E-4</v>
      </c>
      <c r="I50" s="9">
        <f t="shared" si="28"/>
        <v>8.9783950617283931E-4</v>
      </c>
      <c r="J50" s="9">
        <f t="shared" si="29"/>
        <v>9.0759863123993545E-4</v>
      </c>
      <c r="K50" s="9">
        <f t="shared" si="30"/>
        <v>9.4885311447811432E-4</v>
      </c>
      <c r="L50" s="9">
        <f t="shared" si="31"/>
        <v>9.9403659611992947E-4</v>
      </c>
      <c r="M50" s="11"/>
      <c r="N50" s="9"/>
      <c r="O50" s="24"/>
      <c r="P50" s="9"/>
      <c r="Q50" s="24"/>
      <c r="R50" s="9"/>
      <c r="S50" s="24"/>
      <c r="T50" s="24"/>
      <c r="U50" s="24"/>
      <c r="V50" s="23" t="s">
        <v>30</v>
      </c>
      <c r="W50" s="104"/>
    </row>
    <row r="51" spans="1:23" ht="17.149999999999999" customHeight="1" x14ac:dyDescent="0.35">
      <c r="A51" s="8" t="s">
        <v>77</v>
      </c>
      <c r="B51" s="9">
        <v>1.0416666666666666E-2</v>
      </c>
      <c r="C51" s="9">
        <v>2.9745370370370373E-3</v>
      </c>
      <c r="D51" s="9">
        <f t="shared" si="24"/>
        <v>6.0604166666666662E-3</v>
      </c>
      <c r="E51" s="10">
        <v>0.58179999999999998</v>
      </c>
      <c r="F51" s="9">
        <f t="shared" si="25"/>
        <v>7.4363425925925931E-4</v>
      </c>
      <c r="G51" s="9">
        <f t="shared" si="26"/>
        <v>8.0805555555555546E-4</v>
      </c>
      <c r="H51" s="9">
        <f t="shared" si="27"/>
        <v>8.3333333333333328E-4</v>
      </c>
      <c r="I51" s="9">
        <f t="shared" si="28"/>
        <v>8.6887694145758646E-4</v>
      </c>
      <c r="J51" s="9">
        <f t="shared" si="29"/>
        <v>8.7832125603864715E-4</v>
      </c>
      <c r="K51" s="9">
        <f t="shared" si="30"/>
        <v>9.1824494949494938E-4</v>
      </c>
      <c r="L51" s="9">
        <f t="shared" si="31"/>
        <v>9.6197089947089938E-4</v>
      </c>
      <c r="M51" s="11"/>
      <c r="N51" s="9"/>
      <c r="O51" s="24"/>
      <c r="P51" s="9"/>
      <c r="Q51" s="24"/>
      <c r="R51" s="9"/>
      <c r="S51" s="9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84</v>
      </c>
      <c r="B52" s="9">
        <v>1.064814814814815E-2</v>
      </c>
      <c r="C52" s="9">
        <v>3.0671296296296297E-3</v>
      </c>
      <c r="D52" s="9">
        <f t="shared" si="24"/>
        <v>6.1950925925925932E-3</v>
      </c>
      <c r="E52" s="10">
        <v>0.58179999999999998</v>
      </c>
      <c r="F52" s="9">
        <f t="shared" si="25"/>
        <v>7.6678240740740743E-4</v>
      </c>
      <c r="G52" s="9">
        <f t="shared" si="26"/>
        <v>8.2601234567901242E-4</v>
      </c>
      <c r="H52" s="9">
        <f t="shared" si="27"/>
        <v>8.5185185185185201E-4</v>
      </c>
      <c r="I52" s="9">
        <f t="shared" si="28"/>
        <v>8.8818531793442195E-4</v>
      </c>
      <c r="J52" s="9">
        <f t="shared" si="29"/>
        <v>8.9783950617283953E-4</v>
      </c>
      <c r="K52" s="9">
        <f t="shared" si="30"/>
        <v>9.3865039281705955E-4</v>
      </c>
      <c r="L52" s="9">
        <f t="shared" si="31"/>
        <v>9.8334803057025292E-4</v>
      </c>
      <c r="M52" s="11"/>
      <c r="N52" s="9"/>
      <c r="O52" s="24"/>
      <c r="P52" s="9"/>
      <c r="Q52" s="24"/>
      <c r="R52" s="9"/>
      <c r="S52" s="9"/>
      <c r="T52" s="24"/>
      <c r="V52" s="23" t="s">
        <v>30</v>
      </c>
      <c r="W52" s="104" t="s">
        <v>184</v>
      </c>
    </row>
    <row r="53" spans="1:23" ht="17.149999999999999" customHeight="1" x14ac:dyDescent="0.35">
      <c r="A53" s="8" t="s">
        <v>103</v>
      </c>
      <c r="B53" s="9">
        <v>1.064814814814815E-2</v>
      </c>
      <c r="C53" s="9">
        <v>3.0671296296296297E-3</v>
      </c>
      <c r="D53" s="9">
        <f t="shared" si="24"/>
        <v>6.1950925925925932E-3</v>
      </c>
      <c r="E53" s="10">
        <v>0.58179999999999998</v>
      </c>
      <c r="F53" s="9">
        <f t="shared" si="25"/>
        <v>7.6678240740740743E-4</v>
      </c>
      <c r="G53" s="9">
        <f t="shared" si="26"/>
        <v>8.2601234567901242E-4</v>
      </c>
      <c r="H53" s="9">
        <f t="shared" si="27"/>
        <v>8.5185185185185201E-4</v>
      </c>
      <c r="I53" s="9">
        <f t="shared" si="28"/>
        <v>8.8818531793442195E-4</v>
      </c>
      <c r="J53" s="9">
        <f t="shared" si="29"/>
        <v>8.9783950617283953E-4</v>
      </c>
      <c r="K53" s="9">
        <f t="shared" si="30"/>
        <v>9.3865039281705955E-4</v>
      </c>
      <c r="L53" s="9">
        <f t="shared" si="31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48</v>
      </c>
      <c r="W53" s="104"/>
    </row>
    <row r="54" spans="1:23" ht="17.149999999999999" customHeight="1" x14ac:dyDescent="0.35">
      <c r="A54" s="8" t="s">
        <v>104</v>
      </c>
      <c r="B54" s="9">
        <v>1.064814814814815E-2</v>
      </c>
      <c r="C54" s="9">
        <v>3.1249999999999997E-3</v>
      </c>
      <c r="D54" s="9">
        <f t="shared" si="24"/>
        <v>6.1950925925925932E-3</v>
      </c>
      <c r="E54" s="10">
        <v>0.58179999999999998</v>
      </c>
      <c r="F54" s="9">
        <f t="shared" si="25"/>
        <v>7.8124999999999993E-4</v>
      </c>
      <c r="G54" s="9">
        <f t="shared" si="26"/>
        <v>8.2601234567901242E-4</v>
      </c>
      <c r="H54" s="9">
        <f t="shared" si="27"/>
        <v>8.5185185185185201E-4</v>
      </c>
      <c r="I54" s="9">
        <f t="shared" si="28"/>
        <v>8.8818531793442195E-4</v>
      </c>
      <c r="J54" s="9">
        <f t="shared" si="29"/>
        <v>8.9783950617283953E-4</v>
      </c>
      <c r="K54" s="9">
        <f t="shared" si="30"/>
        <v>9.3865039281705955E-4</v>
      </c>
      <c r="L54" s="9">
        <f t="shared" si="31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48</v>
      </c>
      <c r="W54" s="104"/>
    </row>
    <row r="55" spans="1:23" ht="17.149999999999999" customHeight="1" x14ac:dyDescent="0.35">
      <c r="A55" s="8" t="s">
        <v>106</v>
      </c>
      <c r="B55" s="9">
        <v>1.064814814814815E-2</v>
      </c>
      <c r="C55" s="9">
        <v>3.1249999999999997E-3</v>
      </c>
      <c r="D55" s="9">
        <f t="shared" si="24"/>
        <v>6.1950925925925932E-3</v>
      </c>
      <c r="E55" s="10">
        <v>0.58179999999999998</v>
      </c>
      <c r="F55" s="9">
        <f t="shared" si="25"/>
        <v>7.8124999999999993E-4</v>
      </c>
      <c r="G55" s="9">
        <f t="shared" si="26"/>
        <v>8.2601234567901242E-4</v>
      </c>
      <c r="H55" s="9">
        <f t="shared" si="27"/>
        <v>8.5185185185185201E-4</v>
      </c>
      <c r="I55" s="9">
        <f t="shared" si="28"/>
        <v>8.8818531793442195E-4</v>
      </c>
      <c r="J55" s="9">
        <f t="shared" si="29"/>
        <v>8.9783950617283953E-4</v>
      </c>
      <c r="K55" s="9">
        <f t="shared" si="30"/>
        <v>9.3865039281705955E-4</v>
      </c>
      <c r="L55" s="9">
        <f t="shared" si="31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48</v>
      </c>
      <c r="W55" s="104"/>
    </row>
    <row r="56" spans="1:23" ht="17.149999999999999" customHeight="1" x14ac:dyDescent="0.35">
      <c r="A56" s="8" t="s">
        <v>105</v>
      </c>
      <c r="B56" s="9">
        <v>1.064814814814815E-2</v>
      </c>
      <c r="C56" s="9">
        <v>3.1249999999999997E-3</v>
      </c>
      <c r="D56" s="9">
        <f t="shared" si="24"/>
        <v>6.1950925925925932E-3</v>
      </c>
      <c r="E56" s="10">
        <v>0.58179999999999998</v>
      </c>
      <c r="F56" s="9">
        <f t="shared" si="25"/>
        <v>7.8124999999999993E-4</v>
      </c>
      <c r="G56" s="9">
        <f t="shared" si="26"/>
        <v>8.2601234567901242E-4</v>
      </c>
      <c r="H56" s="9">
        <f t="shared" si="27"/>
        <v>8.5185185185185201E-4</v>
      </c>
      <c r="I56" s="9">
        <f t="shared" si="28"/>
        <v>8.8818531793442195E-4</v>
      </c>
      <c r="J56" s="9">
        <f t="shared" si="29"/>
        <v>8.9783950617283953E-4</v>
      </c>
      <c r="K56" s="9">
        <f t="shared" si="30"/>
        <v>9.3865039281705955E-4</v>
      </c>
      <c r="L56" s="9">
        <f t="shared" si="31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48</v>
      </c>
      <c r="W56" s="104"/>
    </row>
    <row r="57" spans="1:23" ht="17.149999999999999" customHeight="1" x14ac:dyDescent="0.35">
      <c r="A57" s="8" t="s">
        <v>107</v>
      </c>
      <c r="B57" s="9">
        <v>1.0648148148148148E-2</v>
      </c>
      <c r="C57" s="9">
        <v>3.1249999999999997E-3</v>
      </c>
      <c r="D57" s="9">
        <f t="shared" si="24"/>
        <v>6.1950925925925923E-3</v>
      </c>
      <c r="E57" s="10">
        <v>0.58179999999999998</v>
      </c>
      <c r="F57" s="9">
        <f t="shared" si="25"/>
        <v>7.8124999999999993E-4</v>
      </c>
      <c r="G57" s="9">
        <f t="shared" si="26"/>
        <v>8.2601234567901232E-4</v>
      </c>
      <c r="H57" s="9">
        <f t="shared" si="27"/>
        <v>8.5185185185185179E-4</v>
      </c>
      <c r="I57" s="9">
        <f t="shared" si="28"/>
        <v>8.8818531793442184E-4</v>
      </c>
      <c r="J57" s="9">
        <f t="shared" si="29"/>
        <v>8.9783950617283942E-4</v>
      </c>
      <c r="K57" s="9">
        <f t="shared" si="30"/>
        <v>9.3865039281705945E-4</v>
      </c>
      <c r="L57" s="9">
        <f t="shared" si="31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48</v>
      </c>
      <c r="W57" s="104"/>
    </row>
    <row r="58" spans="1:23" ht="17.149999999999999" customHeight="1" x14ac:dyDescent="0.35">
      <c r="A58" s="8" t="s">
        <v>108</v>
      </c>
      <c r="B58" s="9">
        <v>1.0763888888888891E-2</v>
      </c>
      <c r="C58" s="9">
        <v>3.1828703703703702E-3</v>
      </c>
      <c r="D58" s="9">
        <f t="shared" si="24"/>
        <v>6.2624305555555567E-3</v>
      </c>
      <c r="E58" s="10">
        <v>0.58179999999999998</v>
      </c>
      <c r="F58" s="9">
        <f t="shared" si="25"/>
        <v>7.9571759259259255E-4</v>
      </c>
      <c r="G58" s="9">
        <f t="shared" si="26"/>
        <v>8.3499074074074085E-4</v>
      </c>
      <c r="H58" s="9">
        <f t="shared" si="27"/>
        <v>8.6111111111111121E-4</v>
      </c>
      <c r="I58" s="9">
        <f t="shared" si="28"/>
        <v>8.9783950617283953E-4</v>
      </c>
      <c r="J58" s="9">
        <f t="shared" si="29"/>
        <v>9.0759863123993567E-4</v>
      </c>
      <c r="K58" s="9">
        <f t="shared" si="30"/>
        <v>9.4885311447811464E-4</v>
      </c>
      <c r="L58" s="9">
        <f t="shared" si="31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48</v>
      </c>
      <c r="W58" s="104"/>
    </row>
    <row r="59" spans="1:23" ht="17.149999999999999" customHeight="1" x14ac:dyDescent="0.35">
      <c r="A59" s="8" t="s">
        <v>87</v>
      </c>
      <c r="B59" s="9">
        <v>1.0763888888888891E-2</v>
      </c>
      <c r="C59" s="9">
        <v>3.1249999999999997E-3</v>
      </c>
      <c r="D59" s="9">
        <f t="shared" si="24"/>
        <v>6.2624305555555567E-3</v>
      </c>
      <c r="E59" s="10">
        <v>0.58179999999999998</v>
      </c>
      <c r="F59" s="9">
        <f t="shared" si="25"/>
        <v>7.8124999999999993E-4</v>
      </c>
      <c r="G59" s="9">
        <f t="shared" si="26"/>
        <v>8.3499074074074085E-4</v>
      </c>
      <c r="H59" s="9">
        <f t="shared" si="27"/>
        <v>8.6111111111111121E-4</v>
      </c>
      <c r="I59" s="9">
        <f t="shared" si="28"/>
        <v>8.9783950617283953E-4</v>
      </c>
      <c r="J59" s="9">
        <f t="shared" si="29"/>
        <v>9.0759863123993567E-4</v>
      </c>
      <c r="K59" s="9">
        <f t="shared" si="30"/>
        <v>9.4885311447811464E-4</v>
      </c>
      <c r="L59" s="9">
        <f t="shared" si="31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48</v>
      </c>
      <c r="W59" s="104"/>
    </row>
    <row r="60" spans="1:23" ht="17.149999999999999" customHeight="1" x14ac:dyDescent="0.35">
      <c r="A60" s="8" t="s">
        <v>109</v>
      </c>
      <c r="B60" s="9">
        <v>1.0763888888888889E-2</v>
      </c>
      <c r="C60" s="9">
        <v>3.1249999999999997E-3</v>
      </c>
      <c r="D60" s="9">
        <f t="shared" si="24"/>
        <v>6.2624305555555549E-3</v>
      </c>
      <c r="E60" s="10">
        <v>0.58179999999999998</v>
      </c>
      <c r="F60" s="9">
        <f t="shared" si="25"/>
        <v>7.8124999999999993E-4</v>
      </c>
      <c r="G60" s="9">
        <f t="shared" si="26"/>
        <v>8.3499074074074064E-4</v>
      </c>
      <c r="H60" s="9">
        <f t="shared" si="27"/>
        <v>8.611111111111111E-4</v>
      </c>
      <c r="I60" s="9">
        <f t="shared" si="28"/>
        <v>8.9783950617283931E-4</v>
      </c>
      <c r="J60" s="9">
        <f t="shared" si="29"/>
        <v>9.0759863123993545E-4</v>
      </c>
      <c r="K60" s="9">
        <f t="shared" si="30"/>
        <v>9.4885311447811432E-4</v>
      </c>
      <c r="L60" s="9">
        <f t="shared" si="31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48</v>
      </c>
      <c r="W60" s="104"/>
    </row>
    <row r="61" spans="1:23" ht="17.149999999999999" customHeight="1" x14ac:dyDescent="0.35">
      <c r="A61" s="8" t="s">
        <v>110</v>
      </c>
      <c r="B61" s="9">
        <v>1.087962962962963E-2</v>
      </c>
      <c r="C61" s="9">
        <v>3.1249999999999997E-3</v>
      </c>
      <c r="D61" s="9">
        <f t="shared" si="24"/>
        <v>6.3297685185185184E-3</v>
      </c>
      <c r="E61" s="10">
        <v>0.58179999999999998</v>
      </c>
      <c r="F61" s="9">
        <f t="shared" si="25"/>
        <v>7.8124999999999993E-4</v>
      </c>
      <c r="G61" s="9">
        <f t="shared" si="26"/>
        <v>8.4396913580246917E-4</v>
      </c>
      <c r="H61" s="9">
        <f t="shared" si="27"/>
        <v>8.7037037037037042E-4</v>
      </c>
      <c r="I61" s="9">
        <f t="shared" si="28"/>
        <v>9.0749369441125711E-4</v>
      </c>
      <c r="J61" s="9">
        <f t="shared" si="29"/>
        <v>9.173577563070317E-4</v>
      </c>
      <c r="K61" s="9">
        <f t="shared" si="30"/>
        <v>9.5905583613916951E-4</v>
      </c>
      <c r="L61" s="9">
        <f t="shared" si="31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48</v>
      </c>
      <c r="W61" s="105" t="s">
        <v>185</v>
      </c>
    </row>
    <row r="62" spans="1:23" ht="17.149999999999999" customHeight="1" x14ac:dyDescent="0.35">
      <c r="A62" s="8" t="s">
        <v>111</v>
      </c>
      <c r="B62" s="9">
        <v>1.087962962962963E-2</v>
      </c>
      <c r="C62" s="9">
        <v>3.1828703703703702E-3</v>
      </c>
      <c r="D62" s="9">
        <f t="shared" si="24"/>
        <v>6.3297685185185184E-3</v>
      </c>
      <c r="E62" s="10">
        <v>0.58179999999999998</v>
      </c>
      <c r="F62" s="9">
        <f t="shared" si="25"/>
        <v>7.9571759259259255E-4</v>
      </c>
      <c r="G62" s="9">
        <f t="shared" si="26"/>
        <v>8.4396913580246917E-4</v>
      </c>
      <c r="H62" s="9">
        <f t="shared" si="27"/>
        <v>8.7037037037037042E-4</v>
      </c>
      <c r="I62" s="9">
        <f t="shared" si="28"/>
        <v>9.0749369441125711E-4</v>
      </c>
      <c r="J62" s="9">
        <f t="shared" si="29"/>
        <v>9.173577563070317E-4</v>
      </c>
      <c r="K62" s="9">
        <f t="shared" si="30"/>
        <v>9.5905583613916951E-4</v>
      </c>
      <c r="L62" s="9">
        <f t="shared" si="31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48</v>
      </c>
      <c r="W62" s="105"/>
    </row>
    <row r="63" spans="1:23" ht="17.149999999999999" customHeight="1" x14ac:dyDescent="0.35">
      <c r="A63" s="8" t="s">
        <v>88</v>
      </c>
      <c r="B63" s="9">
        <v>1.087962962962963E-2</v>
      </c>
      <c r="C63" s="9">
        <v>3.1828703703703702E-3</v>
      </c>
      <c r="D63" s="9">
        <f t="shared" si="24"/>
        <v>6.3297685185185184E-3</v>
      </c>
      <c r="E63" s="10">
        <v>0.58179999999999998</v>
      </c>
      <c r="F63" s="9">
        <f t="shared" si="25"/>
        <v>7.9571759259259255E-4</v>
      </c>
      <c r="G63" s="9">
        <f t="shared" si="26"/>
        <v>8.4396913580246917E-4</v>
      </c>
      <c r="H63" s="9">
        <f t="shared" si="27"/>
        <v>8.7037037037037042E-4</v>
      </c>
      <c r="I63" s="9">
        <f t="shared" si="28"/>
        <v>9.0749369441125711E-4</v>
      </c>
      <c r="J63" s="9">
        <f t="shared" si="29"/>
        <v>9.173577563070317E-4</v>
      </c>
      <c r="K63" s="9">
        <f t="shared" si="30"/>
        <v>9.5905583613916951E-4</v>
      </c>
      <c r="L63" s="9">
        <f t="shared" si="31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48</v>
      </c>
      <c r="W63" s="105"/>
    </row>
    <row r="64" spans="1:23" ht="17.149999999999999" customHeight="1" x14ac:dyDescent="0.35">
      <c r="A64" s="8" t="s">
        <v>90</v>
      </c>
      <c r="B64" s="9">
        <v>1.0995370370370371E-2</v>
      </c>
      <c r="C64" s="9">
        <v>3.1828703703703702E-3</v>
      </c>
      <c r="D64" s="9">
        <f t="shared" si="24"/>
        <v>6.397106481481481E-3</v>
      </c>
      <c r="E64" s="10">
        <v>0.58179999999999998</v>
      </c>
      <c r="F64" s="9">
        <f t="shared" si="25"/>
        <v>7.9571759259259255E-4</v>
      </c>
      <c r="G64" s="9">
        <f t="shared" si="26"/>
        <v>8.5294753086419749E-4</v>
      </c>
      <c r="H64" s="9">
        <f t="shared" si="27"/>
        <v>8.7962962962962962E-4</v>
      </c>
      <c r="I64" s="9">
        <f t="shared" si="28"/>
        <v>9.171478826496747E-4</v>
      </c>
      <c r="J64" s="9">
        <f t="shared" si="29"/>
        <v>9.2711688137412762E-4</v>
      </c>
      <c r="K64" s="9">
        <f t="shared" si="30"/>
        <v>9.6925855780022438E-4</v>
      </c>
      <c r="L64" s="9">
        <f t="shared" si="31"/>
        <v>1.0154137272192828E-3</v>
      </c>
      <c r="M64" s="11"/>
      <c r="N64" s="9"/>
      <c r="O64" s="24"/>
      <c r="P64" s="9"/>
      <c r="Q64" s="24"/>
      <c r="R64" s="9"/>
      <c r="S64" s="12"/>
      <c r="T64" s="25"/>
      <c r="U64" s="28"/>
      <c r="V64" s="23" t="s">
        <v>48</v>
      </c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176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/>
      <c r="N67" s="15"/>
      <c r="O67" s="15"/>
      <c r="P67" s="15"/>
      <c r="Q67" s="15"/>
      <c r="R67" s="15"/>
      <c r="S67" s="15"/>
      <c r="T67" s="15"/>
      <c r="U67" s="99"/>
      <c r="V67" s="17"/>
      <c r="W67" s="107" t="s">
        <v>186</v>
      </c>
    </row>
    <row r="68" spans="1:23" ht="17.149999999999999" customHeight="1" x14ac:dyDescent="0.35">
      <c r="A68" s="8" t="s">
        <v>78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/>
      <c r="N68" s="9"/>
      <c r="O68" s="24"/>
      <c r="P68" s="9"/>
      <c r="Q68" s="24"/>
      <c r="R68" s="9"/>
      <c r="S68" s="24"/>
      <c r="T68" s="97"/>
      <c r="U68" s="24"/>
      <c r="V68" s="23" t="s">
        <v>34</v>
      </c>
      <c r="W68" s="108"/>
    </row>
    <row r="69" spans="1:23" ht="17.149999999999999" customHeight="1" x14ac:dyDescent="0.35">
      <c r="A69" s="8" t="s">
        <v>99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>
        <f>Table25711131525233335373941454951535912141618202224262830323436[[#This Row],[Thresh]]</f>
        <v>9.0294086700336686E-4</v>
      </c>
      <c r="N69" s="9">
        <f>Table25711131525233335373941454951535912141618202224262830323436[[#This Row],[Thresh]]*2</f>
        <v>1.8058817340067337E-3</v>
      </c>
      <c r="O69" s="24">
        <f>Table25711131525233335373941454951535912141618202224262830323436[[#This Row],[R]]/2</f>
        <v>3.7615740740740735E-4</v>
      </c>
      <c r="P69" s="9"/>
      <c r="Q69" s="24"/>
      <c r="R69" s="9"/>
      <c r="S69" s="24"/>
      <c r="T69" s="97"/>
      <c r="U69" s="24"/>
      <c r="V69" s="23" t="s">
        <v>168</v>
      </c>
      <c r="W69" s="108"/>
    </row>
    <row r="70" spans="1:23" ht="17.149999999999999" customHeight="1" x14ac:dyDescent="0.35">
      <c r="A70" s="8" t="s">
        <v>102</v>
      </c>
      <c r="B70" s="9">
        <v>1.0474537037037037E-2</v>
      </c>
      <c r="C70" s="9">
        <v>3.0671296296296297E-3</v>
      </c>
      <c r="D70" s="9">
        <f>B70*E70</f>
        <v>6.094085648148148E-3</v>
      </c>
      <c r="E70" s="10">
        <v>0.58179999999999998</v>
      </c>
      <c r="F70" s="9">
        <f>C70/4</f>
        <v>7.6678240740740743E-4</v>
      </c>
      <c r="G70" s="9">
        <f>D70/7.5</f>
        <v>8.1254475308641973E-4</v>
      </c>
      <c r="H70" s="9">
        <f>B70/12.5</f>
        <v>8.3796296296296299E-4</v>
      </c>
      <c r="I70" s="9">
        <f>G70/0.93</f>
        <v>8.7370403557679541E-4</v>
      </c>
      <c r="J70" s="9">
        <f>G70/0.92</f>
        <v>8.8320081857219527E-4</v>
      </c>
      <c r="K70" s="9">
        <f>G70/0.88</f>
        <v>9.2334631032547692E-4</v>
      </c>
      <c r="L70" s="9">
        <f>G70/0.84</f>
        <v>9.6731518224573777E-4</v>
      </c>
      <c r="M70" s="11"/>
      <c r="N70" s="9"/>
      <c r="O70" s="24"/>
      <c r="P70" s="9"/>
      <c r="Q70" s="24"/>
      <c r="R70" s="9"/>
      <c r="S70" s="24"/>
      <c r="T70" s="97"/>
      <c r="U70" s="24"/>
      <c r="V70" s="23" t="s">
        <v>34</v>
      </c>
      <c r="W70" s="108"/>
    </row>
    <row r="71" spans="1:23" ht="17.149999999999999" customHeight="1" x14ac:dyDescent="0.35">
      <c r="A71" s="8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11"/>
      <c r="P71" s="25"/>
      <c r="Q71" s="25"/>
      <c r="R71" s="25"/>
      <c r="S71" s="25"/>
      <c r="V71" s="23"/>
      <c r="W71" s="108"/>
    </row>
    <row r="72" spans="1:23" ht="17.149999999999999" customHeight="1" x14ac:dyDescent="0.35">
      <c r="A72" s="14"/>
      <c r="B72" s="15"/>
      <c r="C72" s="15"/>
      <c r="D72" s="15"/>
      <c r="E72" s="16"/>
      <c r="F72" s="15">
        <f t="shared" ref="F72:F93" si="32">C72/4</f>
        <v>0</v>
      </c>
      <c r="G72" s="15">
        <f t="shared" ref="G72:G93" si="33">D72/7.5</f>
        <v>0</v>
      </c>
      <c r="H72" s="15">
        <f t="shared" ref="H72:H93" si="34">B72/12.5</f>
        <v>0</v>
      </c>
      <c r="I72" s="15">
        <f t="shared" ref="I72:I93" si="35">G72/0.93</f>
        <v>0</v>
      </c>
      <c r="J72" s="15">
        <f t="shared" ref="J72:J93" si="36">G72/0.92</f>
        <v>0</v>
      </c>
      <c r="K72" s="15">
        <f t="shared" ref="K72:K93" si="37">G72/0.88</f>
        <v>0</v>
      </c>
      <c r="L72" s="15">
        <f t="shared" ref="L72:L93" si="38">G72/0.84</f>
        <v>0</v>
      </c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8"/>
    </row>
    <row r="73" spans="1:23" ht="17.149999999999999" customHeight="1" x14ac:dyDescent="0.35">
      <c r="A73" s="8" t="s">
        <v>61</v>
      </c>
      <c r="B73" s="9">
        <v>1.0416666666666666E-2</v>
      </c>
      <c r="C73" s="9">
        <v>2.8935185185185188E-3</v>
      </c>
      <c r="D73" s="9">
        <f t="shared" ref="D73:D89" si="39">B73*E73</f>
        <v>6.0604166666666662E-3</v>
      </c>
      <c r="E73" s="10">
        <v>0.58179999999999998</v>
      </c>
      <c r="F73" s="9">
        <f t="shared" si="32"/>
        <v>7.233796296296297E-4</v>
      </c>
      <c r="G73" s="9">
        <f t="shared" si="33"/>
        <v>8.0805555555555546E-4</v>
      </c>
      <c r="H73" s="9">
        <f t="shared" si="34"/>
        <v>8.3333333333333328E-4</v>
      </c>
      <c r="I73" s="9">
        <f t="shared" si="35"/>
        <v>8.6887694145758646E-4</v>
      </c>
      <c r="J73" s="9">
        <f t="shared" si="36"/>
        <v>8.7832125603864715E-4</v>
      </c>
      <c r="K73" s="9">
        <f t="shared" si="37"/>
        <v>9.1824494949494938E-4</v>
      </c>
      <c r="L73" s="9">
        <f t="shared" si="38"/>
        <v>9.6197089947089938E-4</v>
      </c>
      <c r="M73" s="11"/>
      <c r="N73" s="9"/>
      <c r="O73" s="24"/>
      <c r="P73" s="9"/>
      <c r="Q73" s="24"/>
      <c r="R73" s="9"/>
      <c r="S73" s="12"/>
      <c r="T73" s="9"/>
      <c r="U73" s="9"/>
      <c r="V73" s="23" t="s">
        <v>5</v>
      </c>
      <c r="W73" s="108"/>
    </row>
    <row r="74" spans="1:23" ht="17.149999999999999" customHeight="1" x14ac:dyDescent="0.35">
      <c r="A74" s="8" t="s">
        <v>65</v>
      </c>
      <c r="B74" s="9">
        <v>1.0416666666666666E-2</v>
      </c>
      <c r="C74" s="9">
        <v>2.9745370370370373E-3</v>
      </c>
      <c r="D74" s="9">
        <f t="shared" si="39"/>
        <v>6.0604166666666662E-3</v>
      </c>
      <c r="E74" s="10">
        <v>0.58179999999999998</v>
      </c>
      <c r="F74" s="9">
        <f t="shared" si="32"/>
        <v>7.4363425925925931E-4</v>
      </c>
      <c r="G74" s="9">
        <f t="shared" si="33"/>
        <v>8.0805555555555546E-4</v>
      </c>
      <c r="H74" s="9">
        <f t="shared" si="34"/>
        <v>8.3333333333333328E-4</v>
      </c>
      <c r="I74" s="9">
        <f t="shared" si="35"/>
        <v>8.6887694145758646E-4</v>
      </c>
      <c r="J74" s="9">
        <f t="shared" si="36"/>
        <v>8.7832125603864715E-4</v>
      </c>
      <c r="K74" s="9">
        <f t="shared" si="37"/>
        <v>9.1824494949494938E-4</v>
      </c>
      <c r="L74" s="9">
        <f t="shared" si="38"/>
        <v>9.6197089947089938E-4</v>
      </c>
      <c r="M74" s="11"/>
      <c r="N74" s="9"/>
      <c r="O74" s="24"/>
      <c r="P74" s="9"/>
      <c r="Q74" s="24"/>
      <c r="R74" s="9"/>
      <c r="S74" s="12"/>
      <c r="T74" s="25"/>
      <c r="U74" s="9"/>
      <c r="V74" s="23" t="s">
        <v>5</v>
      </c>
      <c r="W74" s="108"/>
    </row>
    <row r="75" spans="1:23" ht="17.149999999999999" customHeight="1" x14ac:dyDescent="0.35">
      <c r="A75" s="8" t="s">
        <v>62</v>
      </c>
      <c r="B75" s="9">
        <v>1.087962962962963E-2</v>
      </c>
      <c r="C75" s="9">
        <v>3.0092592592592588E-3</v>
      </c>
      <c r="D75" s="9">
        <f t="shared" si="39"/>
        <v>6.3297685185185184E-3</v>
      </c>
      <c r="E75" s="10">
        <v>0.58179999999999998</v>
      </c>
      <c r="F75" s="9">
        <f t="shared" si="32"/>
        <v>7.5231481481481471E-4</v>
      </c>
      <c r="G75" s="9">
        <f t="shared" si="33"/>
        <v>8.4396913580246917E-4</v>
      </c>
      <c r="H75" s="9">
        <f t="shared" si="34"/>
        <v>8.7037037037037042E-4</v>
      </c>
      <c r="I75" s="9">
        <f t="shared" si="35"/>
        <v>9.0749369441125711E-4</v>
      </c>
      <c r="J75" s="9">
        <f t="shared" si="36"/>
        <v>9.173577563070317E-4</v>
      </c>
      <c r="K75" s="9">
        <f t="shared" si="37"/>
        <v>9.5905583613916951E-4</v>
      </c>
      <c r="L75" s="9">
        <f t="shared" si="38"/>
        <v>1.0047251616696062E-3</v>
      </c>
      <c r="M75" s="11"/>
      <c r="N75" s="9"/>
      <c r="O75" s="24"/>
      <c r="P75" s="9"/>
      <c r="Q75" s="24"/>
      <c r="R75" s="9"/>
      <c r="S75" s="12"/>
      <c r="T75" s="96"/>
      <c r="U75" s="9"/>
      <c r="V75" s="23" t="s">
        <v>5</v>
      </c>
      <c r="W75" s="108"/>
    </row>
    <row r="76" spans="1:23" ht="17.149999999999999" customHeight="1" x14ac:dyDescent="0.35">
      <c r="A76" s="8" t="s">
        <v>63</v>
      </c>
      <c r="B76" s="9">
        <v>1.087962962962963E-2</v>
      </c>
      <c r="C76" s="9">
        <v>3.0092592592592588E-3</v>
      </c>
      <c r="D76" s="9">
        <f t="shared" si="39"/>
        <v>6.3297685185185184E-3</v>
      </c>
      <c r="E76" s="10">
        <v>0.58179999999999998</v>
      </c>
      <c r="F76" s="9">
        <f t="shared" si="32"/>
        <v>7.5231481481481471E-4</v>
      </c>
      <c r="G76" s="9">
        <f t="shared" si="33"/>
        <v>8.4396913580246917E-4</v>
      </c>
      <c r="H76" s="9">
        <f t="shared" si="34"/>
        <v>8.7037037037037042E-4</v>
      </c>
      <c r="I76" s="9">
        <f t="shared" si="35"/>
        <v>9.0749369441125711E-4</v>
      </c>
      <c r="J76" s="9">
        <f t="shared" si="36"/>
        <v>9.173577563070317E-4</v>
      </c>
      <c r="K76" s="9">
        <f t="shared" si="37"/>
        <v>9.5905583613916951E-4</v>
      </c>
      <c r="L76" s="9">
        <f t="shared" si="38"/>
        <v>1.0047251616696062E-3</v>
      </c>
      <c r="M76" s="11"/>
      <c r="N76" s="9"/>
      <c r="O76" s="24"/>
      <c r="P76" s="9"/>
      <c r="Q76" s="24"/>
      <c r="R76" s="9"/>
      <c r="S76" s="12"/>
      <c r="T76" s="96"/>
      <c r="U76" s="9"/>
      <c r="V76" s="23" t="s">
        <v>5</v>
      </c>
      <c r="W76" s="104"/>
    </row>
    <row r="77" spans="1:23" ht="17.149999999999999" customHeight="1" x14ac:dyDescent="0.35">
      <c r="A77" s="8" t="s">
        <v>75</v>
      </c>
      <c r="B77" s="9">
        <v>1.087962962962963E-2</v>
      </c>
      <c r="C77" s="9">
        <v>2.9513888888888888E-3</v>
      </c>
      <c r="D77" s="9">
        <f t="shared" si="39"/>
        <v>6.3297685185185184E-3</v>
      </c>
      <c r="E77" s="10">
        <v>0.58179999999999998</v>
      </c>
      <c r="F77" s="9">
        <f t="shared" si="32"/>
        <v>7.378472222222222E-4</v>
      </c>
      <c r="G77" s="9">
        <f t="shared" si="33"/>
        <v>8.4396913580246917E-4</v>
      </c>
      <c r="H77" s="9">
        <f t="shared" si="34"/>
        <v>8.7037037037037042E-4</v>
      </c>
      <c r="I77" s="9">
        <f t="shared" si="35"/>
        <v>9.0749369441125711E-4</v>
      </c>
      <c r="J77" s="9">
        <f t="shared" si="36"/>
        <v>9.173577563070317E-4</v>
      </c>
      <c r="K77" s="9">
        <f t="shared" si="37"/>
        <v>9.5905583613916951E-4</v>
      </c>
      <c r="L77" s="9">
        <f t="shared" si="38"/>
        <v>1.0047251616696062E-3</v>
      </c>
      <c r="M77" s="11"/>
      <c r="N77" s="9"/>
      <c r="O77" s="24"/>
      <c r="P77" s="9"/>
      <c r="Q77" s="24"/>
      <c r="R77" s="9"/>
      <c r="S77" s="12"/>
      <c r="T77" s="25"/>
      <c r="U77" s="9"/>
      <c r="V77" s="23" t="s">
        <v>5</v>
      </c>
      <c r="W77" s="104"/>
    </row>
    <row r="78" spans="1:23" ht="17.149999999999999" customHeight="1" x14ac:dyDescent="0.35">
      <c r="A78" s="8" t="s">
        <v>70</v>
      </c>
      <c r="B78" s="9">
        <v>9.780092592592592E-3</v>
      </c>
      <c r="C78" s="9">
        <v>2.8124999999999995E-3</v>
      </c>
      <c r="D78" s="9">
        <f t="shared" si="39"/>
        <v>5.6900578703703696E-3</v>
      </c>
      <c r="E78" s="10">
        <v>0.58179999999999998</v>
      </c>
      <c r="F78" s="9">
        <f t="shared" si="32"/>
        <v>7.0312499999999987E-4</v>
      </c>
      <c r="G78" s="9">
        <f t="shared" si="33"/>
        <v>7.5867438271604926E-4</v>
      </c>
      <c r="H78" s="9">
        <f t="shared" si="34"/>
        <v>7.8240740740740734E-4</v>
      </c>
      <c r="I78" s="9">
        <f t="shared" si="35"/>
        <v>8.1577890614628948E-4</v>
      </c>
      <c r="J78" s="9">
        <f t="shared" si="36"/>
        <v>8.2464606816961877E-4</v>
      </c>
      <c r="K78" s="9">
        <f t="shared" si="37"/>
        <v>8.6212998035914683E-4</v>
      </c>
      <c r="L78" s="9">
        <f t="shared" si="38"/>
        <v>9.031837889476777E-4</v>
      </c>
      <c r="M78" s="11"/>
      <c r="N78" s="9"/>
      <c r="O78" s="24"/>
      <c r="P78" s="9"/>
      <c r="Q78" s="24"/>
      <c r="R78" s="9"/>
      <c r="S78" s="12"/>
      <c r="T78" s="25"/>
      <c r="V78" s="23" t="s">
        <v>5</v>
      </c>
      <c r="W78" s="104"/>
    </row>
    <row r="79" spans="1:23" ht="17.149999999999999" customHeight="1" x14ac:dyDescent="0.35">
      <c r="A79" s="8" t="s">
        <v>72</v>
      </c>
      <c r="B79" s="9">
        <v>1.0127314814814815E-2</v>
      </c>
      <c r="C79" s="9">
        <v>2.8935185185185188E-3</v>
      </c>
      <c r="D79" s="9">
        <f t="shared" si="39"/>
        <v>5.8920717592592592E-3</v>
      </c>
      <c r="E79" s="10">
        <v>0.58179999999999998</v>
      </c>
      <c r="F79" s="9">
        <f t="shared" si="32"/>
        <v>7.233796296296297E-4</v>
      </c>
      <c r="G79" s="9">
        <f t="shared" si="33"/>
        <v>7.8560956790123455E-4</v>
      </c>
      <c r="H79" s="9">
        <f t="shared" si="34"/>
        <v>8.1018518518518516E-4</v>
      </c>
      <c r="I79" s="9">
        <f t="shared" si="35"/>
        <v>8.4474147086154245E-4</v>
      </c>
      <c r="J79" s="9">
        <f t="shared" si="36"/>
        <v>8.5392344337090708E-4</v>
      </c>
      <c r="K79" s="9">
        <f t="shared" si="37"/>
        <v>8.9273814534231199E-4</v>
      </c>
      <c r="L79" s="9">
        <f t="shared" si="38"/>
        <v>9.3524948559670779E-4</v>
      </c>
      <c r="M79" s="11"/>
      <c r="N79" s="9"/>
      <c r="O79" s="24"/>
      <c r="P79" s="9"/>
      <c r="Q79" s="24"/>
      <c r="R79" s="9"/>
      <c r="S79" s="12"/>
      <c r="T79" s="25"/>
      <c r="V79" s="23" t="s">
        <v>5</v>
      </c>
      <c r="W79" s="104"/>
    </row>
    <row r="80" spans="1:23" ht="17.149999999999999" customHeight="1" x14ac:dyDescent="0.35">
      <c r="A80" s="8" t="s">
        <v>71</v>
      </c>
      <c r="B80" s="9">
        <v>1.0011574074074074E-2</v>
      </c>
      <c r="C80" s="9">
        <v>2.8935185185185188E-3</v>
      </c>
      <c r="D80" s="9">
        <f t="shared" si="39"/>
        <v>5.8247337962962957E-3</v>
      </c>
      <c r="E80" s="10">
        <v>0.58179999999999998</v>
      </c>
      <c r="F80" s="9">
        <f t="shared" si="32"/>
        <v>7.233796296296297E-4</v>
      </c>
      <c r="G80" s="9">
        <f t="shared" si="33"/>
        <v>7.7663117283950612E-4</v>
      </c>
      <c r="H80" s="9">
        <f t="shared" si="34"/>
        <v>8.0092592592592585E-4</v>
      </c>
      <c r="I80" s="9">
        <f t="shared" si="35"/>
        <v>8.3508728262312486E-4</v>
      </c>
      <c r="J80" s="9">
        <f t="shared" si="36"/>
        <v>8.4416431830381094E-4</v>
      </c>
      <c r="K80" s="9">
        <f t="shared" si="37"/>
        <v>8.825354236812569E-4</v>
      </c>
      <c r="L80" s="9">
        <f t="shared" si="38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4"/>
    </row>
    <row r="81" spans="1:23" ht="17.149999999999999" customHeight="1" x14ac:dyDescent="0.35">
      <c r="A81" s="8" t="s">
        <v>80</v>
      </c>
      <c r="B81" s="9">
        <v>1.0416666666666666E-2</v>
      </c>
      <c r="C81" s="9">
        <v>3.0092592592592588E-3</v>
      </c>
      <c r="D81" s="9">
        <f t="shared" si="39"/>
        <v>6.0604166666666662E-3</v>
      </c>
      <c r="E81" s="10">
        <v>0.58179999999999998</v>
      </c>
      <c r="F81" s="9">
        <f t="shared" si="32"/>
        <v>7.5231481481481471E-4</v>
      </c>
      <c r="G81" s="9">
        <f t="shared" si="33"/>
        <v>8.0805555555555546E-4</v>
      </c>
      <c r="H81" s="9">
        <f t="shared" si="34"/>
        <v>8.3333333333333328E-4</v>
      </c>
      <c r="I81" s="9">
        <f t="shared" si="35"/>
        <v>8.6887694145758646E-4</v>
      </c>
      <c r="J81" s="9">
        <f t="shared" si="36"/>
        <v>8.7832125603864715E-4</v>
      </c>
      <c r="K81" s="9">
        <f t="shared" si="37"/>
        <v>9.1824494949494938E-4</v>
      </c>
      <c r="L81" s="9">
        <f t="shared" si="38"/>
        <v>9.6197089947089938E-4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4"/>
    </row>
    <row r="82" spans="1:23" ht="17.149999999999999" customHeight="1" x14ac:dyDescent="0.35">
      <c r="A82" s="8" t="s">
        <v>73</v>
      </c>
      <c r="B82" s="9">
        <v>1.0011574074074074E-2</v>
      </c>
      <c r="C82" s="9">
        <v>2.8935185185185188E-3</v>
      </c>
      <c r="D82" s="9">
        <f t="shared" si="39"/>
        <v>5.8247337962962957E-3</v>
      </c>
      <c r="E82" s="10">
        <v>0.58179999999999998</v>
      </c>
      <c r="F82" s="9">
        <f t="shared" si="32"/>
        <v>7.233796296296297E-4</v>
      </c>
      <c r="G82" s="9">
        <f t="shared" si="33"/>
        <v>7.7663117283950612E-4</v>
      </c>
      <c r="H82" s="9">
        <f t="shared" si="34"/>
        <v>8.0092592592592585E-4</v>
      </c>
      <c r="I82" s="9">
        <f t="shared" si="35"/>
        <v>8.3508728262312486E-4</v>
      </c>
      <c r="J82" s="9">
        <f t="shared" si="36"/>
        <v>8.4416431830381094E-4</v>
      </c>
      <c r="K82" s="9">
        <f t="shared" si="37"/>
        <v>8.825354236812569E-4</v>
      </c>
      <c r="L82" s="9">
        <f t="shared" si="38"/>
        <v>9.2456092004703113E-4</v>
      </c>
      <c r="M82" s="11"/>
      <c r="N82" s="9"/>
      <c r="O82" s="24"/>
      <c r="P82" s="9"/>
      <c r="Q82" s="24"/>
      <c r="R82" s="9"/>
      <c r="S82" s="24"/>
      <c r="T82" s="24"/>
      <c r="U82" s="24"/>
      <c r="V82" s="23" t="s">
        <v>5</v>
      </c>
      <c r="W82" s="104"/>
    </row>
    <row r="83" spans="1:23" ht="17.149999999999999" customHeight="1" x14ac:dyDescent="0.35">
      <c r="A83" s="8" t="s">
        <v>74</v>
      </c>
      <c r="B83" s="9">
        <v>1.0243055555555556E-2</v>
      </c>
      <c r="C83" s="9">
        <v>2.9513888888888888E-3</v>
      </c>
      <c r="D83" s="9">
        <f t="shared" si="39"/>
        <v>5.9594097222222218E-3</v>
      </c>
      <c r="E83" s="10">
        <v>0.58179999999999998</v>
      </c>
      <c r="F83" s="9">
        <f t="shared" si="32"/>
        <v>7.378472222222222E-4</v>
      </c>
      <c r="G83" s="9">
        <f t="shared" si="33"/>
        <v>7.9458796296296287E-4</v>
      </c>
      <c r="H83" s="9">
        <f t="shared" si="34"/>
        <v>8.1944444444444447E-4</v>
      </c>
      <c r="I83" s="9">
        <f t="shared" si="35"/>
        <v>8.5439565909996003E-4</v>
      </c>
      <c r="J83" s="9">
        <f t="shared" si="36"/>
        <v>8.636825684380031E-4</v>
      </c>
      <c r="K83" s="9">
        <f t="shared" si="37"/>
        <v>9.0294086700336686E-4</v>
      </c>
      <c r="L83" s="9">
        <f t="shared" si="38"/>
        <v>9.4593805114638445E-4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4"/>
    </row>
    <row r="84" spans="1:23" ht="17.149999999999999" customHeight="1" x14ac:dyDescent="0.35">
      <c r="A84" s="8" t="s">
        <v>76</v>
      </c>
      <c r="B84" s="9">
        <v>1.0011574074074074E-2</v>
      </c>
      <c r="C84" s="9">
        <v>2.9513888888888888E-3</v>
      </c>
      <c r="D84" s="9">
        <f t="shared" si="39"/>
        <v>5.8247337962962957E-3</v>
      </c>
      <c r="E84" s="10">
        <v>0.58179999999999998</v>
      </c>
      <c r="F84" s="9">
        <f t="shared" si="32"/>
        <v>7.378472222222222E-4</v>
      </c>
      <c r="G84" s="9">
        <f t="shared" si="33"/>
        <v>7.7663117283950612E-4</v>
      </c>
      <c r="H84" s="9">
        <f t="shared" si="34"/>
        <v>8.0092592592592585E-4</v>
      </c>
      <c r="I84" s="9">
        <f t="shared" si="35"/>
        <v>8.3508728262312486E-4</v>
      </c>
      <c r="J84" s="9">
        <f t="shared" si="36"/>
        <v>8.4416431830381094E-4</v>
      </c>
      <c r="K84" s="9">
        <f t="shared" si="37"/>
        <v>8.825354236812569E-4</v>
      </c>
      <c r="L84" s="9">
        <f t="shared" si="38"/>
        <v>9.2456092004703113E-4</v>
      </c>
      <c r="M84" s="11"/>
      <c r="N84" s="9"/>
      <c r="O84" s="24"/>
      <c r="P84" s="9"/>
      <c r="Q84" s="24"/>
      <c r="R84" s="9"/>
      <c r="S84" s="24"/>
      <c r="T84" s="24"/>
      <c r="U84" s="24"/>
      <c r="V84" s="23" t="s">
        <v>5</v>
      </c>
      <c r="W84" s="104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si="39"/>
        <v>5.8247337962962957E-3</v>
      </c>
      <c r="E85" s="10">
        <v>0.58179999999999998</v>
      </c>
      <c r="F85" s="9">
        <f t="shared" si="32"/>
        <v>7.378472222222222E-4</v>
      </c>
      <c r="G85" s="9">
        <f t="shared" si="33"/>
        <v>7.7663117283950612E-4</v>
      </c>
      <c r="H85" s="9">
        <f t="shared" si="34"/>
        <v>8.0092592592592585E-4</v>
      </c>
      <c r="I85" s="9">
        <f t="shared" si="35"/>
        <v>8.3508728262312486E-4</v>
      </c>
      <c r="J85" s="9">
        <f t="shared" si="36"/>
        <v>8.4416431830381094E-4</v>
      </c>
      <c r="K85" s="9">
        <f t="shared" si="37"/>
        <v>8.825354236812569E-4</v>
      </c>
      <c r="L85" s="9">
        <f t="shared" si="38"/>
        <v>9.2456092004703113E-4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4"/>
    </row>
    <row r="86" spans="1:23" ht="17.149999999999999" customHeight="1" x14ac:dyDescent="0.35">
      <c r="A86" s="8" t="s">
        <v>97</v>
      </c>
      <c r="B86" s="9">
        <v>1.0011574074074074E-2</v>
      </c>
      <c r="C86" s="9">
        <v>2.9745370370370373E-3</v>
      </c>
      <c r="D86" s="9">
        <f t="shared" si="39"/>
        <v>5.8247337962962957E-3</v>
      </c>
      <c r="E86" s="10">
        <v>0.58179999999999998</v>
      </c>
      <c r="F86" s="9">
        <f t="shared" si="32"/>
        <v>7.4363425925925931E-4</v>
      </c>
      <c r="G86" s="9">
        <f t="shared" si="33"/>
        <v>7.7663117283950612E-4</v>
      </c>
      <c r="H86" s="9">
        <f t="shared" si="34"/>
        <v>8.0092592592592585E-4</v>
      </c>
      <c r="I86" s="9">
        <f t="shared" si="35"/>
        <v>8.3508728262312486E-4</v>
      </c>
      <c r="J86" s="9">
        <f t="shared" si="36"/>
        <v>8.4416431830381094E-4</v>
      </c>
      <c r="K86" s="9">
        <f t="shared" si="37"/>
        <v>8.825354236812569E-4</v>
      </c>
      <c r="L86" s="9">
        <f t="shared" si="38"/>
        <v>9.2456092004703113E-4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4"/>
    </row>
    <row r="87" spans="1:23" ht="17.149999999999999" customHeight="1" x14ac:dyDescent="0.35">
      <c r="A87" s="8" t="s">
        <v>98</v>
      </c>
      <c r="B87" s="9">
        <v>1.0243055555555556E-2</v>
      </c>
      <c r="C87" s="9">
        <v>3.0092592592592588E-3</v>
      </c>
      <c r="D87" s="9">
        <f t="shared" si="39"/>
        <v>5.9594097222222218E-3</v>
      </c>
      <c r="E87" s="10">
        <v>0.58179999999999998</v>
      </c>
      <c r="F87" s="9">
        <f t="shared" si="32"/>
        <v>7.5231481481481471E-4</v>
      </c>
      <c r="G87" s="9">
        <f t="shared" si="33"/>
        <v>7.9458796296296287E-4</v>
      </c>
      <c r="H87" s="9">
        <f t="shared" si="34"/>
        <v>8.1944444444444447E-4</v>
      </c>
      <c r="I87" s="9">
        <f t="shared" si="35"/>
        <v>8.5439565909996003E-4</v>
      </c>
      <c r="J87" s="9">
        <f t="shared" si="36"/>
        <v>8.636825684380031E-4</v>
      </c>
      <c r="K87" s="9">
        <f t="shared" si="37"/>
        <v>9.0294086700336686E-4</v>
      </c>
      <c r="L87" s="9">
        <f t="shared" si="38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4"/>
    </row>
    <row r="88" spans="1:23" ht="17.149999999999999" customHeight="1" x14ac:dyDescent="0.35">
      <c r="A88" s="8" t="s">
        <v>100</v>
      </c>
      <c r="B88" s="9">
        <v>1.0243055555555556E-2</v>
      </c>
      <c r="C88" s="9">
        <v>2.9745370370370373E-3</v>
      </c>
      <c r="D88" s="9">
        <f t="shared" si="39"/>
        <v>5.9594097222222218E-3</v>
      </c>
      <c r="E88" s="10">
        <v>0.58179999999999998</v>
      </c>
      <c r="F88" s="9">
        <f t="shared" si="32"/>
        <v>7.4363425925925931E-4</v>
      </c>
      <c r="G88" s="9">
        <f t="shared" si="33"/>
        <v>7.9458796296296287E-4</v>
      </c>
      <c r="H88" s="9">
        <f t="shared" si="34"/>
        <v>8.1944444444444447E-4</v>
      </c>
      <c r="I88" s="9">
        <f t="shared" si="35"/>
        <v>8.5439565909996003E-4</v>
      </c>
      <c r="J88" s="9">
        <f t="shared" si="36"/>
        <v>8.636825684380031E-4</v>
      </c>
      <c r="K88" s="9">
        <f t="shared" si="37"/>
        <v>9.0294086700336686E-4</v>
      </c>
      <c r="L88" s="9">
        <f t="shared" si="38"/>
        <v>9.4593805114638445E-4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4"/>
    </row>
    <row r="89" spans="1:23" ht="17.149999999999999" customHeight="1" x14ac:dyDescent="0.35">
      <c r="A89" s="8" t="s">
        <v>101</v>
      </c>
      <c r="B89" s="9">
        <v>1.0243055555555556E-2</v>
      </c>
      <c r="C89" s="9">
        <v>3.0671296296296297E-3</v>
      </c>
      <c r="D89" s="9">
        <f t="shared" si="39"/>
        <v>5.9594097222222218E-3</v>
      </c>
      <c r="E89" s="10">
        <v>0.58179999999999998</v>
      </c>
      <c r="F89" s="9">
        <f t="shared" si="32"/>
        <v>7.6678240740740743E-4</v>
      </c>
      <c r="G89" s="9">
        <f t="shared" si="33"/>
        <v>7.9458796296296287E-4</v>
      </c>
      <c r="H89" s="9">
        <f t="shared" si="34"/>
        <v>8.1944444444444447E-4</v>
      </c>
      <c r="I89" s="9">
        <f t="shared" si="35"/>
        <v>8.5439565909996003E-4</v>
      </c>
      <c r="J89" s="9">
        <f t="shared" si="36"/>
        <v>8.636825684380031E-4</v>
      </c>
      <c r="K89" s="9">
        <f t="shared" si="37"/>
        <v>9.0294086700336686E-4</v>
      </c>
      <c r="L89" s="9">
        <f t="shared" si="38"/>
        <v>9.4593805114638445E-4</v>
      </c>
      <c r="M89" s="11"/>
      <c r="N89" s="9"/>
      <c r="O89" s="24"/>
      <c r="P89" s="9"/>
      <c r="Q89" s="24"/>
      <c r="R89" s="9"/>
      <c r="S89" s="24"/>
      <c r="T89" s="97"/>
      <c r="U89" s="24"/>
      <c r="V89" s="23" t="s">
        <v>5</v>
      </c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>
        <f t="shared" si="32"/>
        <v>0</v>
      </c>
      <c r="G90" s="9">
        <f t="shared" si="33"/>
        <v>0</v>
      </c>
      <c r="H90" s="9">
        <f t="shared" si="34"/>
        <v>0</v>
      </c>
      <c r="I90" s="9">
        <f t="shared" si="35"/>
        <v>0</v>
      </c>
      <c r="J90" s="9">
        <f t="shared" si="36"/>
        <v>0</v>
      </c>
      <c r="K90" s="9">
        <f t="shared" si="37"/>
        <v>0</v>
      </c>
      <c r="L90" s="9">
        <f t="shared" si="38"/>
        <v>0</v>
      </c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14"/>
      <c r="B91" s="15"/>
      <c r="C91" s="15"/>
      <c r="D91" s="15"/>
      <c r="E91" s="16"/>
      <c r="F91" s="15">
        <f t="shared" si="32"/>
        <v>0</v>
      </c>
      <c r="G91" s="15">
        <f t="shared" si="33"/>
        <v>0</v>
      </c>
      <c r="H91" s="15">
        <f t="shared" si="34"/>
        <v>0</v>
      </c>
      <c r="I91" s="15">
        <f t="shared" si="35"/>
        <v>0</v>
      </c>
      <c r="J91" s="15">
        <f t="shared" si="36"/>
        <v>0</v>
      </c>
      <c r="K91" s="15">
        <f t="shared" si="37"/>
        <v>0</v>
      </c>
      <c r="L91" s="15">
        <f t="shared" si="38"/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4"/>
    </row>
    <row r="92" spans="1:23" ht="17.149999999999999" customHeight="1" x14ac:dyDescent="0.35">
      <c r="A92" s="8" t="s">
        <v>82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 t="shared" si="32"/>
        <v>7.5231481481481471E-4</v>
      </c>
      <c r="G92" s="9">
        <f t="shared" si="33"/>
        <v>8.0805555555555546E-4</v>
      </c>
      <c r="H92" s="9">
        <f t="shared" si="34"/>
        <v>8.3333333333333328E-4</v>
      </c>
      <c r="I92" s="9">
        <f t="shared" si="35"/>
        <v>8.6887694145758646E-4</v>
      </c>
      <c r="J92" s="9">
        <f t="shared" si="36"/>
        <v>8.7832125603864715E-4</v>
      </c>
      <c r="K92" s="9">
        <f t="shared" si="37"/>
        <v>9.1824494949494938E-4</v>
      </c>
      <c r="L92" s="9">
        <f t="shared" si="38"/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53</v>
      </c>
      <c r="W92" s="104"/>
    </row>
    <row r="93" spans="1:23" ht="17.149999999999999" customHeight="1" x14ac:dyDescent="0.35">
      <c r="A93" s="8" t="s">
        <v>115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 t="shared" si="32"/>
        <v>7.8124999999999993E-4</v>
      </c>
      <c r="G93" s="9">
        <f t="shared" si="33"/>
        <v>8.6192592592592592E-4</v>
      </c>
      <c r="H93" s="9">
        <f t="shared" si="34"/>
        <v>8.8888888888888893E-4</v>
      </c>
      <c r="I93" s="9">
        <f t="shared" si="35"/>
        <v>9.2680207088809239E-4</v>
      </c>
      <c r="J93" s="9">
        <f t="shared" si="36"/>
        <v>9.3687600644122375E-4</v>
      </c>
      <c r="K93" s="9">
        <f t="shared" si="37"/>
        <v>9.7946127946127947E-4</v>
      </c>
      <c r="L93" s="9">
        <f t="shared" si="38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53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D97A-E731-4867-8109-9E545B06D6C0}">
  <sheetPr>
    <pageSetUpPr fitToPage="1"/>
  </sheetPr>
  <dimension ref="A1:W99"/>
  <sheetViews>
    <sheetView workbookViewId="0"/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customWidth="1"/>
    <col min="4" max="4" width="8.7265625" style="29" customWidth="1"/>
    <col min="5" max="5" width="9.26953125" customWidth="1"/>
    <col min="6" max="6" width="8.7265625" customWidth="1"/>
    <col min="7" max="7" width="9.26953125" customWidth="1"/>
    <col min="8" max="9" width="8.7265625" customWidth="1"/>
    <col min="10" max="10" width="10.7265625" customWidth="1"/>
    <col min="11" max="11" width="11.453125" customWidth="1"/>
    <col min="12" max="12" width="9.81640625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187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133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188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Table14610121424223234363840444850524811131517192123252729313337[[#This Row],[Thresh]]</f>
        <v>1.0712857744107744E-3</v>
      </c>
      <c r="N2" s="9">
        <f>Table14610121424223234363840444850524811131517192123252729313337[[#This Row],[Thresh]]*2</f>
        <v>2.1425715488215488E-3</v>
      </c>
      <c r="O2" s="12">
        <f>Table14610121424223234363840444850524811131517192123252729313337[[#This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Table14610121424223234363840444850524811131517192123252729313337[[#This Row],[Thresh]]</f>
        <v>1.1478061868686869E-3</v>
      </c>
      <c r="N3" s="9">
        <f>Table14610121424223234363840444850524811131517192123252729313337[[#This Row],[Thresh]]*2</f>
        <v>2.2956123737373738E-3</v>
      </c>
      <c r="O3" s="12">
        <f>Table14610121424223234363840444850524811131517192123252729313337[[#This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36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Table14610121424223234363840444850524811131517192123252729313337[[#This Row],[Thresh]]</f>
        <v>1.1478061868686869E-3</v>
      </c>
      <c r="N4" s="9">
        <f>Table14610121424223234363840444850524811131517192123252729313337[[#This Row],[Thresh]]*2</f>
        <v>2.2956123737373738E-3</v>
      </c>
      <c r="O4" s="12">
        <f>Table14610121424223234363840444850524811131517192123252729313337[[#This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13</v>
      </c>
      <c r="O6" s="15" t="s">
        <v>133</v>
      </c>
      <c r="P6" s="15"/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28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Table14610121424223234363840444850524811131517192123252729313337[[#This Row],[Thresh]]</f>
        <v>1.0304748877665545E-3</v>
      </c>
      <c r="N7" s="9">
        <f>Table14610121424223234363840444850524811131517192123252729313337[[#This Row],[Thresh]]*2</f>
        <v>2.0609497755331089E-3</v>
      </c>
      <c r="O7" s="12">
        <f>Table14610121424223234363840444850524811131517192123252729313337[[#This Row],[R]]/2</f>
        <v>4.1956018518518514E-4</v>
      </c>
      <c r="P7" s="9"/>
      <c r="Q7" s="12"/>
      <c r="R7" s="9"/>
      <c r="S7" s="12"/>
      <c r="T7" s="12"/>
      <c r="U7" s="9"/>
      <c r="V7" s="13" t="s">
        <v>30</v>
      </c>
      <c r="W7" s="108"/>
    </row>
    <row r="8" spans="1:23" ht="17.149999999999999" customHeight="1" x14ac:dyDescent="0.35">
      <c r="A8" s="8" t="s">
        <v>31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Table14610121424223234363840444850524811131517192123252729313337[[#This Row],[Thresh]]</f>
        <v>1.0304748877665545E-3</v>
      </c>
      <c r="N8" s="9">
        <f>Table14610121424223234363840444850524811131517192123252729313337[[#This Row],[Thresh]]*2</f>
        <v>2.0609497755331089E-3</v>
      </c>
      <c r="O8" s="12">
        <f>Table14610121424223234363840444850524811131517192123252729313337[[#This Row],[R]]/2</f>
        <v>4.1956018518518514E-4</v>
      </c>
      <c r="P8" s="9"/>
      <c r="Q8" s="12"/>
      <c r="R8" s="9"/>
      <c r="S8" s="12"/>
      <c r="T8" s="9"/>
      <c r="U8" s="9"/>
      <c r="V8" s="13" t="s">
        <v>30</v>
      </c>
      <c r="W8" s="108"/>
    </row>
    <row r="9" spans="1:23" ht="17.149999999999999" customHeight="1" x14ac:dyDescent="0.35">
      <c r="A9" s="8" t="s">
        <v>52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Table14610121424223234363840444850524811131517192123252729313337[[#This Row],[Thresh]]</f>
        <v>1.0406776094276093E-3</v>
      </c>
      <c r="N9" s="9">
        <f>Table14610121424223234363840444850524811131517192123252729313337[[#This Row],[Thresh]]*2</f>
        <v>2.0813552188552187E-3</v>
      </c>
      <c r="O9" s="12">
        <f>Table14610121424223234363840444850524811131517192123252729313337[[#This Row],[R]]/2</f>
        <v>4.3402777777777775E-4</v>
      </c>
      <c r="P9" s="9"/>
      <c r="Q9" s="12"/>
      <c r="R9" s="9"/>
      <c r="S9" s="12"/>
      <c r="T9" s="9"/>
      <c r="U9" s="9"/>
      <c r="V9" s="13" t="s">
        <v>30</v>
      </c>
      <c r="W9" s="108"/>
    </row>
    <row r="10" spans="1:23" ht="17.149999999999999" customHeight="1" x14ac:dyDescent="0.35">
      <c r="A10" s="8" t="s">
        <v>32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Table14610121424223234363840444850524811131517192123252729313337[[#This Row],[Thresh]]</f>
        <v>1.0916912177328843E-3</v>
      </c>
      <c r="N10" s="9">
        <f>Table14610121424223234363840444850524811131517192123252729313337[[#This Row],[Thresh]]*2</f>
        <v>2.1833824354657687E-3</v>
      </c>
      <c r="O10" s="12">
        <f>Table14610121424223234363840444850524811131517192123252729313337[[#This Row],[R]]/2</f>
        <v>4.4849537037037037E-4</v>
      </c>
      <c r="P10" s="9"/>
      <c r="Q10" s="12"/>
      <c r="R10" s="9"/>
      <c r="S10" s="12"/>
      <c r="T10" s="12"/>
      <c r="U10" s="9"/>
      <c r="V10" s="13" t="s">
        <v>30</v>
      </c>
      <c r="W10" s="104" t="s">
        <v>189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Table14610121424223234363840444850524811131517192123252729313337[[#This Row],[Thresh]]</f>
        <v>1.1478061868686869E-3</v>
      </c>
      <c r="N11" s="9">
        <f>Table14610121424223234363840444850524811131517192123252729313337[[#This Row],[Thresh]]*2</f>
        <v>2.2956123737373738E-3</v>
      </c>
      <c r="O11" s="12">
        <f>Table14610121424223234363840444850524811131517192123252729313337[[#This Row],[R]]/2</f>
        <v>4.6296296296296298E-4</v>
      </c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13</v>
      </c>
      <c r="O13" s="15" t="s">
        <v>142</v>
      </c>
      <c r="P13" s="15" t="s">
        <v>151</v>
      </c>
      <c r="Q13" s="15" t="s">
        <v>139</v>
      </c>
      <c r="R13" s="15" t="s">
        <v>136</v>
      </c>
      <c r="S13" s="15" t="s">
        <v>144</v>
      </c>
      <c r="T13" s="15" t="s">
        <v>133</v>
      </c>
      <c r="U13" s="15"/>
      <c r="V13" s="17"/>
      <c r="W13" s="104"/>
    </row>
    <row r="14" spans="1:23" ht="17.149999999999999" customHeight="1" x14ac:dyDescent="0.35">
      <c r="A14" s="8" t="s">
        <v>55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Table14610121424223234363840444850524811131517192123252729313337[[#This Row],[Thresh]]</f>
        <v>1.0202721661054994E-3</v>
      </c>
      <c r="N14" s="9">
        <f>Table14610121424223234363840444850524811131517192123252729313337[[#This Row],[Thresh]]*2</f>
        <v>2.0405443322109988E-3</v>
      </c>
      <c r="O14" s="12">
        <f>Table14610121424223234363840444850524811131517192123252729313337[[#This Row],[I]]</f>
        <v>9.2592592592592585E-4</v>
      </c>
      <c r="P14" s="9">
        <f>Table14610121424223234363840444850524811131517192123252729313337[[#This Row],[I]]*2</f>
        <v>1.8518518518518517E-3</v>
      </c>
      <c r="Q14" s="12">
        <f>Table14610121424223234363840444850524811131517192123252729313337[[#This Row],[VO2]]</f>
        <v>8.9783950617283942E-4</v>
      </c>
      <c r="R14" s="12">
        <f>Table14610121424223234363840444850524811131517192123252729313337[[#This Row],[CV]]</f>
        <v>9.7591250670960798E-4</v>
      </c>
      <c r="S14" s="12">
        <f>Table14610121424223234363840444850524811131517192123252729313337[[#This Row],[CV]]*2</f>
        <v>1.951825013419216E-3</v>
      </c>
      <c r="T14" s="12">
        <f>Table14610121424223234363840444850524811131517192123252729313337[[#This Row],[R]]/2</f>
        <v>4.3402777777777775E-4</v>
      </c>
      <c r="U14" s="9"/>
      <c r="V14" s="13" t="s">
        <v>34</v>
      </c>
      <c r="W14" s="104"/>
    </row>
    <row r="15" spans="1:23" ht="17.149999999999999" customHeight="1" x14ac:dyDescent="0.35">
      <c r="A15" s="8" t="s">
        <v>47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Table14610121424223234363840444850524811131517192123252729313337[[#This Row],[Thresh]]</f>
        <v>1.0814884960718295E-3</v>
      </c>
      <c r="N15" s="9">
        <f>Table14610121424223234363840444850524811131517192123252729313337[[#This Row],[Thresh]]*2</f>
        <v>2.1629769921436589E-3</v>
      </c>
      <c r="O15" s="12">
        <f>Table14610121424223234363840444850524811131517192123252729313337[[#This Row],[I]]</f>
        <v>9.8148148148148161E-4</v>
      </c>
      <c r="P15" s="9">
        <f>Table14610121424223234363840444850524811131517192123252729313337[[#This Row],[I]]*2</f>
        <v>1.9629629629629632E-3</v>
      </c>
      <c r="Q15" s="12">
        <f>Table14610121424223234363840444850524811131517192123252729313337[[#This Row],[VO2]]</f>
        <v>9.5170987654320989E-4</v>
      </c>
      <c r="R15" s="12">
        <f>Table14610121424223234363840444850524811131517192123252729313337[[#This Row],[CV]]</f>
        <v>1.0344672571121847E-3</v>
      </c>
      <c r="S15" s="12">
        <f>Table14610121424223234363840444850524811131517192123252729313337[[#This Row],[CV]]*2</f>
        <v>2.0689345142243694E-3</v>
      </c>
      <c r="T15" s="12">
        <f>Table14610121424223234363840444850524811131517192123252729313337[[#This Row],[R]]/2</f>
        <v>4.6296296296296293E-4</v>
      </c>
      <c r="U15" s="9"/>
      <c r="V15" s="13" t="s">
        <v>48</v>
      </c>
      <c r="W15" s="104"/>
    </row>
    <row r="16" spans="1:23" ht="17.149999999999999" customHeight="1" x14ac:dyDescent="0.35">
      <c r="A16" s="8" t="s">
        <v>49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Table14610121424223234363840444850524811131517192123252729313337[[#This Row],[Thresh]]</f>
        <v>1.0916912177328843E-3</v>
      </c>
      <c r="N16" s="9">
        <f>Table14610121424223234363840444850524811131517192123252729313337[[#This Row],[Thresh]]*2</f>
        <v>2.1833824354657687E-3</v>
      </c>
      <c r="O16" s="12">
        <f>Table14610121424223234363840444850524811131517192123252729313337[[#This Row],[I]]</f>
        <v>9.9074074074074082E-4</v>
      </c>
      <c r="P16" s="9">
        <f>Table14610121424223234363840444850524811131517192123252729313337[[#This Row],[I]]*2</f>
        <v>1.9814814814814816E-3</v>
      </c>
      <c r="Q16" s="12">
        <f>Table14610121424223234363840444850524811131517192123252729313337[[#This Row],[VO2]]</f>
        <v>9.6068827160493821E-4</v>
      </c>
      <c r="R16" s="12">
        <f>Table14610121424223234363840444850524811131517192123252729313337[[#This Row],[CV]]</f>
        <v>1.0442263821792807E-3</v>
      </c>
      <c r="S16" s="12">
        <f>Table14610121424223234363840444850524811131517192123252729313337[[#This Row],[CV]]*2</f>
        <v>2.0884527643585614E-3</v>
      </c>
      <c r="T16" s="12">
        <f>Table14610121424223234363840444850524811131517192123252729313337[[#This Row],[R]]/2</f>
        <v>4.6296296296296293E-4</v>
      </c>
      <c r="U16" s="9"/>
      <c r="V16" s="13" t="s">
        <v>34</v>
      </c>
      <c r="W16" s="104"/>
    </row>
    <row r="17" spans="1:23" ht="17.149999999999999" customHeight="1" x14ac:dyDescent="0.35">
      <c r="A17" s="8" t="s">
        <v>33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Table14610121424223234363840444850524811131517192123252729313337[[#This Row],[Thresh]]</f>
        <v>1.0916912177328843E-3</v>
      </c>
      <c r="N17" s="9">
        <f>Table14610121424223234363840444850524811131517192123252729313337[[#This Row],[Thresh]]*2</f>
        <v>2.1833824354657687E-3</v>
      </c>
      <c r="O17" s="12">
        <f>Table14610121424223234363840444850524811131517192123252729313337[[#This Row],[I]]</f>
        <v>9.9074074074074082E-4</v>
      </c>
      <c r="P17" s="9">
        <f>Table14610121424223234363840444850524811131517192123252729313337[[#This Row],[I]]*2</f>
        <v>1.9814814814814816E-3</v>
      </c>
      <c r="Q17" s="12">
        <f>Table14610121424223234363840444850524811131517192123252729313337[[#This Row],[VO2]]</f>
        <v>9.6068827160493821E-4</v>
      </c>
      <c r="R17" s="12">
        <f>Table14610121424223234363840444850524811131517192123252729313337[[#This Row],[CV]]</f>
        <v>1.0442263821792807E-3</v>
      </c>
      <c r="S17" s="12">
        <f>Table14610121424223234363840444850524811131517192123252729313337[[#This Row],[CV]]*2</f>
        <v>2.0884527643585614E-3</v>
      </c>
      <c r="T17" s="12">
        <f>Table14610121424223234363840444850524811131517192123252729313337[[#This Row],[R]]/2</f>
        <v>4.5572916666666662E-4</v>
      </c>
      <c r="U17" s="9"/>
      <c r="V17" s="13" t="s">
        <v>48</v>
      </c>
      <c r="W17" s="104"/>
    </row>
    <row r="18" spans="1:23" ht="17.149999999999999" customHeight="1" x14ac:dyDescent="0.35">
      <c r="A18" s="8" t="s">
        <v>51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Table14610121424223234363840444850524811131517192123252729313337[[#This Row],[Thresh]]</f>
        <v>1.1018939393939394E-3</v>
      </c>
      <c r="N18" s="9">
        <f>Table14610121424223234363840444850524811131517192123252729313337[[#This Row],[Thresh]]*2</f>
        <v>2.2037878787878789E-3</v>
      </c>
      <c r="O18" s="12">
        <f>Table14610121424223234363840444850524811131517192123252729313337[[#This Row],[I]]</f>
        <v>1E-3</v>
      </c>
      <c r="P18" s="9">
        <f>Table14610121424223234363840444850524811131517192123252729313337[[#This Row],[I]]*2</f>
        <v>2E-3</v>
      </c>
      <c r="Q18" s="12">
        <f>Table14610121424223234363840444850524811131517192123252729313337[[#This Row],[VO2]]</f>
        <v>9.6966666666666664E-4</v>
      </c>
      <c r="R18" s="12">
        <f>Table14610121424223234363840444850524811131517192123252729313337[[#This Row],[CV]]</f>
        <v>1.0539855072463768E-3</v>
      </c>
      <c r="S18" s="12">
        <f>Table14610121424223234363840444850524811131517192123252729313337[[#This Row],[CV]]*2</f>
        <v>2.1079710144927535E-3</v>
      </c>
      <c r="T18" s="12">
        <f>Table14610121424223234363840444850524811131517192123252729313337[[#This Row],[R]]/2</f>
        <v>4.6296296296296293E-4</v>
      </c>
      <c r="U18" s="9"/>
      <c r="V18" s="13" t="s">
        <v>48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190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56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57</v>
      </c>
      <c r="W21" s="104"/>
    </row>
    <row r="22" spans="1:23" ht="17.149999999999999" customHeight="1" x14ac:dyDescent="0.35">
      <c r="A22" s="8" t="s">
        <v>37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158</v>
      </c>
      <c r="W22" s="104"/>
    </row>
    <row r="23" spans="1:23" ht="17.149999999999999" customHeight="1" x14ac:dyDescent="0.35">
      <c r="A23" s="8" t="s">
        <v>39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158</v>
      </c>
      <c r="W23" s="104"/>
    </row>
    <row r="24" spans="1:23" ht="17.149999999999999" customHeight="1" x14ac:dyDescent="0.35">
      <c r="A24" s="8" t="s">
        <v>41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158</v>
      </c>
      <c r="W24" s="104"/>
    </row>
    <row r="25" spans="1:23" ht="17.149999999999999" customHeight="1" x14ac:dyDescent="0.35">
      <c r="A25" s="8" t="s">
        <v>42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158</v>
      </c>
      <c r="W25" s="104"/>
    </row>
    <row r="26" spans="1:23" ht="17.149999999999999" customHeight="1" x14ac:dyDescent="0.35">
      <c r="A26" s="8" t="s">
        <v>43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158</v>
      </c>
      <c r="W26" s="104"/>
    </row>
    <row r="27" spans="1:23" ht="17.149999999999999" customHeight="1" x14ac:dyDescent="0.35">
      <c r="A27" s="8" t="s">
        <v>44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158</v>
      </c>
      <c r="W27" s="104"/>
    </row>
    <row r="28" spans="1:23" ht="17.149999999999999" customHeight="1" x14ac:dyDescent="0.35">
      <c r="A28" s="8" t="s">
        <v>38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158</v>
      </c>
      <c r="W28" s="105" t="s">
        <v>191</v>
      </c>
    </row>
    <row r="29" spans="1:23" ht="17.149999999999999" customHeight="1" x14ac:dyDescent="0.35">
      <c r="A29" s="8" t="s">
        <v>50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158</v>
      </c>
      <c r="W29" s="105"/>
    </row>
    <row r="30" spans="1:23" ht="17.149999999999999" customHeight="1" x14ac:dyDescent="0.35">
      <c r="A30" s="8" t="s">
        <v>40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158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187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133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192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Table25711131525233335373941454951535912141618202224262830323438[[#This Row],[Thresh]]</f>
        <v>9.1824494949494938E-4</v>
      </c>
      <c r="N35" s="9">
        <f>Table25711131525233335373941454951535912141618202224262830323438[[#This Row],[Thresh]]*2</f>
        <v>1.8364898989898988E-3</v>
      </c>
      <c r="O35" s="24">
        <f>Table25711131525233335373941454951535912141618202224262830323438[[#This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49999999999999" customHeight="1" x14ac:dyDescent="0.35">
      <c r="A36" s="8" t="s">
        <v>65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Table25711131525233335373941454951535912141618202224262830323438[[#This Row],[Thresh]]</f>
        <v>9.1824494949494938E-4</v>
      </c>
      <c r="N36" s="9">
        <f>Table25711131525233335373941454951535912141618202224262830323438[[#This Row],[Thresh]]*2</f>
        <v>1.8364898989898988E-3</v>
      </c>
      <c r="O36" s="24">
        <f>Table25711131525233335373941454951535912141618202224262830323438[[#This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Table25711131525233335373941454951535912141618202224262830323438[[#This Row],[Thresh]]</f>
        <v>9.5905583613916951E-4</v>
      </c>
      <c r="N37" s="9">
        <f>Table25711131525233335373941454951535912141618202224262830323438[[#This Row],[Thresh]]*2</f>
        <v>1.918111672278339E-3</v>
      </c>
      <c r="O37" s="24">
        <f>Table25711131525233335373941454951535912141618202224262830323438[[#This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Table25711131525233335373941454951535912141618202224262830323438[[#This Row],[Thresh]]</f>
        <v>9.5905583613916951E-4</v>
      </c>
      <c r="N38" s="9">
        <f>Table25711131525233335373941454951535912141618202224262830323438[[#This Row],[Thresh]]*2</f>
        <v>1.918111672278339E-3</v>
      </c>
      <c r="O38" s="24">
        <f>Table25711131525233335373941454951535912141618202224262830323438[[#This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75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Table25711131525233335373941454951535912141618202224262830323438[[#This Row],[Thresh]]</f>
        <v>9.5905583613916951E-4</v>
      </c>
      <c r="N39" s="9">
        <f>Table25711131525233335373941454951535912141618202224262830323438[[#This Row],[Thresh]]*2</f>
        <v>1.918111672278339E-3</v>
      </c>
      <c r="O39" s="24">
        <f>Table25711131525233335373941454951535912141618202224262830323438[[#This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8"/>
    </row>
    <row r="41" spans="1:23" ht="17.149999999999999" customHeight="1" x14ac:dyDescent="0.35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13</v>
      </c>
      <c r="O41" s="15" t="s">
        <v>133</v>
      </c>
      <c r="P41" s="15"/>
      <c r="Q41" s="15"/>
      <c r="R41" s="15"/>
      <c r="S41" s="15"/>
      <c r="T41" s="15"/>
      <c r="U41" s="15"/>
      <c r="V41" s="17"/>
      <c r="W41" s="108"/>
    </row>
    <row r="42" spans="1:23" ht="17.149999999999999" customHeight="1" x14ac:dyDescent="0.35">
      <c r="A42" s="8" t="s">
        <v>70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Table25711131525233335373941454951535912141618202224262830323438[[#This Row],[Thresh]]</f>
        <v>8.6212998035914683E-4</v>
      </c>
      <c r="N42" s="9">
        <f>Table25711131525233335373941454951535912141618202224262830323438[[#This Row],[Thresh]]*2.5</f>
        <v>2.1553249508978671E-3</v>
      </c>
      <c r="O42" s="24">
        <f>Table25711131525233335373941454951535912141618202224262830323438[[#This Row],[R]]/2</f>
        <v>3.5156249999999993E-4</v>
      </c>
      <c r="P42" s="9"/>
      <c r="Q42" s="24"/>
      <c r="R42" s="9"/>
      <c r="S42" s="12"/>
      <c r="T42" s="25"/>
      <c r="V42" s="23" t="s">
        <v>30</v>
      </c>
      <c r="W42" s="108"/>
    </row>
    <row r="43" spans="1:23" ht="17.149999999999999" customHeight="1" x14ac:dyDescent="0.35">
      <c r="A43" s="8" t="s">
        <v>72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Table25711131525233335373941454951535912141618202224262830323438[[#This Row],[Thresh]]</f>
        <v>8.9273814534231199E-4</v>
      </c>
      <c r="N43" s="9">
        <f>Table25711131525233335373941454951535912141618202224262830323438[[#This Row],[Thresh]]*2.5</f>
        <v>2.23184536335578E-3</v>
      </c>
      <c r="O43" s="24">
        <f>Table25711131525233335373941454951535912141618202224262830323438[[#This Row],[R]]/2</f>
        <v>3.6168981481481485E-4</v>
      </c>
      <c r="P43" s="9"/>
      <c r="Q43" s="24"/>
      <c r="R43" s="9"/>
      <c r="S43" s="12"/>
      <c r="T43" s="25"/>
      <c r="V43" s="23" t="s">
        <v>30</v>
      </c>
      <c r="W43" s="104" t="s">
        <v>193</v>
      </c>
    </row>
    <row r="44" spans="1:23" ht="17.149999999999999" customHeight="1" x14ac:dyDescent="0.35">
      <c r="A44" s="8" t="s">
        <v>71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Table25711131525233335373941454951535912141618202224262830323438[[#This Row],[Thresh]]</f>
        <v>8.825354236812569E-4</v>
      </c>
      <c r="N44" s="9">
        <f>Table25711131525233335373941454951535912141618202224262830323438[[#This Row],[Thresh]]*2.5</f>
        <v>2.2063385592031421E-3</v>
      </c>
      <c r="O44" s="24">
        <f>Table25711131525233335373941454951535912141618202224262830323438[[#This Row],[R]]/2</f>
        <v>3.6168981481481485E-4</v>
      </c>
      <c r="P44" s="9"/>
      <c r="Q44" s="24"/>
      <c r="R44" s="9"/>
      <c r="S44" s="24"/>
      <c r="T44" s="24"/>
      <c r="U44" s="24"/>
      <c r="V44" s="23" t="s">
        <v>30</v>
      </c>
      <c r="W44" s="104"/>
    </row>
    <row r="45" spans="1:23" ht="17.149999999999999" customHeight="1" x14ac:dyDescent="0.35">
      <c r="A45" s="8" t="s">
        <v>73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Table25711131525233335373941454951535912141618202224262830323438[[#This Row],[Thresh]]</f>
        <v>8.825354236812569E-4</v>
      </c>
      <c r="N45" s="9">
        <f>Table25711131525233335373941454951535912141618202224262830323438[[#This Row],[Thresh]]*2.5</f>
        <v>2.2063385592031421E-3</v>
      </c>
      <c r="O45" s="24">
        <f>Table25711131525233335373941454951535912141618202224262830323438[[#This Row],[R]]/2</f>
        <v>3.6168981481481485E-4</v>
      </c>
      <c r="P45" s="9"/>
      <c r="Q45" s="24"/>
      <c r="R45" s="9"/>
      <c r="S45" s="24"/>
      <c r="T45" s="24"/>
      <c r="U45" s="24"/>
      <c r="V45" s="23" t="s">
        <v>30</v>
      </c>
      <c r="W45" s="104"/>
    </row>
    <row r="46" spans="1:23" ht="17.149999999999999" customHeight="1" x14ac:dyDescent="0.35">
      <c r="A46" s="8" t="s">
        <v>74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Table25711131525233335373941454951535912141618202224262830323438[[#This Row],[Thresh]]</f>
        <v>9.0294086700336686E-4</v>
      </c>
      <c r="N46" s="9">
        <f>Table25711131525233335373941454951535912141618202224262830323438[[#This Row],[Thresh]]*2.5</f>
        <v>2.2573521675084171E-3</v>
      </c>
      <c r="O46" s="24">
        <f>Table25711131525233335373941454951535912141618202224262830323438[[#This Row],[R]]/2</f>
        <v>3.689236111111111E-4</v>
      </c>
      <c r="P46" s="9"/>
      <c r="Q46" s="24"/>
      <c r="R46" s="9"/>
      <c r="S46" s="12"/>
      <c r="T46" s="25"/>
      <c r="V46" s="23" t="s">
        <v>30</v>
      </c>
      <c r="W46" s="104"/>
    </row>
    <row r="47" spans="1:23" ht="17.149999999999999" customHeight="1" x14ac:dyDescent="0.35">
      <c r="A47" s="8" t="s">
        <v>76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Table25711131525233335373941454951535912141618202224262830323438[[#This Row],[Thresh]]</f>
        <v>8.825354236812569E-4</v>
      </c>
      <c r="N47" s="9">
        <f>Table25711131525233335373941454951535912141618202224262830323438[[#This Row],[Thresh]]*2.5</f>
        <v>2.2063385592031421E-3</v>
      </c>
      <c r="O47" s="24">
        <f>Table25711131525233335373941454951535912141618202224262830323438[[#This Row],[R]]/2</f>
        <v>3.689236111111111E-4</v>
      </c>
      <c r="P47" s="9"/>
      <c r="Q47" s="24"/>
      <c r="R47" s="9"/>
      <c r="S47" s="24"/>
      <c r="T47" s="24"/>
      <c r="U47" s="24"/>
      <c r="V47" s="23" t="s">
        <v>30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58</v>
      </c>
      <c r="O49" s="15" t="s">
        <v>142</v>
      </c>
      <c r="P49" s="15" t="s">
        <v>194</v>
      </c>
      <c r="Q49" s="15" t="s">
        <v>195</v>
      </c>
      <c r="R49" s="15" t="s">
        <v>196</v>
      </c>
      <c r="S49" s="15" t="s">
        <v>136</v>
      </c>
      <c r="T49" s="15" t="s">
        <v>152</v>
      </c>
      <c r="U49" s="15" t="s">
        <v>133</v>
      </c>
      <c r="V49" s="17"/>
      <c r="W49" s="104"/>
    </row>
    <row r="50" spans="1:23" ht="17.149999999999999" customHeight="1" x14ac:dyDescent="0.35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Table25711131525233335373941454951535912141618202224262830323438[[#This Row],[Thresh]]</f>
        <v>8.825354236812569E-4</v>
      </c>
      <c r="N50" s="9">
        <f>Table25711131525233335373941454951535912141618202224262830323438[[#This Row],[Thresh]]*2.5</f>
        <v>2.2063385592031421E-3</v>
      </c>
      <c r="O50" s="24">
        <f>Table25711131525233335373941454951535912141618202224262830323438[[#This Row],[I]]</f>
        <v>8.0092592592592585E-4</v>
      </c>
      <c r="P50" s="9">
        <f>Table25711131525233335373941454951535912141618202224262830323438[[#This Row],[I]]*2.5</f>
        <v>2.0023148148148144E-3</v>
      </c>
      <c r="Q50" s="24">
        <f>Table25711131525233335373941454951535912141618202224262830323438[[#This Row],[VO2]]</f>
        <v>7.7663117283950612E-4</v>
      </c>
      <c r="R50" s="9">
        <f>Table25711131525233335373941454951535912141618202224262830323438[[#This Row],[VO2]]*1.5</f>
        <v>1.1649467592592592E-3</v>
      </c>
      <c r="S50" s="24">
        <f>Table25711131525233335373941454951535912141618202224262830323438[[#This Row],[CV]]</f>
        <v>8.4416431830381094E-4</v>
      </c>
      <c r="T50" s="97">
        <f>Table25711131525233335373941454951535912141618202224262830323438[[#This Row],[CV]]*2.5</f>
        <v>2.1104107957595273E-3</v>
      </c>
      <c r="U50" s="24">
        <f>Table25711131525233335373941454951535912141618202224262830323438[[#This Row],[R]]/2</f>
        <v>3.689236111111111E-4</v>
      </c>
      <c r="V50" s="23" t="s">
        <v>34</v>
      </c>
      <c r="W50" s="104"/>
    </row>
    <row r="51" spans="1:23" ht="17.149999999999999" customHeight="1" x14ac:dyDescent="0.35">
      <c r="A51" s="8" t="s">
        <v>97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Table25711131525233335373941454951535912141618202224262830323438[[#This Row],[Thresh]]</f>
        <v>8.825354236812569E-4</v>
      </c>
      <c r="N51" s="9">
        <f>Table25711131525233335373941454951535912141618202224262830323438[[#This Row],[Thresh]]*2.5</f>
        <v>2.2063385592031421E-3</v>
      </c>
      <c r="O51" s="24">
        <f>Table25711131525233335373941454951535912141618202224262830323438[[#This Row],[I]]</f>
        <v>8.0092592592592585E-4</v>
      </c>
      <c r="P51" s="9">
        <f>Table25711131525233335373941454951535912141618202224262830323438[[#This Row],[I]]*2.5</f>
        <v>2.0023148148148144E-3</v>
      </c>
      <c r="Q51" s="24">
        <f>Table25711131525233335373941454951535912141618202224262830323438[[#This Row],[VO2]]</f>
        <v>7.7663117283950612E-4</v>
      </c>
      <c r="R51" s="9">
        <f>Table25711131525233335373941454951535912141618202224262830323438[[#This Row],[VO2]]*1.5</f>
        <v>1.1649467592592592E-3</v>
      </c>
      <c r="S51" s="24">
        <f>Table25711131525233335373941454951535912141618202224262830323438[[#This Row],[CV]]</f>
        <v>8.4416431830381094E-4</v>
      </c>
      <c r="T51" s="97">
        <f>Table25711131525233335373941454951535912141618202224262830323438[[#This Row],[CV]]*2.5</f>
        <v>2.1104107957595273E-3</v>
      </c>
      <c r="U51" s="24">
        <f>Table25711131525233335373941454951535912141618202224262830323438[[#This Row],[R]]/2</f>
        <v>3.7181712962962966E-4</v>
      </c>
      <c r="V51" s="23" t="s">
        <v>34</v>
      </c>
      <c r="W51" s="104"/>
    </row>
    <row r="52" spans="1:23" ht="17.149999999999999" customHeight="1" x14ac:dyDescent="0.35">
      <c r="A52" s="8" t="s">
        <v>98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Table25711131525233335373941454951535912141618202224262830323438[[#This Row],[Thresh]]</f>
        <v>9.0294086700336686E-4</v>
      </c>
      <c r="N52" s="9">
        <f>Table25711131525233335373941454951535912141618202224262830323438[[#This Row],[Thresh]]*2.5</f>
        <v>2.2573521675084171E-3</v>
      </c>
      <c r="O52" s="24">
        <f>Table25711131525233335373941454951535912141618202224262830323438[[#This Row],[I]]</f>
        <v>8.1944444444444447E-4</v>
      </c>
      <c r="P52" s="9">
        <f>Table25711131525233335373941454951535912141618202224262830323438[[#This Row],[I]]*2.5</f>
        <v>2.0486111111111113E-3</v>
      </c>
      <c r="Q52" s="24">
        <f>Table25711131525233335373941454951535912141618202224262830323438[[#This Row],[VO2]]</f>
        <v>7.9458796296296287E-4</v>
      </c>
      <c r="R52" s="9">
        <f>Table25711131525233335373941454951535912141618202224262830323438[[#This Row],[VO2]]*1.5</f>
        <v>1.1918819444444442E-3</v>
      </c>
      <c r="S52" s="24">
        <f>Table25711131525233335373941454951535912141618202224262830323438[[#This Row],[CV]]</f>
        <v>8.636825684380031E-4</v>
      </c>
      <c r="T52" s="97">
        <f>Table25711131525233335373941454951535912141618202224262830323438[[#This Row],[CV]]*2.5</f>
        <v>2.1592064210950077E-3</v>
      </c>
      <c r="U52" s="24">
        <f>Table25711131525233335373941454951535912141618202224262830323438[[#This Row],[R]]/2</f>
        <v>3.7615740740740735E-4</v>
      </c>
      <c r="V52" s="23" t="s">
        <v>34</v>
      </c>
      <c r="W52" s="104" t="s">
        <v>197</v>
      </c>
    </row>
    <row r="53" spans="1:23" ht="17.149999999999999" customHeight="1" x14ac:dyDescent="0.35">
      <c r="A53" s="8" t="s">
        <v>100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Table25711131525233335373941454951535912141618202224262830323438[[#This Row],[Thresh]]</f>
        <v>9.0294086700336686E-4</v>
      </c>
      <c r="N53" s="9">
        <f>Table25711131525233335373941454951535912141618202224262830323438[[#This Row],[Thresh]]*2.5</f>
        <v>2.2573521675084171E-3</v>
      </c>
      <c r="O53" s="24">
        <f>Table25711131525233335373941454951535912141618202224262830323438[[#This Row],[I]]</f>
        <v>8.1944444444444447E-4</v>
      </c>
      <c r="P53" s="9">
        <f>Table25711131525233335373941454951535912141618202224262830323438[[#This Row],[I]]*2.5</f>
        <v>2.0486111111111113E-3</v>
      </c>
      <c r="Q53" s="24">
        <f>Table25711131525233335373941454951535912141618202224262830323438[[#This Row],[VO2]]</f>
        <v>7.9458796296296287E-4</v>
      </c>
      <c r="R53" s="9">
        <f>Table25711131525233335373941454951535912141618202224262830323438[[#This Row],[VO2]]*1.5</f>
        <v>1.1918819444444442E-3</v>
      </c>
      <c r="S53" s="24">
        <f>Table25711131525233335373941454951535912141618202224262830323438[[#This Row],[CV]]</f>
        <v>8.636825684380031E-4</v>
      </c>
      <c r="T53" s="97">
        <f>Table25711131525233335373941454951535912141618202224262830323438[[#This Row],[CV]]*2.5</f>
        <v>2.1592064210950077E-3</v>
      </c>
      <c r="U53" s="24">
        <f>Table25711131525233335373941454951535912141618202224262830323438[[#This Row],[R]]/2</f>
        <v>3.7181712962962966E-4</v>
      </c>
      <c r="V53" s="23" t="s">
        <v>34</v>
      </c>
      <c r="W53" s="104"/>
    </row>
    <row r="54" spans="1:23" ht="17.149999999999999" customHeight="1" x14ac:dyDescent="0.35">
      <c r="A54" s="8" t="s">
        <v>78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Table25711131525233335373941454951535912141618202224262830323438[[#This Row],[Thresh]]</f>
        <v>9.0294086700336686E-4</v>
      </c>
      <c r="N54" s="9">
        <f>Table25711131525233335373941454951535912141618202224262830323438[[#This Row],[Thresh]]*2.5</f>
        <v>2.2573521675084171E-3</v>
      </c>
      <c r="O54" s="24">
        <f>Table25711131525233335373941454951535912141618202224262830323438[[#This Row],[I]]</f>
        <v>8.1944444444444447E-4</v>
      </c>
      <c r="P54" s="9">
        <f>Table25711131525233335373941454951535912141618202224262830323438[[#This Row],[I]]*2.5</f>
        <v>2.0486111111111113E-3</v>
      </c>
      <c r="Q54" s="24">
        <f>Table25711131525233335373941454951535912141618202224262830323438[[#This Row],[VO2]]</f>
        <v>7.9458796296296287E-4</v>
      </c>
      <c r="R54" s="9">
        <f>Table25711131525233335373941454951535912141618202224262830323438[[#This Row],[VO2]]*1.5</f>
        <v>1.1918819444444442E-3</v>
      </c>
      <c r="S54" s="24">
        <f>Table25711131525233335373941454951535912141618202224262830323438[[#This Row],[CV]]</f>
        <v>8.636825684380031E-4</v>
      </c>
      <c r="T54" s="97">
        <f>Table25711131525233335373941454951535912141618202224262830323438[[#This Row],[CV]]*2.5</f>
        <v>2.1592064210950077E-3</v>
      </c>
      <c r="U54" s="24">
        <f>Table25711131525233335373941454951535912141618202224262830323438[[#This Row],[R]]/2</f>
        <v>3.7181712962962966E-4</v>
      </c>
      <c r="V54" s="23" t="s">
        <v>48</v>
      </c>
      <c r="W54" s="104"/>
    </row>
    <row r="55" spans="1:23" ht="17.149999999999999" customHeight="1" x14ac:dyDescent="0.35">
      <c r="A55" s="8" t="s">
        <v>101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Table25711131525233335373941454951535912141618202224262830323438[[#This Row],[Thresh]]</f>
        <v>9.0294086700336686E-4</v>
      </c>
      <c r="N55" s="9">
        <f>Table25711131525233335373941454951535912141618202224262830323438[[#This Row],[Thresh]]*2.5</f>
        <v>2.2573521675084171E-3</v>
      </c>
      <c r="O55" s="24">
        <f>Table25711131525233335373941454951535912141618202224262830323438[[#This Row],[I]]</f>
        <v>8.1944444444444447E-4</v>
      </c>
      <c r="P55" s="9">
        <f>Table25711131525233335373941454951535912141618202224262830323438[[#This Row],[I]]*2.5</f>
        <v>2.0486111111111113E-3</v>
      </c>
      <c r="Q55" s="24">
        <f>Table25711131525233335373941454951535912141618202224262830323438[[#This Row],[VO2]]</f>
        <v>7.9458796296296287E-4</v>
      </c>
      <c r="R55" s="9">
        <f>Table25711131525233335373941454951535912141618202224262830323438[[#This Row],[VO2]]*1.5</f>
        <v>1.1918819444444442E-3</v>
      </c>
      <c r="S55" s="24">
        <f>Table25711131525233335373941454951535912141618202224262830323438[[#This Row],[CV]]</f>
        <v>8.636825684380031E-4</v>
      </c>
      <c r="T55" s="97">
        <f>Table25711131525233335373941454951535912141618202224262830323438[[#This Row],[CV]]*2.5</f>
        <v>2.1592064210950077E-3</v>
      </c>
      <c r="U55" s="24">
        <f>Table25711131525233335373941454951535912141618202224262830323438[[#This Row],[R]]/2</f>
        <v>3.8339120370370371E-4</v>
      </c>
      <c r="V55" s="23" t="s">
        <v>34</v>
      </c>
      <c r="W55" s="104"/>
    </row>
    <row r="56" spans="1:23" ht="17.149999999999999" customHeight="1" x14ac:dyDescent="0.35">
      <c r="A56" s="8" t="s">
        <v>99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Table25711131525233335373941454951535912141618202224262830323438[[#This Row],[Thresh]]</f>
        <v>9.0294086700336686E-4</v>
      </c>
      <c r="N56" s="9">
        <f>Table25711131525233335373941454951535912141618202224262830323438[[#This Row],[Thresh]]*2.5</f>
        <v>2.2573521675084171E-3</v>
      </c>
      <c r="O56" s="24">
        <f>Table25711131525233335373941454951535912141618202224262830323438[[#This Row],[I]]</f>
        <v>8.1944444444444447E-4</v>
      </c>
      <c r="P56" s="9">
        <f>Table25711131525233335373941454951535912141618202224262830323438[[#This Row],[I]]*2.5</f>
        <v>2.0486111111111113E-3</v>
      </c>
      <c r="Q56" s="24">
        <f>Table25711131525233335373941454951535912141618202224262830323438[[#This Row],[VO2]]</f>
        <v>7.9458796296296287E-4</v>
      </c>
      <c r="R56" s="9">
        <f>Table25711131525233335373941454951535912141618202224262830323438[[#This Row],[VO2]]*1.5</f>
        <v>1.1918819444444442E-3</v>
      </c>
      <c r="S56" s="24">
        <f>Table25711131525233335373941454951535912141618202224262830323438[[#This Row],[CV]]</f>
        <v>8.636825684380031E-4</v>
      </c>
      <c r="T56" s="97">
        <f>Table25711131525233335373941454951535912141618202224262830323438[[#This Row],[CV]]*2.5</f>
        <v>2.1592064210950077E-3</v>
      </c>
      <c r="U56" s="24">
        <f>Table25711131525233335373941454951535912141618202224262830323438[[#This Row],[R]]/2</f>
        <v>3.7615740740740735E-4</v>
      </c>
      <c r="V56" s="23" t="s">
        <v>48</v>
      </c>
      <c r="W56" s="104"/>
    </row>
    <row r="57" spans="1:23" ht="17.149999999999999" customHeight="1" x14ac:dyDescent="0.35">
      <c r="A57" s="8" t="s">
        <v>80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Table25711131525233335373941454951535912141618202224262830323438[[#This Row],[Thresh]]</f>
        <v>9.1824494949494938E-4</v>
      </c>
      <c r="N57" s="9">
        <f>Table25711131525233335373941454951535912141618202224262830323438[[#This Row],[Thresh]]*2.5</f>
        <v>2.2956123737373733E-3</v>
      </c>
      <c r="O57" s="24">
        <f>Table25711131525233335373941454951535912141618202224262830323438[[#This Row],[I]]</f>
        <v>8.3333333333333328E-4</v>
      </c>
      <c r="P57" s="9">
        <f>Table25711131525233335373941454951535912141618202224262830323438[[#This Row],[I]]*2.5</f>
        <v>2.0833333333333333E-3</v>
      </c>
      <c r="Q57" s="24">
        <f>Table25711131525233335373941454951535912141618202224262830323438[[#This Row],[VO2]]</f>
        <v>8.0805555555555546E-4</v>
      </c>
      <c r="R57" s="9">
        <f>Table25711131525233335373941454951535912141618202224262830323438[[#This Row],[VO2]]*1.5</f>
        <v>1.2120833333333332E-3</v>
      </c>
      <c r="S57" s="24">
        <f>Table25711131525233335373941454951535912141618202224262830323438[[#This Row],[CV]]</f>
        <v>8.7832125603864715E-4</v>
      </c>
      <c r="T57" s="97">
        <f>Table25711131525233335373941454951535912141618202224262830323438[[#This Row],[CV]]*2.5</f>
        <v>2.195803140096618E-3</v>
      </c>
      <c r="U57" s="24">
        <f>Table25711131525233335373941454951535912141618202224262830323438[[#This Row],[R]]/2</f>
        <v>3.7615740740740735E-4</v>
      </c>
      <c r="V57" s="23" t="s">
        <v>34</v>
      </c>
      <c r="W57" s="104"/>
    </row>
    <row r="58" spans="1:23" ht="17.149999999999999" customHeight="1" x14ac:dyDescent="0.35">
      <c r="A58" s="8" t="s">
        <v>82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Table25711131525233335373941454951535912141618202224262830323438[[#This Row],[Thresh]]</f>
        <v>9.1824494949494938E-4</v>
      </c>
      <c r="N58" s="9">
        <f>Table25711131525233335373941454951535912141618202224262830323438[[#This Row],[Thresh]]*2.5</f>
        <v>2.2956123737373733E-3</v>
      </c>
      <c r="O58" s="24">
        <f>Table25711131525233335373941454951535912141618202224262830323438[[#This Row],[I]]</f>
        <v>8.3333333333333328E-4</v>
      </c>
      <c r="P58" s="9">
        <f>Table25711131525233335373941454951535912141618202224262830323438[[#This Row],[I]]*2.5</f>
        <v>2.0833333333333333E-3</v>
      </c>
      <c r="Q58" s="24">
        <f>Table25711131525233335373941454951535912141618202224262830323438[[#This Row],[VO2]]</f>
        <v>8.0805555555555546E-4</v>
      </c>
      <c r="R58" s="9">
        <f>Table25711131525233335373941454951535912141618202224262830323438[[#This Row],[VO2]]*1.5</f>
        <v>1.2120833333333332E-3</v>
      </c>
      <c r="S58" s="24">
        <f>Table25711131525233335373941454951535912141618202224262830323438[[#This Row],[CV]]</f>
        <v>8.7832125603864715E-4</v>
      </c>
      <c r="T58" s="97">
        <f>Table25711131525233335373941454951535912141618202224262830323438[[#This Row],[CV]]*2.5</f>
        <v>2.195803140096618E-3</v>
      </c>
      <c r="U58" s="24">
        <f>Table25711131525233335373941454951535912141618202224262830323438[[#This Row],[R]]/2</f>
        <v>3.7615740740740735E-4</v>
      </c>
      <c r="V58" s="23" t="s">
        <v>48</v>
      </c>
      <c r="W58" s="104"/>
    </row>
    <row r="59" spans="1:23" ht="17.149999999999999" customHeight="1" x14ac:dyDescent="0.35">
      <c r="A59" s="8" t="s">
        <v>102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Table25711131525233335373941454951535912141618202224262830323438[[#This Row],[Thresh]]</f>
        <v>9.2334631032547692E-4</v>
      </c>
      <c r="N59" s="9">
        <f>Table25711131525233335373941454951535912141618202224262830323438[[#This Row],[Thresh]]*2.5</f>
        <v>2.3083657758136925E-3</v>
      </c>
      <c r="O59" s="24">
        <f>Table25711131525233335373941454951535912141618202224262830323438[[#This Row],[I]]</f>
        <v>8.3796296296296299E-4</v>
      </c>
      <c r="P59" s="9">
        <f>Table25711131525233335373941454951535912141618202224262830323438[[#This Row],[I]]*2.5</f>
        <v>2.0949074074074073E-3</v>
      </c>
      <c r="Q59" s="24">
        <f>Table25711131525233335373941454951535912141618202224262830323438[[#This Row],[VO2]]</f>
        <v>8.1254475308641973E-4</v>
      </c>
      <c r="R59" s="9">
        <f>Table25711131525233335373941454951535912141618202224262830323438[[#This Row],[VO2]]*1.5</f>
        <v>1.2188171296296296E-3</v>
      </c>
      <c r="S59" s="24">
        <f>Table25711131525233335373941454951535912141618202224262830323438[[#This Row],[CV]]</f>
        <v>8.8320081857219527E-4</v>
      </c>
      <c r="T59" s="97">
        <f>Table25711131525233335373941454951535912141618202224262830323438[[#This Row],[CV]]*2.5</f>
        <v>2.2080020464304881E-3</v>
      </c>
      <c r="U59" s="24">
        <f>Table25711131525233335373941454951535912141618202224262830323438[[#This Row],[R]]/2</f>
        <v>3.8339120370370371E-4</v>
      </c>
      <c r="V59" s="23" t="s">
        <v>48</v>
      </c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5" t="s">
        <v>198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187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64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158</v>
      </c>
      <c r="W68" s="108"/>
    </row>
    <row r="69" spans="1:23" ht="17.149999999999999" customHeight="1" x14ac:dyDescent="0.35">
      <c r="A69" s="8" t="s">
        <v>66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158</v>
      </c>
      <c r="W69" s="108"/>
    </row>
    <row r="70" spans="1:23" ht="17.149999999999999" customHeight="1" x14ac:dyDescent="0.35">
      <c r="A70" s="8" t="s">
        <v>67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158</v>
      </c>
      <c r="W70" s="108"/>
    </row>
    <row r="71" spans="1:23" ht="17.149999999999999" customHeight="1" x14ac:dyDescent="0.35">
      <c r="A71" s="8" t="s">
        <v>68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158</v>
      </c>
      <c r="W71" s="108"/>
    </row>
    <row r="72" spans="1:23" ht="17.149999999999999" customHeight="1" x14ac:dyDescent="0.35">
      <c r="A72" s="8" t="s">
        <v>112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158</v>
      </c>
      <c r="W72" s="108"/>
    </row>
    <row r="73" spans="1:23" ht="17.149999999999999" customHeight="1" x14ac:dyDescent="0.35">
      <c r="A73" s="8" t="s">
        <v>81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158</v>
      </c>
      <c r="W73" s="108"/>
    </row>
    <row r="74" spans="1:23" ht="17.149999999999999" customHeight="1" x14ac:dyDescent="0.35">
      <c r="A74" s="8" t="s">
        <v>86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158</v>
      </c>
      <c r="W74" s="108"/>
    </row>
    <row r="75" spans="1:23" ht="17.149999999999999" customHeight="1" x14ac:dyDescent="0.35">
      <c r="A75" s="8" t="s">
        <v>83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158</v>
      </c>
      <c r="W75" s="108"/>
    </row>
    <row r="76" spans="1:23" ht="17.149999999999999" customHeight="1" x14ac:dyDescent="0.35">
      <c r="A76" s="8" t="s">
        <v>92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158</v>
      </c>
      <c r="W76" s="104"/>
    </row>
    <row r="77" spans="1:23" ht="17.149999999999999" customHeight="1" x14ac:dyDescent="0.35">
      <c r="A77" s="8" t="s">
        <v>91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158</v>
      </c>
      <c r="W77" s="104"/>
    </row>
    <row r="78" spans="1:23" ht="17.149999999999999" customHeight="1" x14ac:dyDescent="0.35">
      <c r="A78" s="8" t="s">
        <v>93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158</v>
      </c>
      <c r="W78" s="104"/>
    </row>
    <row r="79" spans="1:23" ht="17.149999999999999" customHeight="1" x14ac:dyDescent="0.35">
      <c r="A79" s="8" t="s">
        <v>94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158</v>
      </c>
      <c r="W79" s="104"/>
    </row>
    <row r="80" spans="1:23" ht="17.149999999999999" customHeight="1" x14ac:dyDescent="0.35">
      <c r="A80" s="8" t="s">
        <v>85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158</v>
      </c>
      <c r="W80" s="104"/>
    </row>
    <row r="81" spans="1:23" ht="17.149999999999999" customHeight="1" x14ac:dyDescent="0.35">
      <c r="A81" s="8" t="s">
        <v>113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158</v>
      </c>
      <c r="W81" s="104"/>
    </row>
    <row r="82" spans="1:23" ht="17.149999999999999" customHeight="1" x14ac:dyDescent="0.35">
      <c r="A82" s="8" t="s">
        <v>77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158</v>
      </c>
      <c r="W82" s="104"/>
    </row>
    <row r="83" spans="1:23" ht="17.149999999999999" customHeight="1" x14ac:dyDescent="0.35">
      <c r="A83" s="8" t="s">
        <v>84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158</v>
      </c>
      <c r="W83" s="104"/>
    </row>
    <row r="84" spans="1:23" ht="17.149999999999999" customHeight="1" x14ac:dyDescent="0.35">
      <c r="A84" s="8" t="s">
        <v>103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158</v>
      </c>
      <c r="W84" s="104"/>
    </row>
    <row r="85" spans="1:23" ht="17.149999999999999" customHeight="1" x14ac:dyDescent="0.35">
      <c r="A85" s="8" t="s">
        <v>104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158</v>
      </c>
      <c r="W85" s="104"/>
    </row>
    <row r="86" spans="1:23" ht="17.149999999999999" customHeight="1" x14ac:dyDescent="0.35">
      <c r="A86" s="8" t="s">
        <v>106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158</v>
      </c>
      <c r="W86" s="104"/>
    </row>
    <row r="87" spans="1:23" ht="17.149999999999999" customHeight="1" x14ac:dyDescent="0.35">
      <c r="A87" s="8" t="s">
        <v>105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158</v>
      </c>
      <c r="W87" s="104"/>
    </row>
    <row r="88" spans="1:23" ht="17.149999999999999" customHeight="1" x14ac:dyDescent="0.35">
      <c r="A88" s="8" t="s">
        <v>107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158</v>
      </c>
      <c r="W88" s="104"/>
    </row>
    <row r="89" spans="1:23" ht="17.149999999999999" customHeight="1" x14ac:dyDescent="0.35">
      <c r="A89" s="8" t="s">
        <v>108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158</v>
      </c>
      <c r="W89" s="104"/>
    </row>
    <row r="90" spans="1:23" ht="17.149999999999999" customHeight="1" x14ac:dyDescent="0.35">
      <c r="A90" s="8" t="s">
        <v>87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158</v>
      </c>
      <c r="W90" s="104"/>
    </row>
    <row r="91" spans="1:23" ht="17.149999999999999" customHeight="1" x14ac:dyDescent="0.35">
      <c r="A91" s="8" t="s">
        <v>109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158</v>
      </c>
      <c r="W91" s="104"/>
    </row>
    <row r="92" spans="1:23" ht="17.149999999999999" customHeight="1" x14ac:dyDescent="0.35">
      <c r="A92" s="8" t="s">
        <v>110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158</v>
      </c>
      <c r="W92" s="104"/>
    </row>
    <row r="93" spans="1:23" ht="17.149999999999999" customHeight="1" x14ac:dyDescent="0.35">
      <c r="A93" s="8" t="s">
        <v>111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158</v>
      </c>
      <c r="W93" s="104"/>
    </row>
    <row r="94" spans="1:23" ht="17.149999999999999" customHeight="1" x14ac:dyDescent="0.35">
      <c r="A94" s="8" t="s">
        <v>88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158</v>
      </c>
      <c r="W94" s="104"/>
    </row>
    <row r="95" spans="1:23" ht="17.149999999999999" customHeight="1" x14ac:dyDescent="0.35">
      <c r="A95" s="8" t="s">
        <v>90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158</v>
      </c>
      <c r="W95" s="104"/>
    </row>
    <row r="96" spans="1:23" ht="17.149999999999999" customHeight="1" x14ac:dyDescent="0.35">
      <c r="A96" s="8" t="s">
        <v>115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53</v>
      </c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951-5650-4290-A804-18E66AFB6A26}">
  <sheetPr>
    <pageSetUpPr fitToPage="1"/>
  </sheetPr>
  <dimension ref="A1:W99"/>
  <sheetViews>
    <sheetView workbookViewId="0">
      <selection activeCell="Q84" sqref="Q8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hidden="1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187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133</v>
      </c>
      <c r="P1" s="6" t="s">
        <v>129</v>
      </c>
      <c r="Q1" s="6" t="s">
        <v>130</v>
      </c>
      <c r="R1" s="6" t="s">
        <v>120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188</v>
      </c>
    </row>
    <row r="2" spans="1:23" ht="17.149999999999999" customHeight="1" x14ac:dyDescent="0.35">
      <c r="A2" s="8" t="s">
        <v>26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Table146101214242232343638404448505248111315171921232527293133[[#This Row],[Thresh]]</f>
        <v>1.0712857744107744E-3</v>
      </c>
      <c r="N2" s="9">
        <f>Table146101214242232343638404448505248111315171921232527293133[[#This Row],[Thresh]]*2</f>
        <v>2.1425715488215488E-3</v>
      </c>
      <c r="O2" s="12">
        <f>Table146101214242232343638404448505248111315171921232527293133[[#This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Table146101214242232343638404448505248111315171921232527293133[[#This Row],[Thresh]]</f>
        <v>1.1478061868686869E-3</v>
      </c>
      <c r="N3" s="9">
        <f>Table146101214242232343638404448505248111315171921232527293133[[#This Row],[Thresh]]*2</f>
        <v>2.2956123737373738E-3</v>
      </c>
      <c r="O3" s="12">
        <f>Table146101214242232343638404448505248111315171921232527293133[[#This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36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Table146101214242232343638404448505248111315171921232527293133[[#This Row],[Thresh]]</f>
        <v>1.1478061868686869E-3</v>
      </c>
      <c r="N4" s="9">
        <f>Table146101214242232343638404448505248111315171921232527293133[[#This Row],[Thresh]]*2</f>
        <v>2.2956123737373738E-3</v>
      </c>
      <c r="O4" s="12">
        <f>Table146101214242232343638404448505248111315171921232527293133[[#This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13</v>
      </c>
      <c r="O6" s="15" t="s">
        <v>133</v>
      </c>
      <c r="P6" s="15"/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28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Table146101214242232343638404448505248111315171921232527293133[[#This Row],[Thresh]]</f>
        <v>1.0304748877665545E-3</v>
      </c>
      <c r="N7" s="9">
        <f>Table146101214242232343638404448505248111315171921232527293133[[#This Row],[Thresh]]*2</f>
        <v>2.0609497755331089E-3</v>
      </c>
      <c r="O7" s="12">
        <f>Table146101214242232343638404448505248111315171921232527293133[[#This Row],[R]]/2</f>
        <v>4.1956018518518514E-4</v>
      </c>
      <c r="P7" s="9"/>
      <c r="Q7" s="12"/>
      <c r="R7" s="9"/>
      <c r="S7" s="12"/>
      <c r="T7" s="12"/>
      <c r="U7" s="9"/>
      <c r="V7" s="13" t="s">
        <v>30</v>
      </c>
      <c r="W7" s="108"/>
    </row>
    <row r="8" spans="1:23" ht="17.149999999999999" customHeight="1" x14ac:dyDescent="0.35">
      <c r="A8" s="8" t="s">
        <v>31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Table146101214242232343638404448505248111315171921232527293133[[#This Row],[Thresh]]</f>
        <v>1.0304748877665545E-3</v>
      </c>
      <c r="N8" s="9">
        <f>Table146101214242232343638404448505248111315171921232527293133[[#This Row],[Thresh]]*2</f>
        <v>2.0609497755331089E-3</v>
      </c>
      <c r="O8" s="12">
        <f>Table146101214242232343638404448505248111315171921232527293133[[#This Row],[R]]/2</f>
        <v>4.1956018518518514E-4</v>
      </c>
      <c r="P8" s="9"/>
      <c r="Q8" s="12"/>
      <c r="R8" s="9"/>
      <c r="S8" s="12"/>
      <c r="T8" s="9"/>
      <c r="U8" s="9"/>
      <c r="V8" s="13" t="s">
        <v>30</v>
      </c>
      <c r="W8" s="108"/>
    </row>
    <row r="9" spans="1:23" ht="17.149999999999999" customHeight="1" x14ac:dyDescent="0.35">
      <c r="A9" s="8" t="s">
        <v>52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Table146101214242232343638404448505248111315171921232527293133[[#This Row],[Thresh]]</f>
        <v>1.0406776094276093E-3</v>
      </c>
      <c r="N9" s="9">
        <f>Table146101214242232343638404448505248111315171921232527293133[[#This Row],[Thresh]]*2</f>
        <v>2.0813552188552187E-3</v>
      </c>
      <c r="O9" s="12">
        <f>Table146101214242232343638404448505248111315171921232527293133[[#This Row],[R]]/2</f>
        <v>4.3402777777777775E-4</v>
      </c>
      <c r="P9" s="9"/>
      <c r="Q9" s="12"/>
      <c r="R9" s="9"/>
      <c r="S9" s="12"/>
      <c r="T9" s="9"/>
      <c r="U9" s="9"/>
      <c r="V9" s="13" t="s">
        <v>30</v>
      </c>
      <c r="W9" s="108"/>
    </row>
    <row r="10" spans="1:23" ht="17.149999999999999" customHeight="1" x14ac:dyDescent="0.35">
      <c r="A10" s="8" t="s">
        <v>32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Table146101214242232343638404448505248111315171921232527293133[[#This Row],[Thresh]]</f>
        <v>1.0916912177328843E-3</v>
      </c>
      <c r="N10" s="9">
        <f>Table146101214242232343638404448505248111315171921232527293133[[#This Row],[Thresh]]*2</f>
        <v>2.1833824354657687E-3</v>
      </c>
      <c r="O10" s="12">
        <f>Table146101214242232343638404448505248111315171921232527293133[[#This Row],[R]]/2</f>
        <v>4.4849537037037037E-4</v>
      </c>
      <c r="P10" s="9"/>
      <c r="Q10" s="12"/>
      <c r="R10" s="9"/>
      <c r="S10" s="12"/>
      <c r="T10" s="12"/>
      <c r="U10" s="9"/>
      <c r="V10" s="13" t="s">
        <v>30</v>
      </c>
      <c r="W10" s="104" t="s">
        <v>189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Table146101214242232343638404448505248111315171921232527293133[[#This Row],[Thresh]]</f>
        <v>1.1478061868686869E-3</v>
      </c>
      <c r="N11" s="9">
        <f>Table146101214242232343638404448505248111315171921232527293133[[#This Row],[Thresh]]*2</f>
        <v>2.2956123737373738E-3</v>
      </c>
      <c r="O11" s="12">
        <f>Table146101214242232343638404448505248111315171921232527293133[[#This Row],[R]]/2</f>
        <v>4.6296296296296298E-4</v>
      </c>
      <c r="P11" s="9"/>
      <c r="Q11" s="12"/>
      <c r="R11" s="9"/>
      <c r="S11" s="12"/>
      <c r="T11" s="9"/>
      <c r="U11" s="9"/>
      <c r="V11" s="13" t="s">
        <v>30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13</v>
      </c>
      <c r="O13" s="15" t="s">
        <v>142</v>
      </c>
      <c r="P13" s="15" t="s">
        <v>151</v>
      </c>
      <c r="Q13" s="15" t="s">
        <v>139</v>
      </c>
      <c r="R13" s="15" t="s">
        <v>136</v>
      </c>
      <c r="S13" s="15" t="s">
        <v>144</v>
      </c>
      <c r="T13" s="15" t="s">
        <v>133</v>
      </c>
      <c r="U13" s="15"/>
      <c r="V13" s="17"/>
      <c r="W13" s="104"/>
    </row>
    <row r="14" spans="1:23" ht="17.149999999999999" customHeight="1" x14ac:dyDescent="0.35">
      <c r="A14" s="8" t="s">
        <v>55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Table146101214242232343638404448505248111315171921232527293133[[#This Row],[Thresh]]</f>
        <v>1.0202721661054994E-3</v>
      </c>
      <c r="N14" s="9">
        <f>Table146101214242232343638404448505248111315171921232527293133[[#This Row],[Thresh]]*2</f>
        <v>2.0405443322109988E-3</v>
      </c>
      <c r="O14" s="12">
        <f>Table146101214242232343638404448505248111315171921232527293133[[#This Row],[I]]</f>
        <v>9.2592592592592585E-4</v>
      </c>
      <c r="P14" s="9">
        <f>Table146101214242232343638404448505248111315171921232527293133[[#This Row],[I]]*2</f>
        <v>1.8518518518518517E-3</v>
      </c>
      <c r="Q14" s="12">
        <f>Table146101214242232343638404448505248111315171921232527293133[[#This Row],[VO2]]</f>
        <v>8.9783950617283942E-4</v>
      </c>
      <c r="R14" s="12">
        <f>Table146101214242232343638404448505248111315171921232527293133[[#This Row],[CV]]</f>
        <v>9.7591250670960798E-4</v>
      </c>
      <c r="S14" s="12">
        <f>Table146101214242232343638404448505248111315171921232527293133[[#This Row],[CV]]*2</f>
        <v>1.951825013419216E-3</v>
      </c>
      <c r="T14" s="12">
        <f>Table146101214242232343638404448505248111315171921232527293133[[#This Row],[R]]/2</f>
        <v>4.3402777777777775E-4</v>
      </c>
      <c r="U14" s="9"/>
      <c r="V14" s="13" t="s">
        <v>34</v>
      </c>
      <c r="W14" s="104"/>
    </row>
    <row r="15" spans="1:23" ht="17.149999999999999" customHeight="1" x14ac:dyDescent="0.35">
      <c r="A15" s="8" t="s">
        <v>47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Table146101214242232343638404448505248111315171921232527293133[[#This Row],[Thresh]]</f>
        <v>1.0814884960718295E-3</v>
      </c>
      <c r="N15" s="9">
        <f>Table146101214242232343638404448505248111315171921232527293133[[#This Row],[Thresh]]*2</f>
        <v>2.1629769921436589E-3</v>
      </c>
      <c r="O15" s="12">
        <f>Table146101214242232343638404448505248111315171921232527293133[[#This Row],[I]]</f>
        <v>9.8148148148148161E-4</v>
      </c>
      <c r="P15" s="9">
        <f>Table146101214242232343638404448505248111315171921232527293133[[#This Row],[I]]*2</f>
        <v>1.9629629629629632E-3</v>
      </c>
      <c r="Q15" s="12">
        <f>Table146101214242232343638404448505248111315171921232527293133[[#This Row],[VO2]]</f>
        <v>9.5170987654320989E-4</v>
      </c>
      <c r="R15" s="12">
        <f>Table146101214242232343638404448505248111315171921232527293133[[#This Row],[CV]]</f>
        <v>1.0344672571121847E-3</v>
      </c>
      <c r="S15" s="12">
        <f>Table146101214242232343638404448505248111315171921232527293133[[#This Row],[CV]]*2</f>
        <v>2.0689345142243694E-3</v>
      </c>
      <c r="T15" s="12">
        <f>Table146101214242232343638404448505248111315171921232527293133[[#This Row],[R]]/2</f>
        <v>4.6296296296296293E-4</v>
      </c>
      <c r="U15" s="9"/>
      <c r="V15" s="13" t="s">
        <v>48</v>
      </c>
      <c r="W15" s="104"/>
    </row>
    <row r="16" spans="1:23" ht="17.149999999999999" customHeight="1" x14ac:dyDescent="0.35">
      <c r="A16" s="8" t="s">
        <v>49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Table146101214242232343638404448505248111315171921232527293133[[#This Row],[Thresh]]</f>
        <v>1.0916912177328843E-3</v>
      </c>
      <c r="N16" s="9">
        <f>Table146101214242232343638404448505248111315171921232527293133[[#This Row],[Thresh]]*2</f>
        <v>2.1833824354657687E-3</v>
      </c>
      <c r="O16" s="12">
        <f>Table146101214242232343638404448505248111315171921232527293133[[#This Row],[I]]</f>
        <v>9.9074074074074082E-4</v>
      </c>
      <c r="P16" s="9">
        <f>Table146101214242232343638404448505248111315171921232527293133[[#This Row],[I]]*2</f>
        <v>1.9814814814814816E-3</v>
      </c>
      <c r="Q16" s="12">
        <f>Table146101214242232343638404448505248111315171921232527293133[[#This Row],[VO2]]</f>
        <v>9.6068827160493821E-4</v>
      </c>
      <c r="R16" s="12">
        <f>Table146101214242232343638404448505248111315171921232527293133[[#This Row],[CV]]</f>
        <v>1.0442263821792807E-3</v>
      </c>
      <c r="S16" s="12">
        <f>Table146101214242232343638404448505248111315171921232527293133[[#This Row],[CV]]*2</f>
        <v>2.0884527643585614E-3</v>
      </c>
      <c r="T16" s="12">
        <f>Table146101214242232343638404448505248111315171921232527293133[[#This Row],[R]]/2</f>
        <v>4.6296296296296293E-4</v>
      </c>
      <c r="U16" s="9"/>
      <c r="V16" s="13" t="s">
        <v>34</v>
      </c>
      <c r="W16" s="104"/>
    </row>
    <row r="17" spans="1:23" ht="17.149999999999999" customHeight="1" x14ac:dyDescent="0.35">
      <c r="A17" s="8" t="s">
        <v>33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Table146101214242232343638404448505248111315171921232527293133[[#This Row],[Thresh]]</f>
        <v>1.0916912177328843E-3</v>
      </c>
      <c r="N17" s="9">
        <f>Table146101214242232343638404448505248111315171921232527293133[[#This Row],[Thresh]]*2</f>
        <v>2.1833824354657687E-3</v>
      </c>
      <c r="O17" s="12">
        <f>Table146101214242232343638404448505248111315171921232527293133[[#This Row],[I]]</f>
        <v>9.9074074074074082E-4</v>
      </c>
      <c r="P17" s="9">
        <f>Table146101214242232343638404448505248111315171921232527293133[[#This Row],[I]]*2</f>
        <v>1.9814814814814816E-3</v>
      </c>
      <c r="Q17" s="12">
        <f>Table146101214242232343638404448505248111315171921232527293133[[#This Row],[VO2]]</f>
        <v>9.6068827160493821E-4</v>
      </c>
      <c r="R17" s="12">
        <f>Table146101214242232343638404448505248111315171921232527293133[[#This Row],[CV]]</f>
        <v>1.0442263821792807E-3</v>
      </c>
      <c r="S17" s="12">
        <f>Table146101214242232343638404448505248111315171921232527293133[[#This Row],[CV]]*2</f>
        <v>2.0884527643585614E-3</v>
      </c>
      <c r="T17" s="12">
        <f>Table146101214242232343638404448505248111315171921232527293133[[#This Row],[R]]/2</f>
        <v>4.5572916666666662E-4</v>
      </c>
      <c r="U17" s="9"/>
      <c r="V17" s="13" t="s">
        <v>48</v>
      </c>
      <c r="W17" s="104"/>
    </row>
    <row r="18" spans="1:23" ht="17.149999999999999" customHeight="1" x14ac:dyDescent="0.35">
      <c r="A18" s="8" t="s">
        <v>51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Table146101214242232343638404448505248111315171921232527293133[[#This Row],[Thresh]]</f>
        <v>1.1018939393939394E-3</v>
      </c>
      <c r="N18" s="9">
        <f>Table146101214242232343638404448505248111315171921232527293133[[#This Row],[Thresh]]*2</f>
        <v>2.2037878787878789E-3</v>
      </c>
      <c r="O18" s="12">
        <f>Table146101214242232343638404448505248111315171921232527293133[[#This Row],[I]]</f>
        <v>1E-3</v>
      </c>
      <c r="P18" s="9">
        <f>Table146101214242232343638404448505248111315171921232527293133[[#This Row],[I]]*2</f>
        <v>2E-3</v>
      </c>
      <c r="Q18" s="12">
        <f>Table146101214242232343638404448505248111315171921232527293133[[#This Row],[VO2]]</f>
        <v>9.6966666666666664E-4</v>
      </c>
      <c r="R18" s="12">
        <f>Table146101214242232343638404448505248111315171921232527293133[[#This Row],[CV]]</f>
        <v>1.0539855072463768E-3</v>
      </c>
      <c r="S18" s="12">
        <f>Table146101214242232343638404448505248111315171921232527293133[[#This Row],[CV]]*2</f>
        <v>2.1079710144927535E-3</v>
      </c>
      <c r="T18" s="12">
        <f>Table146101214242232343638404448505248111315171921232527293133[[#This Row],[R]]/2</f>
        <v>4.6296296296296293E-4</v>
      </c>
      <c r="U18" s="9"/>
      <c r="V18" s="13" t="s">
        <v>48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190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56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57</v>
      </c>
      <c r="W21" s="104"/>
    </row>
    <row r="22" spans="1:23" ht="17.149999999999999" customHeight="1" x14ac:dyDescent="0.35">
      <c r="A22" s="8" t="s">
        <v>37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158</v>
      </c>
      <c r="W22" s="104"/>
    </row>
    <row r="23" spans="1:23" ht="17.149999999999999" customHeight="1" x14ac:dyDescent="0.35">
      <c r="A23" s="8" t="s">
        <v>39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158</v>
      </c>
      <c r="W23" s="104"/>
    </row>
    <row r="24" spans="1:23" ht="17.149999999999999" customHeight="1" x14ac:dyDescent="0.35">
      <c r="A24" s="8" t="s">
        <v>41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158</v>
      </c>
      <c r="W24" s="104"/>
    </row>
    <row r="25" spans="1:23" ht="17.149999999999999" customHeight="1" x14ac:dyDescent="0.35">
      <c r="A25" s="8" t="s">
        <v>42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158</v>
      </c>
      <c r="W25" s="104"/>
    </row>
    <row r="26" spans="1:23" ht="17.149999999999999" customHeight="1" x14ac:dyDescent="0.35">
      <c r="A26" s="8" t="s">
        <v>43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158</v>
      </c>
      <c r="W26" s="104"/>
    </row>
    <row r="27" spans="1:23" ht="17.149999999999999" customHeight="1" x14ac:dyDescent="0.35">
      <c r="A27" s="8" t="s">
        <v>44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158</v>
      </c>
      <c r="W27" s="104"/>
    </row>
    <row r="28" spans="1:23" ht="17.149999999999999" customHeight="1" x14ac:dyDescent="0.35">
      <c r="A28" s="8" t="s">
        <v>38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158</v>
      </c>
      <c r="W28" s="105" t="s">
        <v>191</v>
      </c>
    </row>
    <row r="29" spans="1:23" ht="17.149999999999999" customHeight="1" x14ac:dyDescent="0.35">
      <c r="A29" s="8" t="s">
        <v>50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158</v>
      </c>
      <c r="W29" s="105"/>
    </row>
    <row r="30" spans="1:23" ht="17.149999999999999" customHeight="1" x14ac:dyDescent="0.35">
      <c r="A30" s="8" t="s">
        <v>40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158</v>
      </c>
      <c r="W30" s="105"/>
    </row>
    <row r="31" spans="1:23" ht="17.149999999999999" customHeight="1" x14ac:dyDescent="0.35">
      <c r="A31" s="8" t="s">
        <v>124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53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187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133</v>
      </c>
      <c r="P34" s="6" t="s">
        <v>129</v>
      </c>
      <c r="Q34" s="6" t="s">
        <v>130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07" t="s">
        <v>192</v>
      </c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Table257111315252333353739414549515359121416182022242628303234[[#This Row],[Thresh]]</f>
        <v>9.1824494949494938E-4</v>
      </c>
      <c r="N35" s="9">
        <f>Table257111315252333353739414549515359121416182022242628303234[[#This Row],[Thresh]]*2</f>
        <v>1.8364898989898988E-3</v>
      </c>
      <c r="O35" s="24">
        <f>Table257111315252333353739414549515359121416182022242628303234[[#This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49999999999999" customHeight="1" x14ac:dyDescent="0.35">
      <c r="A36" s="8" t="s">
        <v>65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Table257111315252333353739414549515359121416182022242628303234[[#This Row],[Thresh]]</f>
        <v>9.1824494949494938E-4</v>
      </c>
      <c r="N36" s="9">
        <f>Table257111315252333353739414549515359121416182022242628303234[[#This Row],[Thresh]]*2</f>
        <v>1.8364898989898988E-3</v>
      </c>
      <c r="O36" s="24">
        <f>Table257111315252333353739414549515359121416182022242628303234[[#This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Table257111315252333353739414549515359121416182022242628303234[[#This Row],[Thresh]]</f>
        <v>9.5905583613916951E-4</v>
      </c>
      <c r="N37" s="9">
        <f>Table257111315252333353739414549515359121416182022242628303234[[#This Row],[Thresh]]*2</f>
        <v>1.918111672278339E-3</v>
      </c>
      <c r="O37" s="24">
        <f>Table257111315252333353739414549515359121416182022242628303234[[#This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63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Table257111315252333353739414549515359121416182022242628303234[[#This Row],[Thresh]]</f>
        <v>9.5905583613916951E-4</v>
      </c>
      <c r="N38" s="9">
        <f>Table257111315252333353739414549515359121416182022242628303234[[#This Row],[Thresh]]*2</f>
        <v>1.918111672278339E-3</v>
      </c>
      <c r="O38" s="24">
        <f>Table257111315252333353739414549515359121416182022242628303234[[#This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75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Table257111315252333353739414549515359121416182022242628303234[[#This Row],[Thresh]]</f>
        <v>9.5905583613916951E-4</v>
      </c>
      <c r="N39" s="9">
        <f>Table257111315252333353739414549515359121416182022242628303234[[#This Row],[Thresh]]*2</f>
        <v>1.918111672278339E-3</v>
      </c>
      <c r="O39" s="24">
        <f>Table257111315252333353739414549515359121416182022242628303234[[#This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8"/>
    </row>
    <row r="41" spans="1:23" ht="17.149999999999999" customHeight="1" x14ac:dyDescent="0.35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13</v>
      </c>
      <c r="O41" s="15" t="s">
        <v>133</v>
      </c>
      <c r="P41" s="15"/>
      <c r="Q41" s="15"/>
      <c r="R41" s="15"/>
      <c r="S41" s="15"/>
      <c r="T41" s="15"/>
      <c r="U41" s="15"/>
      <c r="V41" s="17"/>
      <c r="W41" s="108"/>
    </row>
    <row r="42" spans="1:23" ht="17.149999999999999" customHeight="1" x14ac:dyDescent="0.35">
      <c r="A42" s="8" t="s">
        <v>70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Table257111315252333353739414549515359121416182022242628303234[[#This Row],[Thresh]]</f>
        <v>8.6212998035914683E-4</v>
      </c>
      <c r="N42" s="9">
        <f>Table257111315252333353739414549515359121416182022242628303234[[#This Row],[Thresh]]*2.5</f>
        <v>2.1553249508978671E-3</v>
      </c>
      <c r="O42" s="24">
        <f>Table257111315252333353739414549515359121416182022242628303234[[#This Row],[R]]/2</f>
        <v>3.5156249999999993E-4</v>
      </c>
      <c r="P42" s="9"/>
      <c r="Q42" s="24"/>
      <c r="R42" s="9"/>
      <c r="S42" s="12"/>
      <c r="T42" s="25"/>
      <c r="V42" s="23" t="s">
        <v>30</v>
      </c>
      <c r="W42" s="108"/>
    </row>
    <row r="43" spans="1:23" ht="17.149999999999999" customHeight="1" x14ac:dyDescent="0.35">
      <c r="A43" s="8" t="s">
        <v>72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Table257111315252333353739414549515359121416182022242628303234[[#This Row],[Thresh]]</f>
        <v>8.9273814534231199E-4</v>
      </c>
      <c r="N43" s="9">
        <f>Table257111315252333353739414549515359121416182022242628303234[[#This Row],[Thresh]]*2.5</f>
        <v>2.23184536335578E-3</v>
      </c>
      <c r="O43" s="24">
        <f>Table257111315252333353739414549515359121416182022242628303234[[#This Row],[R]]/2</f>
        <v>3.6168981481481485E-4</v>
      </c>
      <c r="P43" s="9"/>
      <c r="Q43" s="24"/>
      <c r="R43" s="9"/>
      <c r="S43" s="12"/>
      <c r="T43" s="25"/>
      <c r="V43" s="23" t="s">
        <v>30</v>
      </c>
      <c r="W43" s="104" t="s">
        <v>193</v>
      </c>
    </row>
    <row r="44" spans="1:23" ht="17.149999999999999" customHeight="1" x14ac:dyDescent="0.35">
      <c r="A44" s="8" t="s">
        <v>71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Table257111315252333353739414549515359121416182022242628303234[[#This Row],[Thresh]]</f>
        <v>8.825354236812569E-4</v>
      </c>
      <c r="N44" s="9">
        <f>Table257111315252333353739414549515359121416182022242628303234[[#This Row],[Thresh]]*2.5</f>
        <v>2.2063385592031421E-3</v>
      </c>
      <c r="O44" s="24">
        <f>Table257111315252333353739414549515359121416182022242628303234[[#This Row],[R]]/2</f>
        <v>3.6168981481481485E-4</v>
      </c>
      <c r="P44" s="9"/>
      <c r="Q44" s="24"/>
      <c r="R44" s="9"/>
      <c r="S44" s="24"/>
      <c r="T44" s="24"/>
      <c r="U44" s="24"/>
      <c r="V44" s="23" t="s">
        <v>30</v>
      </c>
      <c r="W44" s="104"/>
    </row>
    <row r="45" spans="1:23" ht="17.149999999999999" customHeight="1" x14ac:dyDescent="0.35">
      <c r="A45" s="8" t="s">
        <v>73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Table257111315252333353739414549515359121416182022242628303234[[#This Row],[Thresh]]</f>
        <v>8.825354236812569E-4</v>
      </c>
      <c r="N45" s="9">
        <f>Table257111315252333353739414549515359121416182022242628303234[[#This Row],[Thresh]]*2.5</f>
        <v>2.2063385592031421E-3</v>
      </c>
      <c r="O45" s="24">
        <f>Table257111315252333353739414549515359121416182022242628303234[[#This Row],[R]]/2</f>
        <v>3.6168981481481485E-4</v>
      </c>
      <c r="P45" s="9"/>
      <c r="Q45" s="24"/>
      <c r="R45" s="9"/>
      <c r="S45" s="24"/>
      <c r="T45" s="24"/>
      <c r="U45" s="24"/>
      <c r="V45" s="23" t="s">
        <v>30</v>
      </c>
      <c r="W45" s="104"/>
    </row>
    <row r="46" spans="1:23" ht="17.149999999999999" customHeight="1" x14ac:dyDescent="0.35">
      <c r="A46" s="8" t="s">
        <v>74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Table257111315252333353739414549515359121416182022242628303234[[#This Row],[Thresh]]</f>
        <v>9.0294086700336686E-4</v>
      </c>
      <c r="N46" s="9">
        <f>Table257111315252333353739414549515359121416182022242628303234[[#This Row],[Thresh]]*2.5</f>
        <v>2.2573521675084171E-3</v>
      </c>
      <c r="O46" s="24">
        <f>Table257111315252333353739414549515359121416182022242628303234[[#This Row],[R]]/2</f>
        <v>3.689236111111111E-4</v>
      </c>
      <c r="P46" s="9"/>
      <c r="Q46" s="24"/>
      <c r="R46" s="9"/>
      <c r="S46" s="12"/>
      <c r="T46" s="25"/>
      <c r="V46" s="23" t="s">
        <v>30</v>
      </c>
      <c r="W46" s="104"/>
    </row>
    <row r="47" spans="1:23" ht="17.149999999999999" customHeight="1" x14ac:dyDescent="0.35">
      <c r="A47" s="8" t="s">
        <v>76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Table257111315252333353739414549515359121416182022242628303234[[#This Row],[Thresh]]</f>
        <v>8.825354236812569E-4</v>
      </c>
      <c r="N47" s="9">
        <f>Table257111315252333353739414549515359121416182022242628303234[[#This Row],[Thresh]]*2.5</f>
        <v>2.2063385592031421E-3</v>
      </c>
      <c r="O47" s="24">
        <f>Table257111315252333353739414549515359121416182022242628303234[[#This Row],[R]]/2</f>
        <v>3.689236111111111E-4</v>
      </c>
      <c r="P47" s="9"/>
      <c r="Q47" s="24"/>
      <c r="R47" s="9"/>
      <c r="S47" s="24"/>
      <c r="T47" s="24"/>
      <c r="U47" s="24"/>
      <c r="V47" s="23" t="s">
        <v>30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58</v>
      </c>
      <c r="O49" s="15" t="s">
        <v>142</v>
      </c>
      <c r="P49" s="15" t="s">
        <v>194</v>
      </c>
      <c r="Q49" s="15" t="s">
        <v>195</v>
      </c>
      <c r="R49" s="15" t="s">
        <v>196</v>
      </c>
      <c r="S49" s="15" t="s">
        <v>136</v>
      </c>
      <c r="T49" s="15" t="s">
        <v>152</v>
      </c>
      <c r="U49" s="15" t="s">
        <v>133</v>
      </c>
      <c r="V49" s="17"/>
      <c r="W49" s="104"/>
    </row>
    <row r="50" spans="1:23" ht="17.149999999999999" customHeight="1" x14ac:dyDescent="0.35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Table257111315252333353739414549515359121416182022242628303234[[#This Row],[Thresh]]</f>
        <v>8.825354236812569E-4</v>
      </c>
      <c r="N50" s="9">
        <f>Table257111315252333353739414549515359121416182022242628303234[[#This Row],[Thresh]]*2.5</f>
        <v>2.2063385592031421E-3</v>
      </c>
      <c r="O50" s="24">
        <f>Table257111315252333353739414549515359121416182022242628303234[[#This Row],[I]]</f>
        <v>8.0092592592592585E-4</v>
      </c>
      <c r="P50" s="9">
        <f>Table257111315252333353739414549515359121416182022242628303234[[#This Row],[I]]*2.5</f>
        <v>2.0023148148148144E-3</v>
      </c>
      <c r="Q50" s="24">
        <f>Table257111315252333353739414549515359121416182022242628303234[[#This Row],[VO2]]</f>
        <v>7.7663117283950612E-4</v>
      </c>
      <c r="R50" s="9">
        <f>Table257111315252333353739414549515359121416182022242628303234[[#This Row],[VO2]]*1.5</f>
        <v>1.1649467592592592E-3</v>
      </c>
      <c r="S50" s="24">
        <f>Table257111315252333353739414549515359121416182022242628303234[[#This Row],[CV]]</f>
        <v>8.4416431830381094E-4</v>
      </c>
      <c r="T50" s="97">
        <f>Table257111315252333353739414549515359121416182022242628303234[[#This Row],[CV]]*2.5</f>
        <v>2.1104107957595273E-3</v>
      </c>
      <c r="U50" s="24">
        <f>Table257111315252333353739414549515359121416182022242628303234[[#This Row],[R]]/2</f>
        <v>3.689236111111111E-4</v>
      </c>
      <c r="V50" s="23" t="s">
        <v>34</v>
      </c>
      <c r="W50" s="104"/>
    </row>
    <row r="51" spans="1:23" ht="17.149999999999999" customHeight="1" x14ac:dyDescent="0.35">
      <c r="A51" s="8" t="s">
        <v>97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Table257111315252333353739414549515359121416182022242628303234[[#This Row],[Thresh]]</f>
        <v>8.825354236812569E-4</v>
      </c>
      <c r="N51" s="9">
        <f>Table257111315252333353739414549515359121416182022242628303234[[#This Row],[Thresh]]*2.5</f>
        <v>2.2063385592031421E-3</v>
      </c>
      <c r="O51" s="24">
        <f>Table257111315252333353739414549515359121416182022242628303234[[#This Row],[I]]</f>
        <v>8.0092592592592585E-4</v>
      </c>
      <c r="P51" s="9">
        <f>Table257111315252333353739414549515359121416182022242628303234[[#This Row],[I]]*2.5</f>
        <v>2.0023148148148144E-3</v>
      </c>
      <c r="Q51" s="24">
        <f>Table257111315252333353739414549515359121416182022242628303234[[#This Row],[VO2]]</f>
        <v>7.7663117283950612E-4</v>
      </c>
      <c r="R51" s="9">
        <f>Table257111315252333353739414549515359121416182022242628303234[[#This Row],[VO2]]*1.5</f>
        <v>1.1649467592592592E-3</v>
      </c>
      <c r="S51" s="24">
        <f>Table257111315252333353739414549515359121416182022242628303234[[#This Row],[CV]]</f>
        <v>8.4416431830381094E-4</v>
      </c>
      <c r="T51" s="97">
        <f>Table257111315252333353739414549515359121416182022242628303234[[#This Row],[CV]]*2.5</f>
        <v>2.1104107957595273E-3</v>
      </c>
      <c r="U51" s="24">
        <f>Table257111315252333353739414549515359121416182022242628303234[[#This Row],[R]]/2</f>
        <v>3.7181712962962966E-4</v>
      </c>
      <c r="V51" s="23" t="s">
        <v>34</v>
      </c>
      <c r="W51" s="104"/>
    </row>
    <row r="52" spans="1:23" ht="17.149999999999999" customHeight="1" x14ac:dyDescent="0.35">
      <c r="A52" s="8" t="s">
        <v>98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Table257111315252333353739414549515359121416182022242628303234[[#This Row],[Thresh]]</f>
        <v>9.0294086700336686E-4</v>
      </c>
      <c r="N52" s="9">
        <f>Table257111315252333353739414549515359121416182022242628303234[[#This Row],[Thresh]]*2.5</f>
        <v>2.2573521675084171E-3</v>
      </c>
      <c r="O52" s="24">
        <f>Table257111315252333353739414549515359121416182022242628303234[[#This Row],[I]]</f>
        <v>8.1944444444444447E-4</v>
      </c>
      <c r="P52" s="9">
        <f>Table257111315252333353739414549515359121416182022242628303234[[#This Row],[I]]*2.5</f>
        <v>2.0486111111111113E-3</v>
      </c>
      <c r="Q52" s="24">
        <f>Table257111315252333353739414549515359121416182022242628303234[[#This Row],[VO2]]</f>
        <v>7.9458796296296287E-4</v>
      </c>
      <c r="R52" s="9">
        <f>Table257111315252333353739414549515359121416182022242628303234[[#This Row],[VO2]]*1.5</f>
        <v>1.1918819444444442E-3</v>
      </c>
      <c r="S52" s="24">
        <f>Table257111315252333353739414549515359121416182022242628303234[[#This Row],[CV]]</f>
        <v>8.636825684380031E-4</v>
      </c>
      <c r="T52" s="97">
        <f>Table257111315252333353739414549515359121416182022242628303234[[#This Row],[CV]]*2.5</f>
        <v>2.1592064210950077E-3</v>
      </c>
      <c r="U52" s="24">
        <f>Table257111315252333353739414549515359121416182022242628303234[[#This Row],[R]]/2</f>
        <v>3.7615740740740735E-4</v>
      </c>
      <c r="V52" s="23" t="s">
        <v>34</v>
      </c>
      <c r="W52" s="104" t="s">
        <v>197</v>
      </c>
    </row>
    <row r="53" spans="1:23" ht="17.149999999999999" customHeight="1" x14ac:dyDescent="0.35">
      <c r="A53" s="8" t="s">
        <v>100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Table257111315252333353739414549515359121416182022242628303234[[#This Row],[Thresh]]</f>
        <v>9.0294086700336686E-4</v>
      </c>
      <c r="N53" s="9">
        <f>Table257111315252333353739414549515359121416182022242628303234[[#This Row],[Thresh]]*2.5</f>
        <v>2.2573521675084171E-3</v>
      </c>
      <c r="O53" s="24">
        <f>Table257111315252333353739414549515359121416182022242628303234[[#This Row],[I]]</f>
        <v>8.1944444444444447E-4</v>
      </c>
      <c r="P53" s="9">
        <f>Table257111315252333353739414549515359121416182022242628303234[[#This Row],[I]]*2.5</f>
        <v>2.0486111111111113E-3</v>
      </c>
      <c r="Q53" s="24">
        <f>Table257111315252333353739414549515359121416182022242628303234[[#This Row],[VO2]]</f>
        <v>7.9458796296296287E-4</v>
      </c>
      <c r="R53" s="9">
        <f>Table257111315252333353739414549515359121416182022242628303234[[#This Row],[VO2]]*1.5</f>
        <v>1.1918819444444442E-3</v>
      </c>
      <c r="S53" s="24">
        <f>Table257111315252333353739414549515359121416182022242628303234[[#This Row],[CV]]</f>
        <v>8.636825684380031E-4</v>
      </c>
      <c r="T53" s="97">
        <f>Table257111315252333353739414549515359121416182022242628303234[[#This Row],[CV]]*2.5</f>
        <v>2.1592064210950077E-3</v>
      </c>
      <c r="U53" s="24">
        <f>Table257111315252333353739414549515359121416182022242628303234[[#This Row],[R]]/2</f>
        <v>3.7181712962962966E-4</v>
      </c>
      <c r="V53" s="23" t="s">
        <v>34</v>
      </c>
      <c r="W53" s="104"/>
    </row>
    <row r="54" spans="1:23" ht="17.149999999999999" customHeight="1" x14ac:dyDescent="0.35">
      <c r="A54" s="8" t="s">
        <v>78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Table257111315252333353739414549515359121416182022242628303234[[#This Row],[Thresh]]</f>
        <v>9.0294086700336686E-4</v>
      </c>
      <c r="N54" s="9">
        <f>Table257111315252333353739414549515359121416182022242628303234[[#This Row],[Thresh]]*2.5</f>
        <v>2.2573521675084171E-3</v>
      </c>
      <c r="O54" s="24">
        <f>Table257111315252333353739414549515359121416182022242628303234[[#This Row],[I]]</f>
        <v>8.1944444444444447E-4</v>
      </c>
      <c r="P54" s="9">
        <f>Table257111315252333353739414549515359121416182022242628303234[[#This Row],[I]]*2.5</f>
        <v>2.0486111111111113E-3</v>
      </c>
      <c r="Q54" s="24">
        <f>Table257111315252333353739414549515359121416182022242628303234[[#This Row],[VO2]]</f>
        <v>7.9458796296296287E-4</v>
      </c>
      <c r="R54" s="9">
        <f>Table257111315252333353739414549515359121416182022242628303234[[#This Row],[VO2]]*1.5</f>
        <v>1.1918819444444442E-3</v>
      </c>
      <c r="S54" s="24">
        <f>Table257111315252333353739414549515359121416182022242628303234[[#This Row],[CV]]</f>
        <v>8.636825684380031E-4</v>
      </c>
      <c r="T54" s="97">
        <f>Table257111315252333353739414549515359121416182022242628303234[[#This Row],[CV]]*2.5</f>
        <v>2.1592064210950077E-3</v>
      </c>
      <c r="U54" s="24">
        <f>Table257111315252333353739414549515359121416182022242628303234[[#This Row],[R]]/2</f>
        <v>3.7181712962962966E-4</v>
      </c>
      <c r="V54" s="23" t="s">
        <v>48</v>
      </c>
      <c r="W54" s="104"/>
    </row>
    <row r="55" spans="1:23" ht="17.149999999999999" customHeight="1" x14ac:dyDescent="0.35">
      <c r="A55" s="8" t="s">
        <v>101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Table257111315252333353739414549515359121416182022242628303234[[#This Row],[Thresh]]</f>
        <v>9.0294086700336686E-4</v>
      </c>
      <c r="N55" s="9">
        <f>Table257111315252333353739414549515359121416182022242628303234[[#This Row],[Thresh]]*2.5</f>
        <v>2.2573521675084171E-3</v>
      </c>
      <c r="O55" s="24">
        <f>Table257111315252333353739414549515359121416182022242628303234[[#This Row],[I]]</f>
        <v>8.1944444444444447E-4</v>
      </c>
      <c r="P55" s="9">
        <f>Table257111315252333353739414549515359121416182022242628303234[[#This Row],[I]]*2.5</f>
        <v>2.0486111111111113E-3</v>
      </c>
      <c r="Q55" s="24">
        <f>Table257111315252333353739414549515359121416182022242628303234[[#This Row],[VO2]]</f>
        <v>7.9458796296296287E-4</v>
      </c>
      <c r="R55" s="9">
        <f>Table257111315252333353739414549515359121416182022242628303234[[#This Row],[VO2]]*1.5</f>
        <v>1.1918819444444442E-3</v>
      </c>
      <c r="S55" s="24">
        <f>Table257111315252333353739414549515359121416182022242628303234[[#This Row],[CV]]</f>
        <v>8.636825684380031E-4</v>
      </c>
      <c r="T55" s="97">
        <f>Table257111315252333353739414549515359121416182022242628303234[[#This Row],[CV]]*2.5</f>
        <v>2.1592064210950077E-3</v>
      </c>
      <c r="U55" s="24">
        <f>Table257111315252333353739414549515359121416182022242628303234[[#This Row],[R]]/2</f>
        <v>3.8339120370370371E-4</v>
      </c>
      <c r="V55" s="23" t="s">
        <v>34</v>
      </c>
      <c r="W55" s="104"/>
    </row>
    <row r="56" spans="1:23" ht="17.149999999999999" customHeight="1" x14ac:dyDescent="0.35">
      <c r="A56" s="8" t="s">
        <v>99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Table257111315252333353739414549515359121416182022242628303234[[#This Row],[Thresh]]</f>
        <v>9.0294086700336686E-4</v>
      </c>
      <c r="N56" s="9">
        <f>Table257111315252333353739414549515359121416182022242628303234[[#This Row],[Thresh]]*2.5</f>
        <v>2.2573521675084171E-3</v>
      </c>
      <c r="O56" s="24">
        <f>Table257111315252333353739414549515359121416182022242628303234[[#This Row],[I]]</f>
        <v>8.1944444444444447E-4</v>
      </c>
      <c r="P56" s="9">
        <f>Table257111315252333353739414549515359121416182022242628303234[[#This Row],[I]]*2.5</f>
        <v>2.0486111111111113E-3</v>
      </c>
      <c r="Q56" s="24">
        <f>Table257111315252333353739414549515359121416182022242628303234[[#This Row],[VO2]]</f>
        <v>7.9458796296296287E-4</v>
      </c>
      <c r="R56" s="9">
        <f>Table257111315252333353739414549515359121416182022242628303234[[#This Row],[VO2]]*1.5</f>
        <v>1.1918819444444442E-3</v>
      </c>
      <c r="S56" s="24">
        <f>Table257111315252333353739414549515359121416182022242628303234[[#This Row],[CV]]</f>
        <v>8.636825684380031E-4</v>
      </c>
      <c r="T56" s="97">
        <f>Table257111315252333353739414549515359121416182022242628303234[[#This Row],[CV]]*2.5</f>
        <v>2.1592064210950077E-3</v>
      </c>
      <c r="U56" s="24">
        <f>Table257111315252333353739414549515359121416182022242628303234[[#This Row],[R]]/2</f>
        <v>3.7615740740740735E-4</v>
      </c>
      <c r="V56" s="23" t="s">
        <v>48</v>
      </c>
      <c r="W56" s="104"/>
    </row>
    <row r="57" spans="1:23" ht="17.149999999999999" customHeight="1" x14ac:dyDescent="0.35">
      <c r="A57" s="8" t="s">
        <v>80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Table257111315252333353739414549515359121416182022242628303234[[#This Row],[Thresh]]</f>
        <v>9.1824494949494938E-4</v>
      </c>
      <c r="N57" s="9">
        <f>Table257111315252333353739414549515359121416182022242628303234[[#This Row],[Thresh]]*2.5</f>
        <v>2.2956123737373733E-3</v>
      </c>
      <c r="O57" s="24">
        <f>Table257111315252333353739414549515359121416182022242628303234[[#This Row],[I]]</f>
        <v>8.3333333333333328E-4</v>
      </c>
      <c r="P57" s="9">
        <f>Table257111315252333353739414549515359121416182022242628303234[[#This Row],[I]]*2.5</f>
        <v>2.0833333333333333E-3</v>
      </c>
      <c r="Q57" s="24">
        <f>Table257111315252333353739414549515359121416182022242628303234[[#This Row],[VO2]]</f>
        <v>8.0805555555555546E-4</v>
      </c>
      <c r="R57" s="9">
        <f>Table257111315252333353739414549515359121416182022242628303234[[#This Row],[VO2]]*1.5</f>
        <v>1.2120833333333332E-3</v>
      </c>
      <c r="S57" s="24">
        <f>Table257111315252333353739414549515359121416182022242628303234[[#This Row],[CV]]</f>
        <v>8.7832125603864715E-4</v>
      </c>
      <c r="T57" s="97">
        <f>Table257111315252333353739414549515359121416182022242628303234[[#This Row],[CV]]*2.5</f>
        <v>2.195803140096618E-3</v>
      </c>
      <c r="U57" s="24">
        <f>Table257111315252333353739414549515359121416182022242628303234[[#This Row],[R]]/2</f>
        <v>3.7615740740740735E-4</v>
      </c>
      <c r="V57" s="23" t="s">
        <v>34</v>
      </c>
      <c r="W57" s="104"/>
    </row>
    <row r="58" spans="1:23" ht="17.149999999999999" customHeight="1" x14ac:dyDescent="0.35">
      <c r="A58" s="8" t="s">
        <v>82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Table257111315252333353739414549515359121416182022242628303234[[#This Row],[Thresh]]</f>
        <v>9.1824494949494938E-4</v>
      </c>
      <c r="N58" s="9">
        <f>Table257111315252333353739414549515359121416182022242628303234[[#This Row],[Thresh]]*2.5</f>
        <v>2.2956123737373733E-3</v>
      </c>
      <c r="O58" s="24">
        <f>Table257111315252333353739414549515359121416182022242628303234[[#This Row],[I]]</f>
        <v>8.3333333333333328E-4</v>
      </c>
      <c r="P58" s="9">
        <f>Table257111315252333353739414549515359121416182022242628303234[[#This Row],[I]]*2.5</f>
        <v>2.0833333333333333E-3</v>
      </c>
      <c r="Q58" s="24">
        <f>Table257111315252333353739414549515359121416182022242628303234[[#This Row],[VO2]]</f>
        <v>8.0805555555555546E-4</v>
      </c>
      <c r="R58" s="9">
        <f>Table257111315252333353739414549515359121416182022242628303234[[#This Row],[VO2]]*1.5</f>
        <v>1.2120833333333332E-3</v>
      </c>
      <c r="S58" s="24">
        <f>Table257111315252333353739414549515359121416182022242628303234[[#This Row],[CV]]</f>
        <v>8.7832125603864715E-4</v>
      </c>
      <c r="T58" s="97">
        <f>Table257111315252333353739414549515359121416182022242628303234[[#This Row],[CV]]*2.5</f>
        <v>2.195803140096618E-3</v>
      </c>
      <c r="U58" s="24">
        <f>Table257111315252333353739414549515359121416182022242628303234[[#This Row],[R]]/2</f>
        <v>3.7615740740740735E-4</v>
      </c>
      <c r="V58" s="23" t="s">
        <v>48</v>
      </c>
      <c r="W58" s="104"/>
    </row>
    <row r="59" spans="1:23" ht="17.149999999999999" customHeight="1" x14ac:dyDescent="0.35">
      <c r="A59" s="8" t="s">
        <v>102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Table257111315252333353739414549515359121416182022242628303234[[#This Row],[Thresh]]</f>
        <v>9.2334631032547692E-4</v>
      </c>
      <c r="N59" s="9">
        <f>Table257111315252333353739414549515359121416182022242628303234[[#This Row],[Thresh]]*2.5</f>
        <v>2.3083657758136925E-3</v>
      </c>
      <c r="O59" s="24">
        <f>Table257111315252333353739414549515359121416182022242628303234[[#This Row],[I]]</f>
        <v>8.3796296296296299E-4</v>
      </c>
      <c r="P59" s="9">
        <f>Table257111315252333353739414549515359121416182022242628303234[[#This Row],[I]]*2.5</f>
        <v>2.0949074074074073E-3</v>
      </c>
      <c r="Q59" s="24">
        <f>Table257111315252333353739414549515359121416182022242628303234[[#This Row],[VO2]]</f>
        <v>8.1254475308641973E-4</v>
      </c>
      <c r="R59" s="9">
        <f>Table257111315252333353739414549515359121416182022242628303234[[#This Row],[VO2]]*1.5</f>
        <v>1.2188171296296296E-3</v>
      </c>
      <c r="S59" s="24">
        <f>Table257111315252333353739414549515359121416182022242628303234[[#This Row],[CV]]</f>
        <v>8.8320081857219527E-4</v>
      </c>
      <c r="T59" s="97">
        <f>Table257111315252333353739414549515359121416182022242628303234[[#This Row],[CV]]*2.5</f>
        <v>2.2080020464304881E-3</v>
      </c>
      <c r="U59" s="24">
        <f>Table257111315252333353739414549515359121416182022242628303234[[#This Row],[R]]/2</f>
        <v>3.8339120370370371E-4</v>
      </c>
      <c r="V59" s="23" t="s">
        <v>48</v>
      </c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5" t="s">
        <v>198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187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64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158</v>
      </c>
      <c r="W68" s="108"/>
    </row>
    <row r="69" spans="1:23" ht="17.149999999999999" customHeight="1" x14ac:dyDescent="0.35">
      <c r="A69" s="8" t="s">
        <v>66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158</v>
      </c>
      <c r="W69" s="108"/>
    </row>
    <row r="70" spans="1:23" ht="17.149999999999999" customHeight="1" x14ac:dyDescent="0.35">
      <c r="A70" s="8" t="s">
        <v>67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158</v>
      </c>
      <c r="W70" s="108"/>
    </row>
    <row r="71" spans="1:23" ht="17.149999999999999" customHeight="1" x14ac:dyDescent="0.35">
      <c r="A71" s="8" t="s">
        <v>68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158</v>
      </c>
      <c r="W71" s="108"/>
    </row>
    <row r="72" spans="1:23" ht="17.149999999999999" customHeight="1" x14ac:dyDescent="0.35">
      <c r="A72" s="8" t="s">
        <v>112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158</v>
      </c>
      <c r="W72" s="108"/>
    </row>
    <row r="73" spans="1:23" ht="17.149999999999999" customHeight="1" x14ac:dyDescent="0.35">
      <c r="A73" s="8" t="s">
        <v>81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158</v>
      </c>
      <c r="W73" s="108"/>
    </row>
    <row r="74" spans="1:23" ht="17.149999999999999" customHeight="1" x14ac:dyDescent="0.35">
      <c r="A74" s="8" t="s">
        <v>86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158</v>
      </c>
      <c r="W74" s="108"/>
    </row>
    <row r="75" spans="1:23" ht="17.149999999999999" customHeight="1" x14ac:dyDescent="0.35">
      <c r="A75" s="8" t="s">
        <v>83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158</v>
      </c>
      <c r="W75" s="108"/>
    </row>
    <row r="76" spans="1:23" ht="17.149999999999999" customHeight="1" x14ac:dyDescent="0.35">
      <c r="A76" s="8" t="s">
        <v>92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158</v>
      </c>
      <c r="W76" s="104"/>
    </row>
    <row r="77" spans="1:23" ht="17.149999999999999" customHeight="1" x14ac:dyDescent="0.35">
      <c r="A77" s="8" t="s">
        <v>91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158</v>
      </c>
      <c r="W77" s="104"/>
    </row>
    <row r="78" spans="1:23" ht="17.149999999999999" customHeight="1" x14ac:dyDescent="0.35">
      <c r="A78" s="8" t="s">
        <v>93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158</v>
      </c>
      <c r="W78" s="104"/>
    </row>
    <row r="79" spans="1:23" ht="17.149999999999999" customHeight="1" x14ac:dyDescent="0.35">
      <c r="A79" s="8" t="s">
        <v>94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158</v>
      </c>
      <c r="W79" s="104"/>
    </row>
    <row r="80" spans="1:23" ht="17.149999999999999" customHeight="1" x14ac:dyDescent="0.35">
      <c r="A80" s="8" t="s">
        <v>85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158</v>
      </c>
      <c r="W80" s="104"/>
    </row>
    <row r="81" spans="1:23" ht="17.149999999999999" customHeight="1" x14ac:dyDescent="0.35">
      <c r="A81" s="8" t="s">
        <v>113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158</v>
      </c>
      <c r="W81" s="104"/>
    </row>
    <row r="82" spans="1:23" ht="17.149999999999999" customHeight="1" x14ac:dyDescent="0.35">
      <c r="A82" s="8" t="s">
        <v>77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158</v>
      </c>
      <c r="W82" s="104"/>
    </row>
    <row r="83" spans="1:23" ht="17.149999999999999" customHeight="1" x14ac:dyDescent="0.35">
      <c r="A83" s="8" t="s">
        <v>84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158</v>
      </c>
      <c r="W83" s="104"/>
    </row>
    <row r="84" spans="1:23" ht="17.149999999999999" customHeight="1" x14ac:dyDescent="0.35">
      <c r="A84" s="8" t="s">
        <v>103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158</v>
      </c>
      <c r="W84" s="104"/>
    </row>
    <row r="85" spans="1:23" ht="17.149999999999999" customHeight="1" x14ac:dyDescent="0.35">
      <c r="A85" s="8" t="s">
        <v>104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158</v>
      </c>
      <c r="W85" s="104"/>
    </row>
    <row r="86" spans="1:23" ht="17.149999999999999" customHeight="1" x14ac:dyDescent="0.35">
      <c r="A86" s="8" t="s">
        <v>106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158</v>
      </c>
      <c r="W86" s="104"/>
    </row>
    <row r="87" spans="1:23" ht="17.149999999999999" customHeight="1" x14ac:dyDescent="0.35">
      <c r="A87" s="8" t="s">
        <v>105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158</v>
      </c>
      <c r="W87" s="104"/>
    </row>
    <row r="88" spans="1:23" ht="17.149999999999999" customHeight="1" x14ac:dyDescent="0.35">
      <c r="A88" s="8" t="s">
        <v>107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158</v>
      </c>
      <c r="W88" s="104"/>
    </row>
    <row r="89" spans="1:23" ht="17.149999999999999" customHeight="1" x14ac:dyDescent="0.35">
      <c r="A89" s="8" t="s">
        <v>108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158</v>
      </c>
      <c r="W89" s="104"/>
    </row>
    <row r="90" spans="1:23" ht="17.149999999999999" customHeight="1" x14ac:dyDescent="0.35">
      <c r="A90" s="8" t="s">
        <v>87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158</v>
      </c>
      <c r="W90" s="104"/>
    </row>
    <row r="91" spans="1:23" ht="17.149999999999999" customHeight="1" x14ac:dyDescent="0.35">
      <c r="A91" s="8" t="s">
        <v>109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158</v>
      </c>
      <c r="W91" s="104"/>
    </row>
    <row r="92" spans="1:23" ht="17.149999999999999" customHeight="1" x14ac:dyDescent="0.35">
      <c r="A92" s="8" t="s">
        <v>110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158</v>
      </c>
      <c r="W92" s="104"/>
    </row>
    <row r="93" spans="1:23" ht="17.149999999999999" customHeight="1" x14ac:dyDescent="0.35">
      <c r="A93" s="8" t="s">
        <v>111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158</v>
      </c>
      <c r="W93" s="104"/>
    </row>
    <row r="94" spans="1:23" ht="17.149999999999999" customHeight="1" x14ac:dyDescent="0.35">
      <c r="A94" s="8" t="s">
        <v>88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158</v>
      </c>
      <c r="W94" s="104"/>
    </row>
    <row r="95" spans="1:23" ht="17.149999999999999" customHeight="1" x14ac:dyDescent="0.35">
      <c r="A95" s="8" t="s">
        <v>90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158</v>
      </c>
      <c r="W95" s="104"/>
    </row>
    <row r="96" spans="1:23" ht="17.149999999999999" customHeight="1" x14ac:dyDescent="0.35">
      <c r="A96" s="8" t="s">
        <v>115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53</v>
      </c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EFB-F019-401D-82E0-A96872746379}">
  <sheetPr>
    <pageSetUpPr fitToPage="1"/>
  </sheetPr>
  <dimension ref="A1:W99"/>
  <sheetViews>
    <sheetView workbookViewId="0">
      <selection activeCell="N71" sqref="N7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199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200</v>
      </c>
      <c r="O1" s="6" t="s">
        <v>136</v>
      </c>
      <c r="P1" s="6" t="s">
        <v>144</v>
      </c>
      <c r="Q1" s="6" t="s">
        <v>142</v>
      </c>
      <c r="R1" s="6" t="s">
        <v>133</v>
      </c>
      <c r="S1" s="6" t="s">
        <v>139</v>
      </c>
      <c r="T1" s="6" t="s">
        <v>19</v>
      </c>
      <c r="U1" s="6" t="s">
        <v>20</v>
      </c>
      <c r="V1" s="7" t="s">
        <v>21</v>
      </c>
      <c r="W1" s="107" t="s">
        <v>201</v>
      </c>
    </row>
    <row r="2" spans="1:23" ht="17.149999999999999" customHeight="1" x14ac:dyDescent="0.35">
      <c r="A2" s="8" t="s">
        <v>55</v>
      </c>
      <c r="B2" s="9">
        <v>1.1574074074074073E-2</v>
      </c>
      <c r="C2" s="9">
        <v>3.472222222222222E-3</v>
      </c>
      <c r="D2" s="9">
        <f t="shared" ref="D2:D7" si="0">B2*E2</f>
        <v>6.7337962962962959E-3</v>
      </c>
      <c r="E2" s="10">
        <v>0.58179999999999998</v>
      </c>
      <c r="F2" s="9">
        <f t="shared" ref="F2:F7" si="1">C2/4</f>
        <v>8.6805555555555551E-4</v>
      </c>
      <c r="G2" s="9">
        <f t="shared" ref="G2:G7" si="2">D2/7.5</f>
        <v>8.9783950617283942E-4</v>
      </c>
      <c r="H2" s="9">
        <f t="shared" ref="H2:H7" si="3">B2/12.5</f>
        <v>9.2592592592592585E-4</v>
      </c>
      <c r="I2" s="9">
        <f t="shared" ref="I2:I7" si="4">G2/0.93</f>
        <v>9.6541882384176272E-4</v>
      </c>
      <c r="J2" s="9">
        <f t="shared" ref="J2:J7" si="5">G2/0.92</f>
        <v>9.7591250670960798E-4</v>
      </c>
      <c r="K2" s="9">
        <f t="shared" ref="K2:K7" si="6">G2/0.88</f>
        <v>1.0202721661054994E-3</v>
      </c>
      <c r="L2" s="9">
        <f t="shared" ref="L2:L7" si="7">G2/0.84</f>
        <v>1.068856554967666E-3</v>
      </c>
      <c r="M2" s="11">
        <f>Table1461012142422323436384044485052481113151719212325272931[[#This Row],[Thresh]]</f>
        <v>1.0202721661054994E-3</v>
      </c>
      <c r="N2" s="9">
        <f>Table1461012142422323436384044485052481113151719212325272931[[#This Row],[Thresh]]*4</f>
        <v>4.0810886644219975E-3</v>
      </c>
      <c r="O2" s="12">
        <f>Table1461012142422323436384044485052481113151719212325272931[[#This Row],[CV]]</f>
        <v>9.7591250670960798E-4</v>
      </c>
      <c r="P2" s="9">
        <f>Table1461012142422323436384044485052481113151719212325272931[[#This Row],[CV]]*2</f>
        <v>1.951825013419216E-3</v>
      </c>
      <c r="Q2" s="12">
        <f>Table1461012142422323436384044485052481113151719212325272931[[#This Row],[I]]</f>
        <v>9.2592592592592585E-4</v>
      </c>
      <c r="R2" s="12">
        <f>Table1461012142422323436384044485052481113151719212325272931[[#This Row],[R]]/2</f>
        <v>4.3402777777777775E-4</v>
      </c>
      <c r="S2" s="12">
        <f>Table1461012142422323436384044485052481113151719212325272931[[#This Row],[VO2]]</f>
        <v>8.9783950617283942E-4</v>
      </c>
      <c r="T2" s="12"/>
      <c r="U2" s="9"/>
      <c r="V2" s="13" t="s">
        <v>48</v>
      </c>
      <c r="W2" s="108"/>
    </row>
    <row r="3" spans="1:23" ht="17.149999999999999" customHeight="1" x14ac:dyDescent="0.35">
      <c r="A3" s="8" t="s">
        <v>33</v>
      </c>
      <c r="B3" s="9">
        <v>1.238425925925926E-2</v>
      </c>
      <c r="C3" s="9">
        <v>3.645833333333333E-3</v>
      </c>
      <c r="D3" s="9">
        <f t="shared" si="0"/>
        <v>7.2051620370370368E-3</v>
      </c>
      <c r="E3" s="10">
        <v>0.58179999999999998</v>
      </c>
      <c r="F3" s="9">
        <f t="shared" si="1"/>
        <v>9.1145833333333324E-4</v>
      </c>
      <c r="G3" s="9">
        <f t="shared" si="2"/>
        <v>9.6068827160493821E-4</v>
      </c>
      <c r="H3" s="9">
        <f t="shared" si="3"/>
        <v>9.9074074074074082E-4</v>
      </c>
      <c r="I3" s="9">
        <f t="shared" si="4"/>
        <v>1.0329981415106862E-3</v>
      </c>
      <c r="J3" s="9">
        <f t="shared" si="5"/>
        <v>1.0442263821792807E-3</v>
      </c>
      <c r="K3" s="9">
        <f t="shared" si="6"/>
        <v>1.0916912177328843E-3</v>
      </c>
      <c r="L3" s="9">
        <f t="shared" si="7"/>
        <v>1.1436765138154027E-3</v>
      </c>
      <c r="M3" s="11">
        <f>Table1461012142422323436384044485052481113151719212325272931[[#This Row],[Thresh]]</f>
        <v>1.0916912177328843E-3</v>
      </c>
      <c r="N3" s="9">
        <f>Table1461012142422323436384044485052481113151719212325272931[[#This Row],[Thresh]]*4</f>
        <v>4.3667648709315374E-3</v>
      </c>
      <c r="O3" s="12">
        <f>Table1461012142422323436384044485052481113151719212325272931[[#This Row],[CV]]</f>
        <v>1.0442263821792807E-3</v>
      </c>
      <c r="P3" s="9">
        <f>Table1461012142422323436384044485052481113151719212325272931[[#This Row],[CV]]*2</f>
        <v>2.0884527643585614E-3</v>
      </c>
      <c r="Q3" s="12">
        <f>Table1461012142422323436384044485052481113151719212325272931[[#This Row],[I]]</f>
        <v>9.9074074074074082E-4</v>
      </c>
      <c r="R3" s="12">
        <f>Table1461012142422323436384044485052481113151719212325272931[[#This Row],[R]]/2</f>
        <v>4.5572916666666662E-4</v>
      </c>
      <c r="S3" s="12">
        <f>Table1461012142422323436384044485052481113151719212325272931[[#This Row],[VO2]]</f>
        <v>9.6068827160493821E-4</v>
      </c>
      <c r="T3" s="12"/>
      <c r="U3" s="9"/>
      <c r="V3" s="13" t="s">
        <v>48</v>
      </c>
      <c r="W3" s="108"/>
    </row>
    <row r="4" spans="1:23" ht="17.149999999999999" customHeight="1" x14ac:dyDescent="0.35">
      <c r="A4" s="8" t="s">
        <v>32</v>
      </c>
      <c r="B4" s="9">
        <v>1.238425925925926E-2</v>
      </c>
      <c r="C4" s="9">
        <v>3.5879629629629629E-3</v>
      </c>
      <c r="D4" s="9">
        <f>B4*E4</f>
        <v>7.2051620370370368E-3</v>
      </c>
      <c r="E4" s="10">
        <v>0.58179999999999998</v>
      </c>
      <c r="F4" s="9">
        <f t="shared" si="1"/>
        <v>8.9699074074074073E-4</v>
      </c>
      <c r="G4" s="9">
        <f t="shared" si="2"/>
        <v>9.6068827160493821E-4</v>
      </c>
      <c r="H4" s="9">
        <f t="shared" si="3"/>
        <v>9.9074074074074082E-4</v>
      </c>
      <c r="I4" s="9">
        <f t="shared" si="4"/>
        <v>1.0329981415106862E-3</v>
      </c>
      <c r="J4" s="9">
        <f t="shared" si="5"/>
        <v>1.0442263821792807E-3</v>
      </c>
      <c r="K4" s="9">
        <f t="shared" si="6"/>
        <v>1.0916912177328843E-3</v>
      </c>
      <c r="L4" s="9">
        <f t="shared" si="7"/>
        <v>1.1436765138154027E-3</v>
      </c>
      <c r="M4" s="11">
        <f>Table1461012142422323436384044485052481113151719212325272931[[#This Row],[Thresh]]</f>
        <v>1.0916912177328843E-3</v>
      </c>
      <c r="N4" s="9">
        <f>Table1461012142422323436384044485052481113151719212325272931[[#This Row],[Thresh]]*4</f>
        <v>4.3667648709315374E-3</v>
      </c>
      <c r="O4" s="12">
        <f>Table1461012142422323436384044485052481113151719212325272931[[#This Row],[CV]]</f>
        <v>1.0442263821792807E-3</v>
      </c>
      <c r="P4" s="9">
        <f>Table1461012142422323436384044485052481113151719212325272931[[#This Row],[CV]]*2</f>
        <v>2.0884527643585614E-3</v>
      </c>
      <c r="Q4" s="12">
        <f>Table1461012142422323436384044485052481113151719212325272931[[#This Row],[I]]</f>
        <v>9.9074074074074082E-4</v>
      </c>
      <c r="R4" s="12">
        <f>Table1461012142422323436384044485052481113151719212325272931[[#This Row],[R]]/2</f>
        <v>4.4849537037037037E-4</v>
      </c>
      <c r="S4" s="12">
        <f>Table1461012142422323436384044485052481113151719212325272931[[#This Row],[VO2]]</f>
        <v>9.6068827160493821E-4</v>
      </c>
      <c r="T4" s="12"/>
      <c r="U4" s="9"/>
      <c r="V4" s="13" t="s">
        <v>48</v>
      </c>
      <c r="W4" s="108"/>
    </row>
    <row r="5" spans="1:23" ht="17.149999999999999" customHeight="1" x14ac:dyDescent="0.35">
      <c r="A5" s="8" t="s">
        <v>49</v>
      </c>
      <c r="B5" s="9">
        <v>1.238425925925926E-2</v>
      </c>
      <c r="C5" s="9">
        <v>3.7037037037037034E-3</v>
      </c>
      <c r="D5" s="9">
        <f t="shared" si="0"/>
        <v>7.2051620370370368E-3</v>
      </c>
      <c r="E5" s="10">
        <v>0.58179999999999998</v>
      </c>
      <c r="F5" s="9">
        <f t="shared" si="1"/>
        <v>9.2592592592592585E-4</v>
      </c>
      <c r="G5" s="9">
        <f t="shared" si="2"/>
        <v>9.6068827160493821E-4</v>
      </c>
      <c r="H5" s="9">
        <f t="shared" si="3"/>
        <v>9.9074074074074082E-4</v>
      </c>
      <c r="I5" s="9">
        <f t="shared" si="4"/>
        <v>1.0329981415106862E-3</v>
      </c>
      <c r="J5" s="9">
        <f t="shared" si="5"/>
        <v>1.0442263821792807E-3</v>
      </c>
      <c r="K5" s="9">
        <f t="shared" si="6"/>
        <v>1.0916912177328843E-3</v>
      </c>
      <c r="L5" s="9">
        <f t="shared" si="7"/>
        <v>1.1436765138154027E-3</v>
      </c>
      <c r="M5" s="11">
        <f>Table1461012142422323436384044485052481113151719212325272931[[#This Row],[Thresh]]</f>
        <v>1.0916912177328843E-3</v>
      </c>
      <c r="N5" s="9">
        <f>Table1461012142422323436384044485052481113151719212325272931[[#This Row],[Thresh]]*4</f>
        <v>4.3667648709315374E-3</v>
      </c>
      <c r="O5" s="12">
        <f>Table1461012142422323436384044485052481113151719212325272931[[#This Row],[CV]]</f>
        <v>1.0442263821792807E-3</v>
      </c>
      <c r="P5" s="9">
        <f>Table1461012142422323436384044485052481113151719212325272931[[#This Row],[CV]]*2</f>
        <v>2.0884527643585614E-3</v>
      </c>
      <c r="Q5" s="12">
        <f>Table1461012142422323436384044485052481113151719212325272931[[#This Row],[I]]</f>
        <v>9.9074074074074082E-4</v>
      </c>
      <c r="R5" s="12">
        <f>Table1461012142422323436384044485052481113151719212325272931[[#This Row],[R]]/2</f>
        <v>4.6296296296296293E-4</v>
      </c>
      <c r="S5" s="12">
        <f>Table1461012142422323436384044485052481113151719212325272931[[#This Row],[VO2]]</f>
        <v>9.6068827160493821E-4</v>
      </c>
      <c r="T5" s="12"/>
      <c r="U5" s="9"/>
      <c r="V5" s="13" t="s">
        <v>48</v>
      </c>
      <c r="W5" s="108"/>
    </row>
    <row r="6" spans="1:23" ht="17.149999999999999" customHeight="1" x14ac:dyDescent="0.35">
      <c r="A6" s="8" t="s">
        <v>37</v>
      </c>
      <c r="B6" s="9">
        <v>1.238425925925926E-2</v>
      </c>
      <c r="C6" s="9">
        <v>3.8194444444444443E-3</v>
      </c>
      <c r="D6" s="9">
        <f t="shared" si="0"/>
        <v>7.2051620370370368E-3</v>
      </c>
      <c r="E6" s="10">
        <v>0.58179999999999998</v>
      </c>
      <c r="F6" s="9">
        <f t="shared" si="1"/>
        <v>9.5486111111111108E-4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Table1461012142422323436384044485052481113151719212325272931[[#This Row],[Thresh]]</f>
        <v>1.0916912177328843E-3</v>
      </c>
      <c r="N6" s="9">
        <f>Table1461012142422323436384044485052481113151719212325272931[[#This Row],[Thresh]]*4</f>
        <v>4.3667648709315374E-3</v>
      </c>
      <c r="O6" s="12">
        <f>Table1461012142422323436384044485052481113151719212325272931[[#This Row],[CV]]</f>
        <v>1.0442263821792807E-3</v>
      </c>
      <c r="P6" s="9">
        <f>Table1461012142422323436384044485052481113151719212325272931[[#This Row],[CV]]*2</f>
        <v>2.0884527643585614E-3</v>
      </c>
      <c r="Q6" s="12">
        <f>Table1461012142422323436384044485052481113151719212325272931[[#This Row],[I]]</f>
        <v>9.9074074074074082E-4</v>
      </c>
      <c r="R6" s="12">
        <f>Table1461012142422323436384044485052481113151719212325272931[[#This Row],[R]]/2</f>
        <v>4.7743055555555554E-4</v>
      </c>
      <c r="S6" s="12">
        <f>Table1461012142422323436384044485052481113151719212325272931[[#This Row],[VO2]]</f>
        <v>9.6068827160493821E-4</v>
      </c>
      <c r="T6" s="12"/>
      <c r="U6" s="9"/>
      <c r="V6" s="13" t="s">
        <v>48</v>
      </c>
      <c r="W6" s="108"/>
    </row>
    <row r="7" spans="1:23" ht="17.149999999999999" customHeight="1" x14ac:dyDescent="0.35">
      <c r="A7" s="8" t="s">
        <v>124</v>
      </c>
      <c r="B7" s="9">
        <v>1.238425925925926E-2</v>
      </c>
      <c r="C7" s="9">
        <v>3.7037037037037034E-3</v>
      </c>
      <c r="D7" s="9">
        <f t="shared" si="0"/>
        <v>7.2051620370370368E-3</v>
      </c>
      <c r="E7" s="10">
        <v>0.58179999999999998</v>
      </c>
      <c r="F7" s="9">
        <f t="shared" si="1"/>
        <v>9.2592592592592585E-4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9"/>
      <c r="S7" s="12"/>
      <c r="T7" s="12"/>
      <c r="U7" s="9"/>
      <c r="V7" s="13" t="s">
        <v>53</v>
      </c>
      <c r="W7" s="108"/>
    </row>
    <row r="8" spans="1:23" ht="17.149999999999999" customHeight="1" x14ac:dyDescent="0.35">
      <c r="A8" s="8"/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11"/>
      <c r="N8" s="9"/>
      <c r="O8" s="12"/>
      <c r="P8" s="9"/>
      <c r="Q8" s="12"/>
      <c r="R8" s="9"/>
      <c r="S8" s="12"/>
      <c r="T8" s="9"/>
      <c r="U8" s="9"/>
      <c r="V8" s="13"/>
      <c r="W8" s="108"/>
    </row>
    <row r="9" spans="1:23" ht="17.149999999999999" customHeight="1" x14ac:dyDescent="0.35">
      <c r="A9" s="14"/>
      <c r="B9" s="15"/>
      <c r="C9" s="15"/>
      <c r="D9" s="15"/>
      <c r="E9" s="16"/>
      <c r="F9" s="15">
        <f>C9/4</f>
        <v>0</v>
      </c>
      <c r="G9" s="15">
        <f>D9/7.5</f>
        <v>0</v>
      </c>
      <c r="H9" s="15">
        <f>B9/12.5</f>
        <v>0</v>
      </c>
      <c r="I9" s="15">
        <f>G9/0.93</f>
        <v>0</v>
      </c>
      <c r="J9" s="15">
        <f>G9/0.92</f>
        <v>0</v>
      </c>
      <c r="K9" s="15">
        <f>G9/0.88</f>
        <v>0</v>
      </c>
      <c r="L9" s="15">
        <f>G9/0.84</f>
        <v>0</v>
      </c>
      <c r="M9" s="30" t="s">
        <v>12</v>
      </c>
      <c r="N9" s="15" t="s">
        <v>58</v>
      </c>
      <c r="O9" s="15" t="s">
        <v>133</v>
      </c>
      <c r="P9" s="15" t="s">
        <v>195</v>
      </c>
      <c r="Q9" s="15" t="s">
        <v>202</v>
      </c>
      <c r="R9" s="15"/>
      <c r="S9" s="15"/>
      <c r="T9" s="15"/>
      <c r="U9" s="15"/>
      <c r="V9" s="17"/>
      <c r="W9" s="108"/>
    </row>
    <row r="10" spans="1:23" ht="17.149999999999999" customHeight="1" x14ac:dyDescent="0.35">
      <c r="A10" s="8" t="s">
        <v>28</v>
      </c>
      <c r="B10" s="9">
        <v>1.1689814814814814E-2</v>
      </c>
      <c r="C10" s="9">
        <v>3.3564814814814811E-3</v>
      </c>
      <c r="D10" s="9">
        <f>B10*E10</f>
        <v>6.8011342592592585E-3</v>
      </c>
      <c r="E10" s="10">
        <v>0.58179999999999998</v>
      </c>
      <c r="F10" s="9">
        <f>C10/4</f>
        <v>8.3912037037037028E-4</v>
      </c>
      <c r="G10" s="9">
        <f>D10/7.5</f>
        <v>9.0681790123456785E-4</v>
      </c>
      <c r="H10" s="9">
        <f>B10/12.5</f>
        <v>9.3518518518518516E-4</v>
      </c>
      <c r="I10" s="9">
        <f>G10/0.93</f>
        <v>9.7507301208018041E-4</v>
      </c>
      <c r="J10" s="9">
        <f>G10/0.92</f>
        <v>9.8567163177670412E-4</v>
      </c>
      <c r="K10" s="9">
        <f>G10/0.88</f>
        <v>1.0304748877665545E-3</v>
      </c>
      <c r="L10" s="9">
        <f>G10/0.84</f>
        <v>1.0795451205173427E-3</v>
      </c>
      <c r="M10" s="11">
        <f>Table1461012142422323436384044485052481113151719212325272931[[#This Row],[Thresh]]</f>
        <v>1.0304748877665545E-3</v>
      </c>
      <c r="N10" s="9">
        <f>Table1461012142422323436384044485052481113151719212325272931[[#This Row],[Thresh]]*2.5</f>
        <v>2.5761872194163863E-3</v>
      </c>
      <c r="O10" s="12">
        <f>Table1461012142422323436384044485052481113151719212325272931[[#This Row],[R]]/2</f>
        <v>4.1956018518518514E-4</v>
      </c>
      <c r="P10" s="9">
        <f>Table1461012142422323436384044485052481113151719212325272931[[#This Row],[VO2]]</f>
        <v>9.0681790123456785E-4</v>
      </c>
      <c r="Q10" s="12">
        <f>Table1461012142422323436384044485052481113151719212325272931[[#This Row],[VO2]]*2</f>
        <v>1.8136358024691357E-3</v>
      </c>
      <c r="R10" s="9"/>
      <c r="S10" s="12"/>
      <c r="T10" s="12"/>
      <c r="U10" s="9"/>
      <c r="V10" s="13" t="s">
        <v>30</v>
      </c>
      <c r="W10" s="104" t="s">
        <v>203</v>
      </c>
    </row>
    <row r="11" spans="1:23" ht="17.149999999999999" customHeight="1" x14ac:dyDescent="0.35">
      <c r="A11" s="8"/>
      <c r="B11" s="9"/>
      <c r="C11" s="9"/>
      <c r="D11" s="9"/>
      <c r="E11" s="10"/>
      <c r="F11" s="9"/>
      <c r="G11" s="9"/>
      <c r="H11" s="9"/>
      <c r="I11" s="9"/>
      <c r="J11" s="9"/>
      <c r="K11" s="9"/>
      <c r="L11" s="9"/>
      <c r="M11" s="11"/>
      <c r="N11" s="9"/>
      <c r="O11" s="12"/>
      <c r="P11" s="9"/>
      <c r="Q11" s="12"/>
      <c r="R11" s="9"/>
      <c r="S11" s="12"/>
      <c r="T11" s="9"/>
      <c r="U11" s="9"/>
      <c r="V11" s="13"/>
      <c r="W11" s="104"/>
    </row>
    <row r="12" spans="1:23" ht="17.149999999999999" customHeight="1" x14ac:dyDescent="0.35">
      <c r="A12" s="14"/>
      <c r="B12" s="15"/>
      <c r="C12" s="15"/>
      <c r="D12" s="15"/>
      <c r="E12" s="16"/>
      <c r="F12" s="15">
        <f t="shared" ref="F12" si="8">C12/4</f>
        <v>0</v>
      </c>
      <c r="G12" s="15">
        <f t="shared" ref="G12" si="9">D12/7.5</f>
        <v>0</v>
      </c>
      <c r="H12" s="15">
        <f t="shared" ref="H12" si="10">B12/12.5</f>
        <v>0</v>
      </c>
      <c r="I12" s="15">
        <f t="shared" ref="I12" si="11">G12/0.93</f>
        <v>0</v>
      </c>
      <c r="J12" s="15">
        <f t="shared" ref="J12" si="12">G12/0.92</f>
        <v>0</v>
      </c>
      <c r="K12" s="15">
        <f t="shared" ref="K12" si="13">G12/0.88</f>
        <v>0</v>
      </c>
      <c r="L12" s="15">
        <f t="shared" ref="L12" si="14">G12/0.84</f>
        <v>0</v>
      </c>
      <c r="M12" s="30"/>
      <c r="N12" s="15"/>
      <c r="O12" s="15"/>
      <c r="P12" s="15"/>
      <c r="Q12" s="15"/>
      <c r="R12" s="15"/>
      <c r="S12" s="15"/>
      <c r="T12" s="15"/>
      <c r="U12" s="15"/>
      <c r="V12" s="17"/>
      <c r="W12" s="104"/>
    </row>
    <row r="13" spans="1:23" ht="17.149999999999999" customHeight="1" x14ac:dyDescent="0.35">
      <c r="A13" s="8" t="s">
        <v>52</v>
      </c>
      <c r="B13" s="9">
        <v>1.1805555555555555E-2</v>
      </c>
      <c r="C13" s="9">
        <v>3.472222222222222E-3</v>
      </c>
      <c r="D13" s="9">
        <f t="shared" ref="D13:D18" si="15">B13*E13</f>
        <v>6.868472222222222E-3</v>
      </c>
      <c r="E13" s="10">
        <v>0.58179999999999998</v>
      </c>
      <c r="F13" s="9">
        <f t="shared" ref="F13:F26" si="16">C13/4</f>
        <v>8.6805555555555551E-4</v>
      </c>
      <c r="G13" s="9">
        <f t="shared" ref="G13:G26" si="17">D13/7.5</f>
        <v>9.1579629629629628E-4</v>
      </c>
      <c r="H13" s="9">
        <f t="shared" ref="H13:H26" si="18">B13/12.5</f>
        <v>9.4444444444444437E-4</v>
      </c>
      <c r="I13" s="9">
        <f t="shared" ref="I13:I26" si="19">G13/0.93</f>
        <v>9.8472720031859799E-4</v>
      </c>
      <c r="J13" s="9">
        <f t="shared" ref="J13:J26" si="20">G13/0.92</f>
        <v>9.9543075684380036E-4</v>
      </c>
      <c r="K13" s="9">
        <f t="shared" ref="K13:K26" si="21">G13/0.88</f>
        <v>1.0406776094276093E-3</v>
      </c>
      <c r="L13" s="9">
        <f t="shared" ref="L13:L26" si="22">G13/0.84</f>
        <v>1.0902336860670195E-3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24</v>
      </c>
      <c r="W13" s="104"/>
    </row>
    <row r="14" spans="1:23" ht="17.149999999999999" customHeight="1" x14ac:dyDescent="0.35">
      <c r="A14" s="8" t="s">
        <v>26</v>
      </c>
      <c r="B14" s="9">
        <v>1.2152777777777778E-2</v>
      </c>
      <c r="C14" s="9">
        <v>3.472222222222222E-3</v>
      </c>
      <c r="D14" s="9">
        <f t="shared" si="15"/>
        <v>7.0704861111111107E-3</v>
      </c>
      <c r="E14" s="10">
        <v>0.58179999999999998</v>
      </c>
      <c r="F14" s="9">
        <f t="shared" si="16"/>
        <v>8.6805555555555551E-4</v>
      </c>
      <c r="G14" s="9">
        <f t="shared" si="17"/>
        <v>9.4273148148148146E-4</v>
      </c>
      <c r="H14" s="9">
        <f t="shared" si="18"/>
        <v>9.7222222222222219E-4</v>
      </c>
      <c r="I14" s="9">
        <f t="shared" si="19"/>
        <v>1.0136897650338511E-3</v>
      </c>
      <c r="J14" s="9">
        <f t="shared" si="20"/>
        <v>1.0247081320450884E-3</v>
      </c>
      <c r="K14" s="9">
        <f t="shared" si="21"/>
        <v>1.0712857744107744E-3</v>
      </c>
      <c r="L14" s="9">
        <f t="shared" si="22"/>
        <v>1.1222993827160494E-3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24</v>
      </c>
      <c r="W14" s="104"/>
    </row>
    <row r="15" spans="1:23" ht="17.149999999999999" customHeight="1" x14ac:dyDescent="0.35">
      <c r="A15" s="8" t="s">
        <v>23</v>
      </c>
      <c r="B15" s="9">
        <v>1.3020833333333334E-2</v>
      </c>
      <c r="C15" s="9">
        <v>3.7037037037037034E-3</v>
      </c>
      <c r="D15" s="9">
        <f t="shared" si="15"/>
        <v>7.5755208333333334E-3</v>
      </c>
      <c r="E15" s="10">
        <v>0.58179999999999998</v>
      </c>
      <c r="F15" s="9">
        <f t="shared" si="16"/>
        <v>9.2592592592592585E-4</v>
      </c>
      <c r="G15" s="9">
        <f t="shared" si="17"/>
        <v>1.0100694444444445E-3</v>
      </c>
      <c r="H15" s="9">
        <f t="shared" si="18"/>
        <v>1.0416666666666667E-3</v>
      </c>
      <c r="I15" s="9">
        <f t="shared" si="19"/>
        <v>1.0860961768219832E-3</v>
      </c>
      <c r="J15" s="9">
        <f t="shared" si="20"/>
        <v>1.0979015700483092E-3</v>
      </c>
      <c r="K15" s="9">
        <f t="shared" si="21"/>
        <v>1.1478061868686869E-3</v>
      </c>
      <c r="L15" s="9">
        <f t="shared" si="22"/>
        <v>1.2024636243386244E-3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4"/>
    </row>
    <row r="16" spans="1:23" ht="17.149999999999999" customHeight="1" x14ac:dyDescent="0.35">
      <c r="A16" s="8" t="s">
        <v>36</v>
      </c>
      <c r="B16" s="9">
        <v>1.3020833333333334E-2</v>
      </c>
      <c r="C16" s="9">
        <v>3.7615740740740739E-3</v>
      </c>
      <c r="D16" s="9">
        <f t="shared" si="15"/>
        <v>7.5755208333333334E-3</v>
      </c>
      <c r="E16" s="10">
        <v>0.58179999999999998</v>
      </c>
      <c r="F16" s="9">
        <f t="shared" si="16"/>
        <v>9.4039351851851847E-4</v>
      </c>
      <c r="G16" s="9">
        <f t="shared" si="17"/>
        <v>1.0100694444444445E-3</v>
      </c>
      <c r="H16" s="9">
        <f t="shared" si="18"/>
        <v>1.0416666666666667E-3</v>
      </c>
      <c r="I16" s="9">
        <f t="shared" si="19"/>
        <v>1.0860961768219832E-3</v>
      </c>
      <c r="J16" s="9">
        <f t="shared" si="20"/>
        <v>1.0979015700483092E-3</v>
      </c>
      <c r="K16" s="9">
        <f t="shared" si="21"/>
        <v>1.1478061868686869E-3</v>
      </c>
      <c r="L16" s="9">
        <f t="shared" si="22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24</v>
      </c>
      <c r="W16" s="104"/>
    </row>
    <row r="17" spans="1:23" ht="17.149999999999999" customHeight="1" x14ac:dyDescent="0.35">
      <c r="A17" s="8" t="s">
        <v>25</v>
      </c>
      <c r="B17" s="9">
        <v>1.3020833333333334E-2</v>
      </c>
      <c r="C17" s="9">
        <v>3.7037037037037038E-3</v>
      </c>
      <c r="D17" s="9">
        <f t="shared" si="15"/>
        <v>7.5755208333333334E-3</v>
      </c>
      <c r="E17" s="10">
        <v>0.58179999999999998</v>
      </c>
      <c r="F17" s="9">
        <f t="shared" si="16"/>
        <v>9.2592592592592596E-4</v>
      </c>
      <c r="G17" s="9">
        <f t="shared" si="17"/>
        <v>1.0100694444444445E-3</v>
      </c>
      <c r="H17" s="9">
        <f t="shared" si="18"/>
        <v>1.0416666666666667E-3</v>
      </c>
      <c r="I17" s="9">
        <f t="shared" si="19"/>
        <v>1.0860961768219832E-3</v>
      </c>
      <c r="J17" s="9">
        <f t="shared" si="20"/>
        <v>1.0979015700483092E-3</v>
      </c>
      <c r="K17" s="9">
        <f t="shared" si="21"/>
        <v>1.1478061868686869E-3</v>
      </c>
      <c r="L17" s="9">
        <f t="shared" si="22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104"/>
    </row>
    <row r="18" spans="1:23" ht="17.149999999999999" customHeight="1" x14ac:dyDescent="0.35">
      <c r="A18" s="8" t="s">
        <v>56</v>
      </c>
      <c r="B18" s="9">
        <v>1.3541666666666667E-2</v>
      </c>
      <c r="C18" s="9">
        <v>3.9351851851851857E-3</v>
      </c>
      <c r="D18" s="9">
        <f t="shared" si="15"/>
        <v>7.8785416666666674E-3</v>
      </c>
      <c r="E18" s="10">
        <v>0.58179999999999998</v>
      </c>
      <c r="F18" s="9">
        <f>C18/4</f>
        <v>9.8379629629629642E-4</v>
      </c>
      <c r="G18" s="9">
        <f>D18/7.5</f>
        <v>1.0504722222222224E-3</v>
      </c>
      <c r="H18" s="9">
        <f>B18/12.5</f>
        <v>1.0833333333333333E-3</v>
      </c>
      <c r="I18" s="9">
        <f>G18/0.93</f>
        <v>1.1295400238948627E-3</v>
      </c>
      <c r="J18" s="9">
        <f>G18/0.92</f>
        <v>1.1418176328502417E-3</v>
      </c>
      <c r="K18" s="9">
        <f>G18/0.88</f>
        <v>1.1937184343434346E-3</v>
      </c>
      <c r="L18" s="9">
        <f>G18/0.84</f>
        <v>1.2505621693121695E-3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57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16"/>
        <v>0</v>
      </c>
      <c r="G19" s="9">
        <f t="shared" si="17"/>
        <v>0</v>
      </c>
      <c r="H19" s="9">
        <f t="shared" si="18"/>
        <v>0</v>
      </c>
      <c r="I19" s="9">
        <f t="shared" si="19"/>
        <v>0</v>
      </c>
      <c r="J19" s="9">
        <f t="shared" si="20"/>
        <v>0</v>
      </c>
      <c r="K19" s="9">
        <f t="shared" si="21"/>
        <v>0</v>
      </c>
      <c r="L19" s="9">
        <f t="shared" si="22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/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16"/>
        <v>0</v>
      </c>
      <c r="G20" s="15">
        <f t="shared" si="17"/>
        <v>0</v>
      </c>
      <c r="H20" s="15">
        <f t="shared" si="18"/>
        <v>0</v>
      </c>
      <c r="I20" s="15">
        <f t="shared" si="19"/>
        <v>0</v>
      </c>
      <c r="J20" s="15">
        <f t="shared" si="20"/>
        <v>0</v>
      </c>
      <c r="K20" s="15">
        <f t="shared" si="21"/>
        <v>0</v>
      </c>
      <c r="L20" s="15">
        <f t="shared" si="22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31</v>
      </c>
      <c r="B21" s="9">
        <v>1.1689814814814814E-2</v>
      </c>
      <c r="C21" s="9">
        <v>3.3564814814814811E-3</v>
      </c>
      <c r="D21" s="9">
        <f t="shared" ref="D21:D26" si="23">B21*E21</f>
        <v>6.8011342592592585E-3</v>
      </c>
      <c r="E21" s="10">
        <v>0.58179999999999998</v>
      </c>
      <c r="F21" s="9">
        <f t="shared" si="16"/>
        <v>8.3912037037037028E-4</v>
      </c>
      <c r="G21" s="9">
        <f t="shared" si="17"/>
        <v>9.0681790123456785E-4</v>
      </c>
      <c r="H21" s="9">
        <f t="shared" si="18"/>
        <v>9.3518518518518516E-4</v>
      </c>
      <c r="I21" s="9">
        <f t="shared" si="19"/>
        <v>9.7507301208018041E-4</v>
      </c>
      <c r="J21" s="9">
        <f t="shared" si="20"/>
        <v>9.8567163177670412E-4</v>
      </c>
      <c r="K21" s="9">
        <f t="shared" si="21"/>
        <v>1.0304748877665545E-3</v>
      </c>
      <c r="L21" s="9">
        <f t="shared" si="22"/>
        <v>1.0795451205173427E-3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30</v>
      </c>
      <c r="W21" s="104"/>
    </row>
    <row r="22" spans="1:23" ht="17.149999999999999" customHeight="1" x14ac:dyDescent="0.35">
      <c r="A22" s="8" t="s">
        <v>39</v>
      </c>
      <c r="B22" s="9">
        <v>1.3020833333333334E-2</v>
      </c>
      <c r="C22" s="9">
        <v>3.8194444444444443E-3</v>
      </c>
      <c r="D22" s="9">
        <f t="shared" si="23"/>
        <v>7.5755208333333334E-3</v>
      </c>
      <c r="E22" s="10">
        <v>0.58179999999999998</v>
      </c>
      <c r="F22" s="9">
        <f t="shared" si="16"/>
        <v>9.5486111111111108E-4</v>
      </c>
      <c r="G22" s="9">
        <f t="shared" si="17"/>
        <v>1.0100694444444445E-3</v>
      </c>
      <c r="H22" s="9">
        <f t="shared" si="18"/>
        <v>1.0416666666666667E-3</v>
      </c>
      <c r="I22" s="9">
        <f t="shared" si="19"/>
        <v>1.0860961768219832E-3</v>
      </c>
      <c r="J22" s="9">
        <f t="shared" si="20"/>
        <v>1.0979015700483092E-3</v>
      </c>
      <c r="K22" s="9">
        <f t="shared" si="21"/>
        <v>1.1478061868686869E-3</v>
      </c>
      <c r="L22" s="9">
        <f t="shared" si="22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30</v>
      </c>
      <c r="W22" s="104"/>
    </row>
    <row r="23" spans="1:23" ht="17.149999999999999" customHeight="1" x14ac:dyDescent="0.35">
      <c r="A23" s="8" t="s">
        <v>41</v>
      </c>
      <c r="B23" s="9">
        <v>1.3541666666666667E-2</v>
      </c>
      <c r="C23" s="9">
        <v>4.0509259259259257E-3</v>
      </c>
      <c r="D23" s="9">
        <f t="shared" si="23"/>
        <v>7.8785416666666674E-3</v>
      </c>
      <c r="E23" s="10">
        <v>0.58179999999999998</v>
      </c>
      <c r="F23" s="9">
        <f t="shared" si="16"/>
        <v>1.0127314814814814E-3</v>
      </c>
      <c r="G23" s="9">
        <f t="shared" si="17"/>
        <v>1.0504722222222224E-3</v>
      </c>
      <c r="H23" s="9">
        <f t="shared" si="18"/>
        <v>1.0833333333333333E-3</v>
      </c>
      <c r="I23" s="9">
        <f t="shared" si="19"/>
        <v>1.1295400238948627E-3</v>
      </c>
      <c r="J23" s="9">
        <f t="shared" si="20"/>
        <v>1.1418176328502417E-3</v>
      </c>
      <c r="K23" s="9">
        <f t="shared" si="21"/>
        <v>1.1937184343434346E-3</v>
      </c>
      <c r="L23" s="9">
        <f t="shared" si="22"/>
        <v>1.2505621693121695E-3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30</v>
      </c>
      <c r="W23" s="104"/>
    </row>
    <row r="24" spans="1:23" ht="17.149999999999999" customHeight="1" x14ac:dyDescent="0.35">
      <c r="A24" s="8" t="s">
        <v>42</v>
      </c>
      <c r="B24" s="9">
        <v>1.4236111111111111E-2</v>
      </c>
      <c r="C24" s="9">
        <v>4.0509259259259257E-3</v>
      </c>
      <c r="D24" s="9">
        <f t="shared" si="23"/>
        <v>8.2825694444444448E-3</v>
      </c>
      <c r="E24" s="10">
        <v>0.58179999999999998</v>
      </c>
      <c r="F24" s="9">
        <f t="shared" si="16"/>
        <v>1.0127314814814814E-3</v>
      </c>
      <c r="G24" s="9">
        <f t="shared" si="17"/>
        <v>1.1043425925925927E-3</v>
      </c>
      <c r="H24" s="9">
        <f t="shared" si="18"/>
        <v>1.1388888888888889E-3</v>
      </c>
      <c r="I24" s="9">
        <f t="shared" si="19"/>
        <v>1.1874651533253684E-3</v>
      </c>
      <c r="J24" s="9">
        <f t="shared" si="20"/>
        <v>1.2003723832528181E-3</v>
      </c>
      <c r="K24" s="9">
        <f t="shared" si="21"/>
        <v>1.2549347643097644E-3</v>
      </c>
      <c r="L24" s="9">
        <f t="shared" si="22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30</v>
      </c>
      <c r="W24" s="104"/>
    </row>
    <row r="25" spans="1:23" ht="17.149999999999999" customHeight="1" x14ac:dyDescent="0.35">
      <c r="A25" s="8" t="s">
        <v>43</v>
      </c>
      <c r="B25" s="9">
        <v>1.4236111111111111E-2</v>
      </c>
      <c r="C25" s="9">
        <v>4.0509259259259257E-3</v>
      </c>
      <c r="D25" s="9">
        <f t="shared" si="23"/>
        <v>8.2825694444444448E-3</v>
      </c>
      <c r="E25" s="10">
        <v>0.58179999999999998</v>
      </c>
      <c r="F25" s="9">
        <f t="shared" si="16"/>
        <v>1.0127314814814814E-3</v>
      </c>
      <c r="G25" s="9">
        <f t="shared" si="17"/>
        <v>1.1043425925925927E-3</v>
      </c>
      <c r="H25" s="9">
        <f t="shared" si="18"/>
        <v>1.1388888888888889E-3</v>
      </c>
      <c r="I25" s="9">
        <f t="shared" si="19"/>
        <v>1.1874651533253684E-3</v>
      </c>
      <c r="J25" s="9">
        <f t="shared" si="20"/>
        <v>1.2003723832528181E-3</v>
      </c>
      <c r="K25" s="9">
        <f t="shared" si="21"/>
        <v>1.2549347643097644E-3</v>
      </c>
      <c r="L25" s="9">
        <f t="shared" si="22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30</v>
      </c>
      <c r="W25" s="104"/>
    </row>
    <row r="26" spans="1:23" ht="17.149999999999999" customHeight="1" x14ac:dyDescent="0.35">
      <c r="A26" s="8" t="s">
        <v>44</v>
      </c>
      <c r="B26" s="9">
        <v>1.4236111111111111E-2</v>
      </c>
      <c r="C26" s="9">
        <v>4.1666666666666666E-3</v>
      </c>
      <c r="D26" s="9">
        <f t="shared" si="23"/>
        <v>8.2825694444444448E-3</v>
      </c>
      <c r="E26" s="10">
        <v>0.58179999999999998</v>
      </c>
      <c r="F26" s="9">
        <f t="shared" si="16"/>
        <v>1.0416666666666667E-3</v>
      </c>
      <c r="G26" s="9">
        <f t="shared" si="17"/>
        <v>1.1043425925925927E-3</v>
      </c>
      <c r="H26" s="9">
        <f t="shared" si="18"/>
        <v>1.1388888888888889E-3</v>
      </c>
      <c r="I26" s="9">
        <f t="shared" si="19"/>
        <v>1.1874651533253684E-3</v>
      </c>
      <c r="J26" s="9">
        <f t="shared" si="20"/>
        <v>1.2003723832528181E-3</v>
      </c>
      <c r="K26" s="9">
        <f t="shared" si="21"/>
        <v>1.2549347643097644E-3</v>
      </c>
      <c r="L26" s="9">
        <f t="shared" si="22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30</v>
      </c>
      <c r="W26" s="104"/>
    </row>
    <row r="27" spans="1:23" ht="17.149999999999999" customHeight="1" x14ac:dyDescent="0.35">
      <c r="A27" s="8" t="s">
        <v>47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 t="shared" ref="F27:F31" si="24">C27/4</f>
        <v>9.2592592592592585E-4</v>
      </c>
      <c r="G27" s="9">
        <f t="shared" ref="G27:G31" si="25">D27/7.5</f>
        <v>9.5170987654320989E-4</v>
      </c>
      <c r="H27" s="9">
        <f t="shared" ref="H27:H31" si="26">B27/12.5</f>
        <v>9.8148148148148161E-4</v>
      </c>
      <c r="I27" s="9">
        <f t="shared" ref="I27:I31" si="27">G27/0.93</f>
        <v>1.0233439532722685E-3</v>
      </c>
      <c r="J27" s="9">
        <f t="shared" ref="J27:J31" si="28">G27/0.92</f>
        <v>1.0344672571121847E-3</v>
      </c>
      <c r="K27" s="9">
        <f t="shared" ref="K27:K31" si="29">G27/0.88</f>
        <v>1.0814884960718295E-3</v>
      </c>
      <c r="L27" s="9">
        <f t="shared" ref="L27:L31" si="30">G27/0.84</f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34</v>
      </c>
      <c r="W27" s="104"/>
    </row>
    <row r="28" spans="1:23" ht="17.149999999999999" customHeight="1" x14ac:dyDescent="0.35">
      <c r="A28" s="8" t="s">
        <v>38</v>
      </c>
      <c r="B28" s="9">
        <v>1.238425925925926E-2</v>
      </c>
      <c r="C28" s="9">
        <v>3.8194444444444443E-3</v>
      </c>
      <c r="D28" s="9">
        <f>B28*E28</f>
        <v>7.2051620370370368E-3</v>
      </c>
      <c r="E28" s="10">
        <v>0.58179999999999998</v>
      </c>
      <c r="F28" s="9">
        <f t="shared" si="24"/>
        <v>9.5486111111111108E-4</v>
      </c>
      <c r="G28" s="9">
        <f t="shared" si="25"/>
        <v>9.6068827160493821E-4</v>
      </c>
      <c r="H28" s="9">
        <f t="shared" si="26"/>
        <v>9.9074074074074082E-4</v>
      </c>
      <c r="I28" s="9">
        <f t="shared" si="27"/>
        <v>1.0329981415106862E-3</v>
      </c>
      <c r="J28" s="9">
        <f t="shared" si="28"/>
        <v>1.0442263821792807E-3</v>
      </c>
      <c r="K28" s="9">
        <f t="shared" si="29"/>
        <v>1.0916912177328843E-3</v>
      </c>
      <c r="L28" s="9">
        <f t="shared" si="30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34</v>
      </c>
      <c r="W28" s="104"/>
    </row>
    <row r="29" spans="1:23" ht="17.149999999999999" customHeight="1" x14ac:dyDescent="0.35">
      <c r="A29" s="8" t="s">
        <v>51</v>
      </c>
      <c r="B29" s="9">
        <v>1.2499999999999999E-2</v>
      </c>
      <c r="C29" s="9">
        <v>3.7037037037037034E-3</v>
      </c>
      <c r="D29" s="9">
        <f>B29*E29</f>
        <v>7.2724999999999995E-3</v>
      </c>
      <c r="E29" s="10">
        <v>0.58179999999999998</v>
      </c>
      <c r="F29" s="9">
        <f t="shared" si="24"/>
        <v>9.2592592592592585E-4</v>
      </c>
      <c r="G29" s="9">
        <f t="shared" si="25"/>
        <v>9.6966666666666664E-4</v>
      </c>
      <c r="H29" s="9">
        <f t="shared" si="26"/>
        <v>1E-3</v>
      </c>
      <c r="I29" s="9">
        <f t="shared" si="27"/>
        <v>1.0426523297491039E-3</v>
      </c>
      <c r="J29" s="9">
        <f t="shared" si="28"/>
        <v>1.0539855072463768E-3</v>
      </c>
      <c r="K29" s="9">
        <f t="shared" si="29"/>
        <v>1.1018939393939394E-3</v>
      </c>
      <c r="L29" s="9">
        <f t="shared" si="30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34</v>
      </c>
      <c r="W29" s="104"/>
    </row>
    <row r="30" spans="1:23" ht="17.149999999999999" customHeight="1" x14ac:dyDescent="0.35">
      <c r="A30" s="8" t="s">
        <v>50</v>
      </c>
      <c r="B30" s="9">
        <v>1.2499999999999999E-2</v>
      </c>
      <c r="C30" s="9">
        <v>3.9351851851851857E-3</v>
      </c>
      <c r="D30" s="9">
        <f>B30*E30</f>
        <v>7.2724999999999995E-3</v>
      </c>
      <c r="E30" s="10">
        <v>0.58179999999999998</v>
      </c>
      <c r="F30" s="9">
        <f t="shared" si="24"/>
        <v>9.8379629629629642E-4</v>
      </c>
      <c r="G30" s="9">
        <f t="shared" si="25"/>
        <v>9.6966666666666664E-4</v>
      </c>
      <c r="H30" s="9">
        <f t="shared" si="26"/>
        <v>1E-3</v>
      </c>
      <c r="I30" s="9">
        <f t="shared" si="27"/>
        <v>1.0426523297491039E-3</v>
      </c>
      <c r="J30" s="9">
        <f t="shared" si="28"/>
        <v>1.0539855072463768E-3</v>
      </c>
      <c r="K30" s="9">
        <f t="shared" si="29"/>
        <v>1.1018939393939394E-3</v>
      </c>
      <c r="L30" s="9">
        <f t="shared" si="30"/>
        <v>1.1543650793650795E-3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34</v>
      </c>
      <c r="W30" s="104"/>
    </row>
    <row r="31" spans="1:23" ht="17.149999999999999" customHeight="1" x14ac:dyDescent="0.35">
      <c r="A31" s="8" t="s">
        <v>40</v>
      </c>
      <c r="B31" s="9">
        <v>1.3020833333333334E-2</v>
      </c>
      <c r="C31" s="9">
        <v>3.8194444444444443E-3</v>
      </c>
      <c r="D31" s="9">
        <f>B31*E31</f>
        <v>7.5755208333333334E-3</v>
      </c>
      <c r="E31" s="10">
        <v>0.58179999999999998</v>
      </c>
      <c r="F31" s="9">
        <f t="shared" si="24"/>
        <v>9.5486111111111108E-4</v>
      </c>
      <c r="G31" s="9">
        <f t="shared" si="25"/>
        <v>1.0100694444444445E-3</v>
      </c>
      <c r="H31" s="9">
        <f t="shared" si="26"/>
        <v>1.0416666666666667E-3</v>
      </c>
      <c r="I31" s="9">
        <f t="shared" si="27"/>
        <v>1.0860961768219832E-3</v>
      </c>
      <c r="J31" s="9">
        <f t="shared" si="28"/>
        <v>1.0979015700483092E-3</v>
      </c>
      <c r="K31" s="9">
        <f t="shared" si="29"/>
        <v>1.1478061868686869E-3</v>
      </c>
      <c r="L31" s="9">
        <f t="shared" si="30"/>
        <v>1.2024636243386244E-3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34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199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133</v>
      </c>
      <c r="P34" s="6" t="s">
        <v>204</v>
      </c>
      <c r="Q34" s="6" t="s">
        <v>205</v>
      </c>
      <c r="R34" s="6" t="s">
        <v>120</v>
      </c>
      <c r="S34" s="6" t="s">
        <v>59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61</v>
      </c>
      <c r="B35" s="9">
        <v>1.0416666666666666E-2</v>
      </c>
      <c r="C35" s="9">
        <v>2.8935185185185188E-3</v>
      </c>
      <c r="D35" s="9">
        <f t="shared" ref="D35:D43" si="31">B35*E35</f>
        <v>6.0604166666666662E-3</v>
      </c>
      <c r="E35" s="10">
        <v>0.58179999999999998</v>
      </c>
      <c r="F35" s="9">
        <f t="shared" ref="F35:F44" si="32">C35/4</f>
        <v>7.233796296296297E-4</v>
      </c>
      <c r="G35" s="9">
        <f t="shared" ref="G35:G44" si="33">D35/7.5</f>
        <v>8.0805555555555546E-4</v>
      </c>
      <c r="H35" s="9">
        <f t="shared" ref="H35:H44" si="34">B35/12.5</f>
        <v>8.3333333333333328E-4</v>
      </c>
      <c r="I35" s="9">
        <f t="shared" ref="I35:I44" si="35">G35/0.93</f>
        <v>8.6887694145758646E-4</v>
      </c>
      <c r="J35" s="9">
        <f t="shared" ref="J35:J44" si="36">G35/0.92</f>
        <v>8.7832125603864715E-4</v>
      </c>
      <c r="K35" s="9">
        <f t="shared" ref="K35:K44" si="37">G35/0.88</f>
        <v>9.1824494949494938E-4</v>
      </c>
      <c r="L35" s="9">
        <f t="shared" ref="L35:L44" si="38"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64</v>
      </c>
      <c r="B36" s="9">
        <v>1.0416666666666666E-2</v>
      </c>
      <c r="C36" s="9">
        <v>2.9513888888888888E-3</v>
      </c>
      <c r="D36" s="9">
        <f t="shared" si="31"/>
        <v>6.0604166666666662E-3</v>
      </c>
      <c r="E36" s="10">
        <v>0.58179999999999998</v>
      </c>
      <c r="F36" s="9">
        <f t="shared" si="32"/>
        <v>7.378472222222222E-4</v>
      </c>
      <c r="G36" s="9">
        <f t="shared" si="33"/>
        <v>8.0805555555555546E-4</v>
      </c>
      <c r="H36" s="9">
        <f t="shared" si="34"/>
        <v>8.3333333333333328E-4</v>
      </c>
      <c r="I36" s="9">
        <f t="shared" si="35"/>
        <v>8.6887694145758646E-4</v>
      </c>
      <c r="J36" s="9">
        <f t="shared" si="36"/>
        <v>8.7832125603864715E-4</v>
      </c>
      <c r="K36" s="9">
        <f t="shared" si="37"/>
        <v>9.1824494949494938E-4</v>
      </c>
      <c r="L36" s="9">
        <f t="shared" si="38"/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65</v>
      </c>
      <c r="B37" s="9">
        <v>1.0416666666666666E-2</v>
      </c>
      <c r="C37" s="9">
        <v>2.9745370370370373E-3</v>
      </c>
      <c r="D37" s="9">
        <f t="shared" si="31"/>
        <v>6.0604166666666662E-3</v>
      </c>
      <c r="E37" s="10">
        <v>0.58179999999999998</v>
      </c>
      <c r="F37" s="9">
        <f t="shared" si="32"/>
        <v>7.4363425925925931E-4</v>
      </c>
      <c r="G37" s="9">
        <f t="shared" si="33"/>
        <v>8.0805555555555546E-4</v>
      </c>
      <c r="H37" s="9">
        <f t="shared" si="34"/>
        <v>8.3333333333333328E-4</v>
      </c>
      <c r="I37" s="9">
        <f t="shared" si="35"/>
        <v>8.6887694145758646E-4</v>
      </c>
      <c r="J37" s="9">
        <f t="shared" si="36"/>
        <v>8.7832125603864715E-4</v>
      </c>
      <c r="K37" s="9">
        <f t="shared" si="37"/>
        <v>9.1824494949494938E-4</v>
      </c>
      <c r="L37" s="9">
        <f t="shared" si="38"/>
        <v>9.6197089947089938E-4</v>
      </c>
      <c r="M37" s="11"/>
      <c r="N37" s="9"/>
      <c r="O37" s="24"/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31"/>
        <v>6.3297685185185184E-3</v>
      </c>
      <c r="E38" s="10">
        <v>0.58179999999999998</v>
      </c>
      <c r="F38" s="9">
        <f t="shared" si="32"/>
        <v>7.5231481481481471E-4</v>
      </c>
      <c r="G38" s="9">
        <f t="shared" si="33"/>
        <v>8.4396913580246917E-4</v>
      </c>
      <c r="H38" s="9">
        <f t="shared" si="34"/>
        <v>8.7037037037037042E-4</v>
      </c>
      <c r="I38" s="9">
        <f t="shared" si="35"/>
        <v>9.0749369441125711E-4</v>
      </c>
      <c r="J38" s="9">
        <f t="shared" si="36"/>
        <v>9.173577563070317E-4</v>
      </c>
      <c r="K38" s="9">
        <f t="shared" si="37"/>
        <v>9.5905583613916951E-4</v>
      </c>
      <c r="L38" s="9">
        <f t="shared" si="38"/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63</v>
      </c>
      <c r="B39" s="9">
        <v>1.087962962962963E-2</v>
      </c>
      <c r="C39" s="9">
        <v>3.0092592592592588E-3</v>
      </c>
      <c r="D39" s="9">
        <f t="shared" si="31"/>
        <v>6.3297685185185184E-3</v>
      </c>
      <c r="E39" s="10">
        <v>0.58179999999999998</v>
      </c>
      <c r="F39" s="9">
        <f t="shared" si="32"/>
        <v>7.5231481481481471E-4</v>
      </c>
      <c r="G39" s="9">
        <f t="shared" si="33"/>
        <v>8.4396913580246917E-4</v>
      </c>
      <c r="H39" s="9">
        <f t="shared" si="34"/>
        <v>8.7037037037037042E-4</v>
      </c>
      <c r="I39" s="9">
        <f t="shared" si="35"/>
        <v>9.0749369441125711E-4</v>
      </c>
      <c r="J39" s="9">
        <f t="shared" si="36"/>
        <v>9.173577563070317E-4</v>
      </c>
      <c r="K39" s="9">
        <f t="shared" si="37"/>
        <v>9.5905583613916951E-4</v>
      </c>
      <c r="L39" s="9">
        <f t="shared" si="38"/>
        <v>1.0047251616696062E-3</v>
      </c>
      <c r="M39" s="11"/>
      <c r="N39" s="9"/>
      <c r="O39" s="24"/>
      <c r="P39" s="9"/>
      <c r="Q39" s="24"/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66</v>
      </c>
      <c r="B40" s="9">
        <v>1.1226851851851854E-2</v>
      </c>
      <c r="C40" s="9">
        <v>3.1249999999999997E-3</v>
      </c>
      <c r="D40" s="9">
        <f t="shared" si="31"/>
        <v>6.5317824074074089E-3</v>
      </c>
      <c r="E40" s="10">
        <v>0.58179999999999998</v>
      </c>
      <c r="F40" s="9">
        <f t="shared" si="32"/>
        <v>7.8124999999999993E-4</v>
      </c>
      <c r="G40" s="9">
        <f t="shared" si="33"/>
        <v>8.7090432098765457E-4</v>
      </c>
      <c r="H40" s="9">
        <f t="shared" si="34"/>
        <v>8.9814814814814835E-4</v>
      </c>
      <c r="I40" s="9">
        <f t="shared" si="35"/>
        <v>9.3645625912651019E-4</v>
      </c>
      <c r="J40" s="9">
        <f t="shared" si="36"/>
        <v>9.4663513150832011E-4</v>
      </c>
      <c r="K40" s="9">
        <f t="shared" si="37"/>
        <v>9.8966400112233477E-4</v>
      </c>
      <c r="L40" s="9">
        <f t="shared" si="38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67</v>
      </c>
      <c r="B41" s="9">
        <v>1.1226851851851854E-2</v>
      </c>
      <c r="C41" s="9">
        <v>3.1249999999999997E-3</v>
      </c>
      <c r="D41" s="9">
        <f t="shared" si="31"/>
        <v>6.5317824074074089E-3</v>
      </c>
      <c r="E41" s="10">
        <v>0.58179999999999998</v>
      </c>
      <c r="F41" s="9">
        <f t="shared" si="32"/>
        <v>7.8124999999999993E-4</v>
      </c>
      <c r="G41" s="9">
        <f t="shared" si="33"/>
        <v>8.7090432098765457E-4</v>
      </c>
      <c r="H41" s="9">
        <f t="shared" si="34"/>
        <v>8.9814814814814835E-4</v>
      </c>
      <c r="I41" s="9">
        <f t="shared" si="35"/>
        <v>9.3645625912651019E-4</v>
      </c>
      <c r="J41" s="9">
        <f t="shared" si="36"/>
        <v>9.4663513150832011E-4</v>
      </c>
      <c r="K41" s="9">
        <f t="shared" si="37"/>
        <v>9.8966400112233477E-4</v>
      </c>
      <c r="L41" s="9">
        <f t="shared" si="38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68</v>
      </c>
      <c r="B42" s="9">
        <v>1.1226851851851854E-2</v>
      </c>
      <c r="C42" s="9">
        <v>3.1828703703703702E-3</v>
      </c>
      <c r="D42" s="9">
        <f t="shared" si="31"/>
        <v>6.5317824074074089E-3</v>
      </c>
      <c r="E42" s="10">
        <v>0.58179999999999998</v>
      </c>
      <c r="F42" s="9">
        <f t="shared" si="32"/>
        <v>7.9571759259259255E-4</v>
      </c>
      <c r="G42" s="9">
        <f t="shared" si="33"/>
        <v>8.7090432098765457E-4</v>
      </c>
      <c r="H42" s="9">
        <f t="shared" si="34"/>
        <v>8.9814814814814835E-4</v>
      </c>
      <c r="I42" s="9">
        <f t="shared" si="35"/>
        <v>9.3645625912651019E-4</v>
      </c>
      <c r="J42" s="9">
        <f t="shared" si="36"/>
        <v>9.4663513150832011E-4</v>
      </c>
      <c r="K42" s="9">
        <f t="shared" si="37"/>
        <v>9.8966400112233477E-4</v>
      </c>
      <c r="L42" s="9">
        <f t="shared" si="38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24</v>
      </c>
      <c r="W42" s="104"/>
    </row>
    <row r="43" spans="1:23" ht="17.149999999999999" customHeight="1" x14ac:dyDescent="0.35">
      <c r="A43" s="8" t="s">
        <v>112</v>
      </c>
      <c r="B43" s="9">
        <v>1.1458333333333334E-2</v>
      </c>
      <c r="C43" s="9">
        <v>3.0671296296296297E-3</v>
      </c>
      <c r="D43" s="9">
        <f t="shared" si="31"/>
        <v>6.6664583333333333E-3</v>
      </c>
      <c r="E43" s="10">
        <v>0.58179999999999998</v>
      </c>
      <c r="F43" s="9">
        <f t="shared" si="32"/>
        <v>7.6678240740740743E-4</v>
      </c>
      <c r="G43" s="9">
        <f t="shared" si="33"/>
        <v>8.888611111111111E-4</v>
      </c>
      <c r="H43" s="9">
        <f t="shared" si="34"/>
        <v>9.1666666666666676E-4</v>
      </c>
      <c r="I43" s="9">
        <f t="shared" si="35"/>
        <v>9.5576463560334524E-4</v>
      </c>
      <c r="J43" s="9">
        <f t="shared" si="36"/>
        <v>9.6615338164251206E-4</v>
      </c>
      <c r="K43" s="9">
        <f t="shared" si="37"/>
        <v>1.0100694444444445E-3</v>
      </c>
      <c r="L43" s="9">
        <f t="shared" si="38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/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32"/>
        <v>0</v>
      </c>
      <c r="G44" s="9">
        <f t="shared" si="33"/>
        <v>0</v>
      </c>
      <c r="H44" s="9">
        <f t="shared" si="34"/>
        <v>0</v>
      </c>
      <c r="I44" s="9">
        <f t="shared" si="35"/>
        <v>0</v>
      </c>
      <c r="J44" s="9">
        <f t="shared" si="36"/>
        <v>0</v>
      </c>
      <c r="K44" s="9">
        <f t="shared" si="37"/>
        <v>0</v>
      </c>
      <c r="L44" s="9">
        <f t="shared" si="38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70</v>
      </c>
      <c r="B46" s="9">
        <v>9.780092592592592E-3</v>
      </c>
      <c r="C46" s="9">
        <v>2.8124999999999995E-3</v>
      </c>
      <c r="D46" s="9">
        <f t="shared" ref="D46:D57" si="39">B46*E46</f>
        <v>5.6900578703703696E-3</v>
      </c>
      <c r="E46" s="10">
        <v>0.58179999999999998</v>
      </c>
      <c r="F46" s="9">
        <f t="shared" ref="F46:F59" si="40">C46/4</f>
        <v>7.0312499999999987E-4</v>
      </c>
      <c r="G46" s="9">
        <f t="shared" ref="G46:G59" si="41">D46/7.5</f>
        <v>7.5867438271604926E-4</v>
      </c>
      <c r="H46" s="9">
        <f t="shared" ref="H46:H59" si="42">B46/12.5</f>
        <v>7.8240740740740734E-4</v>
      </c>
      <c r="I46" s="9">
        <f t="shared" ref="I46:I59" si="43">G46/0.93</f>
        <v>8.1577890614628948E-4</v>
      </c>
      <c r="J46" s="9">
        <f t="shared" ref="J46:J59" si="44">G46/0.92</f>
        <v>8.2464606816961877E-4</v>
      </c>
      <c r="K46" s="9">
        <f t="shared" ref="K46:K59" si="45">G46/0.88</f>
        <v>8.6212998035914683E-4</v>
      </c>
      <c r="L46" s="9">
        <f t="shared" ref="L46:L59" si="46">G46/0.84</f>
        <v>9.031837889476777E-4</v>
      </c>
      <c r="M46" s="11"/>
      <c r="N46" s="9"/>
      <c r="O46" s="24"/>
      <c r="P46" s="9"/>
      <c r="Q46" s="24"/>
      <c r="R46" s="9"/>
      <c r="S46" s="12"/>
      <c r="T46" s="25"/>
      <c r="V46" s="23" t="s">
        <v>134</v>
      </c>
      <c r="W46" s="104"/>
    </row>
    <row r="47" spans="1:23" ht="17.149999999999999" customHeight="1" x14ac:dyDescent="0.35">
      <c r="A47" s="8" t="s">
        <v>72</v>
      </c>
      <c r="B47" s="9">
        <v>1.0127314814814815E-2</v>
      </c>
      <c r="C47" s="9">
        <v>2.8935185185185188E-3</v>
      </c>
      <c r="D47" s="9">
        <f t="shared" si="39"/>
        <v>5.8920717592592592E-3</v>
      </c>
      <c r="E47" s="10">
        <v>0.58179999999999998</v>
      </c>
      <c r="F47" s="9">
        <f t="shared" si="40"/>
        <v>7.233796296296297E-4</v>
      </c>
      <c r="G47" s="9">
        <f t="shared" si="41"/>
        <v>7.8560956790123455E-4</v>
      </c>
      <c r="H47" s="9">
        <f t="shared" si="42"/>
        <v>8.1018518518518516E-4</v>
      </c>
      <c r="I47" s="9">
        <f t="shared" si="43"/>
        <v>8.4474147086154245E-4</v>
      </c>
      <c r="J47" s="9">
        <f t="shared" si="44"/>
        <v>8.5392344337090708E-4</v>
      </c>
      <c r="K47" s="9">
        <f t="shared" si="45"/>
        <v>8.9273814534231199E-4</v>
      </c>
      <c r="L47" s="9">
        <f t="shared" si="46"/>
        <v>9.3524948559670779E-4</v>
      </c>
      <c r="M47" s="11"/>
      <c r="N47" s="9"/>
      <c r="O47" s="24"/>
      <c r="P47" s="9"/>
      <c r="Q47" s="24"/>
      <c r="R47" s="9"/>
      <c r="S47" s="12"/>
      <c r="T47" s="25"/>
      <c r="V47" s="23" t="s">
        <v>134</v>
      </c>
      <c r="W47" s="104"/>
    </row>
    <row r="48" spans="1:23" ht="17.149999999999999" customHeight="1" x14ac:dyDescent="0.35">
      <c r="A48" s="8" t="s">
        <v>74</v>
      </c>
      <c r="B48" s="9">
        <v>1.0243055555555556E-2</v>
      </c>
      <c r="C48" s="9">
        <v>2.9513888888888888E-3</v>
      </c>
      <c r="D48" s="9">
        <f t="shared" si="39"/>
        <v>5.9594097222222218E-3</v>
      </c>
      <c r="E48" s="10">
        <v>0.58179999999999998</v>
      </c>
      <c r="F48" s="9">
        <f t="shared" si="40"/>
        <v>7.378472222222222E-4</v>
      </c>
      <c r="G48" s="9">
        <f t="shared" si="41"/>
        <v>7.9458796296296287E-4</v>
      </c>
      <c r="H48" s="9">
        <f t="shared" si="42"/>
        <v>8.1944444444444447E-4</v>
      </c>
      <c r="I48" s="9">
        <f t="shared" si="43"/>
        <v>8.5439565909996003E-4</v>
      </c>
      <c r="J48" s="9">
        <f t="shared" si="44"/>
        <v>8.636825684380031E-4</v>
      </c>
      <c r="K48" s="9">
        <f t="shared" si="45"/>
        <v>9.0294086700336686E-4</v>
      </c>
      <c r="L48" s="9">
        <f t="shared" si="46"/>
        <v>9.4593805114638445E-4</v>
      </c>
      <c r="M48" s="11"/>
      <c r="N48" s="9"/>
      <c r="O48" s="24"/>
      <c r="P48" s="9"/>
      <c r="Q48" s="24"/>
      <c r="R48" s="9"/>
      <c r="S48" s="12"/>
      <c r="T48" s="25"/>
      <c r="V48" s="23" t="s">
        <v>30</v>
      </c>
      <c r="W48" s="104"/>
    </row>
    <row r="49" spans="1:23" ht="17.149999999999999" customHeight="1" x14ac:dyDescent="0.35">
      <c r="A49" s="8" t="s">
        <v>75</v>
      </c>
      <c r="B49" s="9">
        <v>1.087962962962963E-2</v>
      </c>
      <c r="C49" s="9">
        <v>2.9513888888888888E-3</v>
      </c>
      <c r="D49" s="9">
        <f t="shared" si="39"/>
        <v>6.3297685185185184E-3</v>
      </c>
      <c r="E49" s="10">
        <v>0.58179999999999998</v>
      </c>
      <c r="F49" s="9">
        <f t="shared" si="40"/>
        <v>7.378472222222222E-4</v>
      </c>
      <c r="G49" s="9">
        <f t="shared" si="41"/>
        <v>8.4396913580246917E-4</v>
      </c>
      <c r="H49" s="9">
        <f t="shared" si="42"/>
        <v>8.7037037037037042E-4</v>
      </c>
      <c r="I49" s="9">
        <f t="shared" si="43"/>
        <v>9.0749369441125711E-4</v>
      </c>
      <c r="J49" s="9">
        <f t="shared" si="44"/>
        <v>9.173577563070317E-4</v>
      </c>
      <c r="K49" s="9">
        <f t="shared" si="45"/>
        <v>9.5905583613916951E-4</v>
      </c>
      <c r="L49" s="9">
        <f t="shared" si="46"/>
        <v>1.0047251616696062E-3</v>
      </c>
      <c r="M49" s="11"/>
      <c r="N49" s="9"/>
      <c r="O49" s="24"/>
      <c r="P49" s="9"/>
      <c r="Q49" s="24"/>
      <c r="R49" s="9"/>
      <c r="S49" s="12"/>
      <c r="T49" s="25"/>
      <c r="U49" s="9"/>
      <c r="V49" s="23" t="s">
        <v>30</v>
      </c>
      <c r="W49" s="104"/>
    </row>
    <row r="50" spans="1:23" ht="17.149999999999999" customHeight="1" x14ac:dyDescent="0.35">
      <c r="A50" s="8" t="s">
        <v>81</v>
      </c>
      <c r="B50" s="9">
        <v>1.0763888888888891E-2</v>
      </c>
      <c r="C50" s="9">
        <v>3.0092592592592593E-3</v>
      </c>
      <c r="D50" s="9">
        <f t="shared" si="39"/>
        <v>6.2624305555555567E-3</v>
      </c>
      <c r="E50" s="10">
        <v>0.58179999999999998</v>
      </c>
      <c r="F50" s="9">
        <f t="shared" si="40"/>
        <v>7.5231481481481482E-4</v>
      </c>
      <c r="G50" s="9">
        <f t="shared" si="41"/>
        <v>8.3499074074074085E-4</v>
      </c>
      <c r="H50" s="9">
        <f t="shared" si="42"/>
        <v>8.6111111111111121E-4</v>
      </c>
      <c r="I50" s="9">
        <f t="shared" si="43"/>
        <v>8.9783950617283953E-4</v>
      </c>
      <c r="J50" s="9">
        <f t="shared" si="44"/>
        <v>9.0759863123993567E-4</v>
      </c>
      <c r="K50" s="9">
        <f t="shared" si="45"/>
        <v>9.4885311447811464E-4</v>
      </c>
      <c r="L50" s="9">
        <f t="shared" si="46"/>
        <v>9.9403659611992969E-4</v>
      </c>
      <c r="M50" s="11"/>
      <c r="N50" s="9"/>
      <c r="O50" s="24"/>
      <c r="P50" s="9"/>
      <c r="Q50" s="24"/>
      <c r="R50" s="9"/>
      <c r="S50" s="12"/>
      <c r="T50" s="25"/>
      <c r="V50" s="23" t="s">
        <v>30</v>
      </c>
      <c r="W50" s="104"/>
    </row>
    <row r="51" spans="1:23" ht="17.149999999999999" customHeight="1" x14ac:dyDescent="0.35">
      <c r="A51" s="8" t="s">
        <v>86</v>
      </c>
      <c r="B51" s="9">
        <v>1.087962962962963E-2</v>
      </c>
      <c r="C51" s="9">
        <v>3.1249999999999997E-3</v>
      </c>
      <c r="D51" s="9">
        <f t="shared" si="39"/>
        <v>6.3297685185185184E-3</v>
      </c>
      <c r="E51" s="10">
        <v>0.58179999999999998</v>
      </c>
      <c r="F51" s="9">
        <f t="shared" si="40"/>
        <v>7.8124999999999993E-4</v>
      </c>
      <c r="G51" s="9">
        <f t="shared" si="41"/>
        <v>8.4396913580246917E-4</v>
      </c>
      <c r="H51" s="9">
        <f t="shared" si="42"/>
        <v>8.7037037037037042E-4</v>
      </c>
      <c r="I51" s="9">
        <f t="shared" si="43"/>
        <v>9.0749369441125711E-4</v>
      </c>
      <c r="J51" s="9">
        <f t="shared" si="44"/>
        <v>9.173577563070317E-4</v>
      </c>
      <c r="K51" s="9">
        <f t="shared" si="45"/>
        <v>9.5905583613916951E-4</v>
      </c>
      <c r="L51" s="9">
        <f t="shared" si="46"/>
        <v>1.0047251616696062E-3</v>
      </c>
      <c r="M51" s="11"/>
      <c r="N51" s="9"/>
      <c r="O51" s="24"/>
      <c r="P51" s="9"/>
      <c r="Q51" s="24"/>
      <c r="R51" s="9"/>
      <c r="S51" s="24"/>
      <c r="T51" s="24"/>
      <c r="U51" s="24"/>
      <c r="V51" s="23" t="s">
        <v>30</v>
      </c>
      <c r="W51" s="104"/>
    </row>
    <row r="52" spans="1:23" ht="17.149999999999999" customHeight="1" x14ac:dyDescent="0.35">
      <c r="A52" s="8" t="s">
        <v>78</v>
      </c>
      <c r="B52" s="9">
        <v>1.0243055555555556E-2</v>
      </c>
      <c r="C52" s="9">
        <v>2.9745370370370373E-3</v>
      </c>
      <c r="D52" s="9">
        <f t="shared" si="39"/>
        <v>5.9594097222222218E-3</v>
      </c>
      <c r="E52" s="10">
        <v>0.58179999999999998</v>
      </c>
      <c r="F52" s="9">
        <f t="shared" si="40"/>
        <v>7.4363425925925931E-4</v>
      </c>
      <c r="G52" s="9">
        <f t="shared" si="41"/>
        <v>7.9458796296296287E-4</v>
      </c>
      <c r="H52" s="9">
        <f t="shared" si="42"/>
        <v>8.1944444444444447E-4</v>
      </c>
      <c r="I52" s="9">
        <f t="shared" si="43"/>
        <v>8.5439565909996003E-4</v>
      </c>
      <c r="J52" s="9">
        <f t="shared" si="44"/>
        <v>8.636825684380031E-4</v>
      </c>
      <c r="K52" s="9">
        <f t="shared" si="45"/>
        <v>9.0294086700336686E-4</v>
      </c>
      <c r="L52" s="9">
        <f t="shared" si="46"/>
        <v>9.4593805114638445E-4</v>
      </c>
      <c r="M52" s="11"/>
      <c r="N52" s="9"/>
      <c r="O52" s="24"/>
      <c r="P52" s="9"/>
      <c r="Q52" s="24"/>
      <c r="R52" s="9"/>
      <c r="S52" s="24"/>
      <c r="T52" s="24"/>
      <c r="U52" s="24"/>
      <c r="V52" s="23" t="s">
        <v>30</v>
      </c>
      <c r="W52" s="104"/>
    </row>
    <row r="53" spans="1:23" ht="17.149999999999999" customHeight="1" x14ac:dyDescent="0.35">
      <c r="A53" s="8" t="s">
        <v>83</v>
      </c>
      <c r="B53" s="9">
        <v>1.0995370370370371E-2</v>
      </c>
      <c r="C53" s="9">
        <v>3.0092592592592588E-3</v>
      </c>
      <c r="D53" s="9">
        <f t="shared" si="39"/>
        <v>6.397106481481481E-3</v>
      </c>
      <c r="E53" s="10">
        <v>0.58179999999999998</v>
      </c>
      <c r="F53" s="9">
        <f t="shared" si="40"/>
        <v>7.5231481481481471E-4</v>
      </c>
      <c r="G53" s="9">
        <f t="shared" si="41"/>
        <v>8.5294753086419749E-4</v>
      </c>
      <c r="H53" s="9">
        <f t="shared" si="42"/>
        <v>8.7962962962962962E-4</v>
      </c>
      <c r="I53" s="9">
        <f t="shared" si="43"/>
        <v>9.171478826496747E-4</v>
      </c>
      <c r="J53" s="9">
        <f t="shared" si="44"/>
        <v>9.2711688137412762E-4</v>
      </c>
      <c r="K53" s="9">
        <f t="shared" si="45"/>
        <v>9.6925855780022438E-4</v>
      </c>
      <c r="L53" s="9">
        <f t="shared" si="46"/>
        <v>1.0154137272192828E-3</v>
      </c>
      <c r="M53" s="11"/>
      <c r="N53" s="9"/>
      <c r="O53" s="24"/>
      <c r="P53" s="9"/>
      <c r="Q53" s="24"/>
      <c r="R53" s="9"/>
      <c r="S53" s="12"/>
      <c r="T53" s="25"/>
      <c r="V53" s="23" t="s">
        <v>30</v>
      </c>
      <c r="W53" s="104"/>
    </row>
    <row r="54" spans="1:23" ht="17.149999999999999" customHeight="1" x14ac:dyDescent="0.35">
      <c r="A54" s="8" t="s">
        <v>92</v>
      </c>
      <c r="B54" s="9">
        <v>1.1458333333333334E-2</v>
      </c>
      <c r="C54" s="9">
        <v>3.2407407407407406E-3</v>
      </c>
      <c r="D54" s="9">
        <f t="shared" si="39"/>
        <v>6.6664583333333333E-3</v>
      </c>
      <c r="E54" s="10">
        <v>0.58179999999999998</v>
      </c>
      <c r="F54" s="9">
        <f t="shared" si="40"/>
        <v>8.1018518518518516E-4</v>
      </c>
      <c r="G54" s="9">
        <f t="shared" si="41"/>
        <v>8.888611111111111E-4</v>
      </c>
      <c r="H54" s="9">
        <f t="shared" si="42"/>
        <v>9.1666666666666676E-4</v>
      </c>
      <c r="I54" s="9">
        <f t="shared" si="43"/>
        <v>9.5576463560334524E-4</v>
      </c>
      <c r="J54" s="9">
        <f t="shared" si="44"/>
        <v>9.6615338164251206E-4</v>
      </c>
      <c r="K54" s="9">
        <f t="shared" si="45"/>
        <v>1.0100694444444445E-3</v>
      </c>
      <c r="L54" s="9">
        <f t="shared" si="46"/>
        <v>1.0581679894179894E-3</v>
      </c>
      <c r="M54" s="11"/>
      <c r="N54" s="9"/>
      <c r="O54" s="24"/>
      <c r="P54" s="9"/>
      <c r="Q54" s="24"/>
      <c r="R54" s="9"/>
      <c r="S54" s="12"/>
      <c r="T54" s="25"/>
      <c r="V54" s="23" t="s">
        <v>30</v>
      </c>
      <c r="W54" s="104"/>
    </row>
    <row r="55" spans="1:23" ht="17.149999999999999" customHeight="1" x14ac:dyDescent="0.35">
      <c r="A55" s="8" t="s">
        <v>91</v>
      </c>
      <c r="B55" s="9">
        <v>1.1458333333333334E-2</v>
      </c>
      <c r="C55" s="9">
        <v>3.2407407407407406E-3</v>
      </c>
      <c r="D55" s="9">
        <f t="shared" si="39"/>
        <v>6.6664583333333333E-3</v>
      </c>
      <c r="E55" s="10">
        <v>0.58179999999999998</v>
      </c>
      <c r="F55" s="9">
        <f t="shared" si="40"/>
        <v>8.1018518518518516E-4</v>
      </c>
      <c r="G55" s="9">
        <f t="shared" si="41"/>
        <v>8.888611111111111E-4</v>
      </c>
      <c r="H55" s="9">
        <f t="shared" si="42"/>
        <v>9.1666666666666676E-4</v>
      </c>
      <c r="I55" s="9">
        <f t="shared" si="43"/>
        <v>9.5576463560334524E-4</v>
      </c>
      <c r="J55" s="9">
        <f t="shared" si="44"/>
        <v>9.6615338164251206E-4</v>
      </c>
      <c r="K55" s="9">
        <f t="shared" si="45"/>
        <v>1.0100694444444445E-3</v>
      </c>
      <c r="L55" s="9">
        <f t="shared" si="46"/>
        <v>1.0581679894179894E-3</v>
      </c>
      <c r="M55" s="11"/>
      <c r="N55" s="9"/>
      <c r="O55" s="24"/>
      <c r="P55" s="9"/>
      <c r="Q55" s="24"/>
      <c r="R55" s="9"/>
      <c r="S55" s="12"/>
      <c r="V55" s="23" t="s">
        <v>30</v>
      </c>
      <c r="W55" s="104"/>
    </row>
    <row r="56" spans="1:23" ht="17.149999999999999" customHeight="1" x14ac:dyDescent="0.35">
      <c r="A56" s="8" t="s">
        <v>93</v>
      </c>
      <c r="B56" s="9">
        <v>1.1921296296296298E-2</v>
      </c>
      <c r="C56" s="9">
        <v>3.414351851851852E-3</v>
      </c>
      <c r="D56" s="9">
        <f t="shared" si="39"/>
        <v>6.9358101851851863E-3</v>
      </c>
      <c r="E56" s="10">
        <v>0.58179999999999998</v>
      </c>
      <c r="F56" s="9">
        <f t="shared" si="40"/>
        <v>8.53587962962963E-4</v>
      </c>
      <c r="G56" s="9">
        <f t="shared" si="41"/>
        <v>9.2477469135802482E-4</v>
      </c>
      <c r="H56" s="9">
        <f t="shared" si="42"/>
        <v>9.5370370370370379E-4</v>
      </c>
      <c r="I56" s="9">
        <f t="shared" si="43"/>
        <v>9.943813885570159E-4</v>
      </c>
      <c r="J56" s="9">
        <f t="shared" si="44"/>
        <v>1.0051898819108964E-3</v>
      </c>
      <c r="K56" s="9">
        <f t="shared" si="45"/>
        <v>1.0508803310886646E-3</v>
      </c>
      <c r="L56" s="9">
        <f t="shared" si="46"/>
        <v>1.1009222516166963E-3</v>
      </c>
      <c r="M56" s="11"/>
      <c r="N56" s="9"/>
      <c r="O56" s="24"/>
      <c r="P56" s="9"/>
      <c r="Q56" s="24"/>
      <c r="R56" s="9"/>
      <c r="S56" s="12"/>
      <c r="T56" s="25"/>
      <c r="V56" s="23" t="s">
        <v>30</v>
      </c>
      <c r="W56" s="104"/>
    </row>
    <row r="57" spans="1:23" ht="17.149999999999999" customHeight="1" x14ac:dyDescent="0.35">
      <c r="A57" s="8" t="s">
        <v>94</v>
      </c>
      <c r="B57" s="9">
        <v>1.1574074074074073E-2</v>
      </c>
      <c r="C57" s="9">
        <v>3.414351851851852E-3</v>
      </c>
      <c r="D57" s="9">
        <f t="shared" si="39"/>
        <v>6.7337962962962959E-3</v>
      </c>
      <c r="E57" s="10">
        <v>0.58179999999999998</v>
      </c>
      <c r="F57" s="9">
        <f t="shared" si="40"/>
        <v>8.53587962962963E-4</v>
      </c>
      <c r="G57" s="9">
        <f t="shared" si="41"/>
        <v>8.9783950617283942E-4</v>
      </c>
      <c r="H57" s="9">
        <f t="shared" si="42"/>
        <v>9.2592592592592585E-4</v>
      </c>
      <c r="I57" s="9">
        <f t="shared" si="43"/>
        <v>9.6541882384176272E-4</v>
      </c>
      <c r="J57" s="9">
        <f t="shared" si="44"/>
        <v>9.7591250670960798E-4</v>
      </c>
      <c r="K57" s="9">
        <f t="shared" si="45"/>
        <v>1.0202721661054994E-3</v>
      </c>
      <c r="L57" s="9">
        <f t="shared" si="46"/>
        <v>1.068856554967666E-3</v>
      </c>
      <c r="M57" s="11"/>
      <c r="N57" s="9"/>
      <c r="O57" s="24"/>
      <c r="P57" s="9"/>
      <c r="Q57" s="24"/>
      <c r="R57" s="9"/>
      <c r="S57" s="12"/>
      <c r="V57" s="23" t="s">
        <v>30</v>
      </c>
      <c r="W57" s="104"/>
    </row>
    <row r="58" spans="1:23" ht="17.149999999999999" customHeight="1" x14ac:dyDescent="0.35">
      <c r="A58" s="8"/>
      <c r="B58" s="9"/>
      <c r="C58" s="9"/>
      <c r="D58" s="9"/>
      <c r="E58" s="10"/>
      <c r="F58" s="9">
        <f t="shared" si="40"/>
        <v>0</v>
      </c>
      <c r="G58" s="9">
        <f t="shared" si="41"/>
        <v>0</v>
      </c>
      <c r="H58" s="9">
        <f t="shared" si="42"/>
        <v>0</v>
      </c>
      <c r="I58" s="9">
        <f t="shared" si="43"/>
        <v>0</v>
      </c>
      <c r="J58" s="9">
        <f t="shared" si="44"/>
        <v>0</v>
      </c>
      <c r="K58" s="9">
        <f t="shared" si="45"/>
        <v>0</v>
      </c>
      <c r="L58" s="9">
        <f t="shared" si="46"/>
        <v>0</v>
      </c>
      <c r="M58" s="11"/>
      <c r="P58" s="25"/>
      <c r="Q58" s="25"/>
      <c r="R58" s="25"/>
      <c r="S58" s="25"/>
      <c r="V58" s="23"/>
      <c r="W58" s="104"/>
    </row>
    <row r="59" spans="1:23" ht="17.149999999999999" customHeight="1" x14ac:dyDescent="0.35">
      <c r="A59" s="8"/>
      <c r="B59" s="9"/>
      <c r="C59" s="9"/>
      <c r="D59" s="9"/>
      <c r="E59" s="10"/>
      <c r="F59" s="9">
        <f t="shared" si="40"/>
        <v>0</v>
      </c>
      <c r="G59" s="9">
        <f t="shared" si="41"/>
        <v>0</v>
      </c>
      <c r="H59" s="9">
        <f t="shared" si="42"/>
        <v>0</v>
      </c>
      <c r="I59" s="9">
        <f t="shared" si="43"/>
        <v>0</v>
      </c>
      <c r="J59" s="9">
        <f t="shared" si="44"/>
        <v>0</v>
      </c>
      <c r="K59" s="9">
        <f t="shared" si="45"/>
        <v>0</v>
      </c>
      <c r="L59" s="9">
        <f t="shared" si="46"/>
        <v>0</v>
      </c>
      <c r="M59" s="11"/>
      <c r="P59" s="25"/>
      <c r="Q59" s="25"/>
      <c r="R59" s="25"/>
      <c r="S59" s="25"/>
      <c r="V59" s="23"/>
      <c r="W59" s="104"/>
    </row>
    <row r="60" spans="1:23" ht="17.149999999999999" customHeight="1" x14ac:dyDescent="0.35">
      <c r="A60" s="8" t="s">
        <v>76</v>
      </c>
      <c r="B60" s="9">
        <v>1.0011574074074074E-2</v>
      </c>
      <c r="C60" s="9">
        <v>2.9513888888888888E-3</v>
      </c>
      <c r="D60" s="9">
        <f>B60*E60</f>
        <v>5.8247337962962957E-3</v>
      </c>
      <c r="E60" s="10">
        <v>0.58179999999999998</v>
      </c>
      <c r="F60" s="9">
        <f>C60/4</f>
        <v>7.378472222222222E-4</v>
      </c>
      <c r="G60" s="9">
        <f>D60/7.5</f>
        <v>7.7663117283950612E-4</v>
      </c>
      <c r="H60" s="9">
        <f>B60/12.5</f>
        <v>8.0092592592592585E-4</v>
      </c>
      <c r="I60" s="9">
        <f>G60/0.93</f>
        <v>8.3508728262312486E-4</v>
      </c>
      <c r="J60" s="9">
        <f>G60/0.92</f>
        <v>8.4416431830381094E-4</v>
      </c>
      <c r="K60" s="9">
        <f>G60/0.88</f>
        <v>8.825354236812569E-4</v>
      </c>
      <c r="L60" s="9">
        <f>G60/0.84</f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30</v>
      </c>
      <c r="W60" s="104"/>
    </row>
    <row r="61" spans="1:23" ht="17.149999999999999" customHeight="1" x14ac:dyDescent="0.35">
      <c r="A61" s="8" t="s">
        <v>99</v>
      </c>
      <c r="B61" s="9">
        <v>1.0243055555555556E-2</v>
      </c>
      <c r="C61" s="9">
        <v>3.0092592592592588E-3</v>
      </c>
      <c r="D61" s="9">
        <f>B61*E61</f>
        <v>5.9594097222222218E-3</v>
      </c>
      <c r="E61" s="10">
        <v>0.58179999999999998</v>
      </c>
      <c r="F61" s="9">
        <f>C61/4</f>
        <v>7.5231481481481471E-4</v>
      </c>
      <c r="G61" s="9">
        <f>D61/7.5</f>
        <v>7.9458796296296287E-4</v>
      </c>
      <c r="H61" s="9">
        <f>B61/12.5</f>
        <v>8.1944444444444447E-4</v>
      </c>
      <c r="I61" s="9">
        <f>G61/0.93</f>
        <v>8.5439565909996003E-4</v>
      </c>
      <c r="J61" s="9">
        <f>G61/0.92</f>
        <v>8.636825684380031E-4</v>
      </c>
      <c r="K61" s="9">
        <f>G61/0.88</f>
        <v>9.0294086700336686E-4</v>
      </c>
      <c r="L61" s="9">
        <f>G61/0.84</f>
        <v>9.4593805114638445E-4</v>
      </c>
      <c r="M61" s="11"/>
      <c r="N61" s="9"/>
      <c r="O61" s="24"/>
      <c r="P61" s="97"/>
      <c r="Q61" s="24"/>
      <c r="R61" s="9"/>
      <c r="S61" s="12"/>
      <c r="V61" s="23" t="s">
        <v>48</v>
      </c>
      <c r="W61" s="104"/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P62" s="25"/>
      <c r="Q62" s="25"/>
      <c r="R62" s="25"/>
      <c r="S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9"/>
    </row>
    <row r="67" spans="1:23" ht="17.149999999999999" customHeight="1" x14ac:dyDescent="0.35">
      <c r="A67" s="14" t="s">
        <v>199</v>
      </c>
      <c r="B67" s="15"/>
      <c r="C67" s="15"/>
      <c r="D67" s="15"/>
      <c r="E67" s="16"/>
      <c r="F67" s="15">
        <f t="shared" ref="F67:F96" si="47">C67/4</f>
        <v>0</v>
      </c>
      <c r="G67" s="15">
        <f t="shared" ref="G67:G96" si="48">D67/7.5</f>
        <v>0</v>
      </c>
      <c r="H67" s="15">
        <f t="shared" ref="H67:H96" si="49">B67/12.5</f>
        <v>0</v>
      </c>
      <c r="I67" s="15">
        <f t="shared" ref="I67:I96" si="50">G67/0.93</f>
        <v>0</v>
      </c>
      <c r="J67" s="15">
        <f t="shared" ref="J67:J96" si="51">G67/0.92</f>
        <v>0</v>
      </c>
      <c r="K67" s="15">
        <f t="shared" ref="K67:K96" si="52">G67/0.88</f>
        <v>0</v>
      </c>
      <c r="L67" s="15">
        <f t="shared" ref="L67:L96" si="53">G67/0.84</f>
        <v>0</v>
      </c>
      <c r="M67" s="30" t="s">
        <v>12</v>
      </c>
      <c r="N67" s="15" t="s">
        <v>200</v>
      </c>
      <c r="O67" s="15" t="s">
        <v>136</v>
      </c>
      <c r="P67" s="15" t="s">
        <v>152</v>
      </c>
      <c r="Q67" s="15" t="s">
        <v>142</v>
      </c>
      <c r="R67" s="15" t="s">
        <v>151</v>
      </c>
      <c r="S67" s="15" t="s">
        <v>133</v>
      </c>
      <c r="T67" s="15" t="s">
        <v>139</v>
      </c>
      <c r="U67" s="15"/>
      <c r="V67" s="17"/>
      <c r="W67" s="107" t="s">
        <v>206</v>
      </c>
    </row>
    <row r="68" spans="1:23" ht="17.149999999999999" customHeight="1" x14ac:dyDescent="0.35">
      <c r="A68" s="8" t="s">
        <v>71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 t="shared" ref="F68:F76" si="54">C68/4</f>
        <v>7.233796296296297E-4</v>
      </c>
      <c r="G68" s="9">
        <f t="shared" ref="G68:G76" si="55">D68/7.5</f>
        <v>7.7663117283950612E-4</v>
      </c>
      <c r="H68" s="9">
        <f t="shared" ref="H68:H76" si="56">B68/12.5</f>
        <v>8.0092592592592585E-4</v>
      </c>
      <c r="I68" s="9">
        <f t="shared" ref="I68:I76" si="57">G68/0.93</f>
        <v>8.3508728262312486E-4</v>
      </c>
      <c r="J68" s="9">
        <f t="shared" ref="J68:J76" si="58">G68/0.92</f>
        <v>8.4416431830381094E-4</v>
      </c>
      <c r="K68" s="9">
        <f t="shared" ref="K68:K76" si="59">G68/0.88</f>
        <v>8.825354236812569E-4</v>
      </c>
      <c r="L68" s="9">
        <f t="shared" ref="L68:L76" si="60">G68/0.84</f>
        <v>9.2456092004703113E-4</v>
      </c>
      <c r="M68" s="11">
        <f>Table2571113152523333537394145495153591214161820222426283032[[#This Row],[Thresh]]</f>
        <v>8.825354236812569E-4</v>
      </c>
      <c r="N68" s="9">
        <f>Table2571113152523333537394145495153591214161820222426283032[[#This Row],[Thresh]]*4</f>
        <v>3.5301416947250276E-3</v>
      </c>
      <c r="O68" s="24">
        <f>Table2571113152523333537394145495153591214161820222426283032[[#This Row],[CV]]</f>
        <v>8.4416431830381094E-4</v>
      </c>
      <c r="P68" s="9">
        <f>Table2571113152523333537394145495153591214161820222426283032[[#This Row],[CV]]*2.5</f>
        <v>2.1104107957595273E-3</v>
      </c>
      <c r="Q68" s="24">
        <f>Table2571113152523333537394145495153591214161820222426283032[[#This Row],[I]]</f>
        <v>8.0092592592592585E-4</v>
      </c>
      <c r="R68" s="9">
        <f>Table2571113152523333537394145495153591214161820222426283032[[#This Row],[I]]*2</f>
        <v>1.6018518518518517E-3</v>
      </c>
      <c r="S68" s="24">
        <f>Table2571113152523333537394145495153591214161820222426283032[[#This Row],[R]]/2</f>
        <v>3.6168981481481485E-4</v>
      </c>
      <c r="T68" s="24">
        <f>Table2571113152523333537394145495153591214161820222426283032[[#This Row],[VO2]]</f>
        <v>7.7663117283950612E-4</v>
      </c>
      <c r="U68" s="24"/>
      <c r="V68" s="23" t="s">
        <v>134</v>
      </c>
      <c r="W68" s="108"/>
    </row>
    <row r="69" spans="1:23" ht="17.149999999999999" customHeight="1" x14ac:dyDescent="0.35">
      <c r="A69" s="8" t="s">
        <v>73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 t="shared" si="54"/>
        <v>7.233796296296297E-4</v>
      </c>
      <c r="G69" s="9">
        <f t="shared" si="55"/>
        <v>7.7663117283950612E-4</v>
      </c>
      <c r="H69" s="9">
        <f t="shared" si="56"/>
        <v>8.0092592592592585E-4</v>
      </c>
      <c r="I69" s="9">
        <f t="shared" si="57"/>
        <v>8.3508728262312486E-4</v>
      </c>
      <c r="J69" s="9">
        <f t="shared" si="58"/>
        <v>8.4416431830381094E-4</v>
      </c>
      <c r="K69" s="9">
        <f t="shared" si="59"/>
        <v>8.825354236812569E-4</v>
      </c>
      <c r="L69" s="9">
        <f t="shared" si="60"/>
        <v>9.2456092004703113E-4</v>
      </c>
      <c r="M69" s="11">
        <f>Table2571113152523333537394145495153591214161820222426283032[[#This Row],[Thresh]]</f>
        <v>8.825354236812569E-4</v>
      </c>
      <c r="N69" s="9">
        <f>Table2571113152523333537394145495153591214161820222426283032[[#This Row],[Thresh]]*4</f>
        <v>3.5301416947250276E-3</v>
      </c>
      <c r="O69" s="24">
        <f>Table2571113152523333537394145495153591214161820222426283032[[#This Row],[CV]]</f>
        <v>8.4416431830381094E-4</v>
      </c>
      <c r="P69" s="9">
        <f>Table2571113152523333537394145495153591214161820222426283032[[#This Row],[CV]]*2.5</f>
        <v>2.1104107957595273E-3</v>
      </c>
      <c r="Q69" s="24">
        <f>Table2571113152523333537394145495153591214161820222426283032[[#This Row],[I]]</f>
        <v>8.0092592592592585E-4</v>
      </c>
      <c r="R69" s="9">
        <f>Table2571113152523333537394145495153591214161820222426283032[[#This Row],[I]]*2</f>
        <v>1.6018518518518517E-3</v>
      </c>
      <c r="S69" s="24">
        <f>Table2571113152523333537394145495153591214161820222426283032[[#This Row],[R]]/2</f>
        <v>3.6168981481481485E-4</v>
      </c>
      <c r="T69" s="24">
        <f>Table2571113152523333537394145495153591214161820222426283032[[#This Row],[VO2]]</f>
        <v>7.7663117283950612E-4</v>
      </c>
      <c r="U69" s="24"/>
      <c r="V69" s="23" t="s">
        <v>30</v>
      </c>
      <c r="W69" s="108"/>
    </row>
    <row r="70" spans="1:23" ht="17.149999999999999" customHeight="1" x14ac:dyDescent="0.35">
      <c r="A70" s="8" t="s">
        <v>96</v>
      </c>
      <c r="B70" s="9">
        <v>1.0011574074074074E-2</v>
      </c>
      <c r="C70" s="9">
        <v>2.9513888888888888E-3</v>
      </c>
      <c r="D70" s="9">
        <f t="shared" ref="D70:D76" si="61">B70*E70</f>
        <v>5.8247337962962957E-3</v>
      </c>
      <c r="E70" s="10">
        <v>0.58179999999999998</v>
      </c>
      <c r="F70" s="9">
        <f t="shared" si="54"/>
        <v>7.378472222222222E-4</v>
      </c>
      <c r="G70" s="9">
        <f t="shared" si="55"/>
        <v>7.7663117283950612E-4</v>
      </c>
      <c r="H70" s="9">
        <f t="shared" si="56"/>
        <v>8.0092592592592585E-4</v>
      </c>
      <c r="I70" s="9">
        <f t="shared" si="57"/>
        <v>8.3508728262312486E-4</v>
      </c>
      <c r="J70" s="9">
        <f t="shared" si="58"/>
        <v>8.4416431830381094E-4</v>
      </c>
      <c r="K70" s="9">
        <f t="shared" si="59"/>
        <v>8.825354236812569E-4</v>
      </c>
      <c r="L70" s="9">
        <f t="shared" si="60"/>
        <v>9.2456092004703113E-4</v>
      </c>
      <c r="M70" s="11">
        <f>Table2571113152523333537394145495153591214161820222426283032[[#This Row],[Thresh]]</f>
        <v>8.825354236812569E-4</v>
      </c>
      <c r="N70" s="9">
        <f>Table2571113152523333537394145495153591214161820222426283032[[#This Row],[Thresh]]*4</f>
        <v>3.5301416947250276E-3</v>
      </c>
      <c r="O70" s="24">
        <f>Table2571113152523333537394145495153591214161820222426283032[[#This Row],[CV]]</f>
        <v>8.4416431830381094E-4</v>
      </c>
      <c r="P70" s="9">
        <f>Table2571113152523333537394145495153591214161820222426283032[[#This Row],[CV]]*2.5</f>
        <v>2.1104107957595273E-3</v>
      </c>
      <c r="Q70" s="24">
        <f>Table2571113152523333537394145495153591214161820222426283032[[#This Row],[I]]</f>
        <v>8.0092592592592585E-4</v>
      </c>
      <c r="R70" s="9">
        <f>Table2571113152523333537394145495153591214161820222426283032[[#This Row],[I]]*2</f>
        <v>1.6018518518518517E-3</v>
      </c>
      <c r="S70" s="24">
        <f>Table2571113152523333537394145495153591214161820222426283032[[#This Row],[R]]/2</f>
        <v>3.689236111111111E-4</v>
      </c>
      <c r="T70" s="24">
        <f>Table2571113152523333537394145495153591214161820222426283032[[#This Row],[VO2]]</f>
        <v>7.7663117283950612E-4</v>
      </c>
      <c r="V70" s="23" t="s">
        <v>48</v>
      </c>
      <c r="W70" s="108"/>
    </row>
    <row r="71" spans="1:23" ht="17.149999999999999" customHeight="1" x14ac:dyDescent="0.35">
      <c r="A71" s="8" t="s">
        <v>97</v>
      </c>
      <c r="B71" s="9">
        <v>1.0011574074074074E-2</v>
      </c>
      <c r="C71" s="9">
        <v>2.9745370370370373E-3</v>
      </c>
      <c r="D71" s="9">
        <f t="shared" si="61"/>
        <v>5.8247337962962957E-3</v>
      </c>
      <c r="E71" s="10">
        <v>0.58179999999999998</v>
      </c>
      <c r="F71" s="9">
        <f t="shared" si="54"/>
        <v>7.4363425925925931E-4</v>
      </c>
      <c r="G71" s="9">
        <f t="shared" si="55"/>
        <v>7.7663117283950612E-4</v>
      </c>
      <c r="H71" s="9">
        <f t="shared" si="56"/>
        <v>8.0092592592592585E-4</v>
      </c>
      <c r="I71" s="9">
        <f t="shared" si="57"/>
        <v>8.3508728262312486E-4</v>
      </c>
      <c r="J71" s="9">
        <f t="shared" si="58"/>
        <v>8.4416431830381094E-4</v>
      </c>
      <c r="K71" s="9">
        <f t="shared" si="59"/>
        <v>8.825354236812569E-4</v>
      </c>
      <c r="L71" s="9">
        <f t="shared" si="60"/>
        <v>9.2456092004703113E-4</v>
      </c>
      <c r="M71" s="11">
        <f>Table2571113152523333537394145495153591214161820222426283032[[#This Row],[Thresh]]</f>
        <v>8.825354236812569E-4</v>
      </c>
      <c r="N71" s="9">
        <f>Table2571113152523333537394145495153591214161820222426283032[[#This Row],[Thresh]]*4</f>
        <v>3.5301416947250276E-3</v>
      </c>
      <c r="O71" s="24">
        <f>Table2571113152523333537394145495153591214161820222426283032[[#This Row],[CV]]</f>
        <v>8.4416431830381094E-4</v>
      </c>
      <c r="P71" s="9">
        <f>Table2571113152523333537394145495153591214161820222426283032[[#This Row],[CV]]*2.5</f>
        <v>2.1104107957595273E-3</v>
      </c>
      <c r="Q71" s="24">
        <f>Table2571113152523333537394145495153591214161820222426283032[[#This Row],[I]]</f>
        <v>8.0092592592592585E-4</v>
      </c>
      <c r="R71" s="9">
        <f>Table2571113152523333537394145495153591214161820222426283032[[#This Row],[I]]*2</f>
        <v>1.6018518518518517E-3</v>
      </c>
      <c r="S71" s="24">
        <f>Table2571113152523333537394145495153591214161820222426283032[[#This Row],[R]]/2</f>
        <v>3.7181712962962966E-4</v>
      </c>
      <c r="T71" s="24">
        <f>Table2571113152523333537394145495153591214161820222426283032[[#This Row],[VO2]]</f>
        <v>7.7663117283950612E-4</v>
      </c>
      <c r="U71" s="24"/>
      <c r="V71" s="23" t="s">
        <v>48</v>
      </c>
      <c r="W71" s="108"/>
    </row>
    <row r="72" spans="1:23" ht="17.149999999999999" customHeight="1" x14ac:dyDescent="0.35">
      <c r="A72" s="8" t="s">
        <v>98</v>
      </c>
      <c r="B72" s="9">
        <v>1.0243055555555556E-2</v>
      </c>
      <c r="C72" s="9">
        <v>3.0092592592592588E-3</v>
      </c>
      <c r="D72" s="9">
        <f t="shared" si="61"/>
        <v>5.9594097222222218E-3</v>
      </c>
      <c r="E72" s="10">
        <v>0.58179999999999998</v>
      </c>
      <c r="F72" s="9">
        <f t="shared" si="54"/>
        <v>7.5231481481481471E-4</v>
      </c>
      <c r="G72" s="9">
        <f t="shared" si="55"/>
        <v>7.9458796296296287E-4</v>
      </c>
      <c r="H72" s="9">
        <f t="shared" si="56"/>
        <v>8.1944444444444447E-4</v>
      </c>
      <c r="I72" s="9">
        <f t="shared" si="57"/>
        <v>8.5439565909996003E-4</v>
      </c>
      <c r="J72" s="9">
        <f t="shared" si="58"/>
        <v>8.636825684380031E-4</v>
      </c>
      <c r="K72" s="9">
        <f t="shared" si="59"/>
        <v>9.0294086700336686E-4</v>
      </c>
      <c r="L72" s="9">
        <f t="shared" si="60"/>
        <v>9.4593805114638445E-4</v>
      </c>
      <c r="M72" s="11">
        <f>Table2571113152523333537394145495153591214161820222426283032[[#This Row],[Thresh]]</f>
        <v>9.0294086700336686E-4</v>
      </c>
      <c r="N72" s="9">
        <f>Table2571113152523333537394145495153591214161820222426283032[[#This Row],[Thresh]]*4</f>
        <v>3.6117634680134674E-3</v>
      </c>
      <c r="O72" s="24">
        <f>Table2571113152523333537394145495153591214161820222426283032[[#This Row],[CV]]</f>
        <v>8.636825684380031E-4</v>
      </c>
      <c r="P72" s="9">
        <f>Table2571113152523333537394145495153591214161820222426283032[[#This Row],[CV]]*2.5</f>
        <v>2.1592064210950077E-3</v>
      </c>
      <c r="Q72" s="24">
        <f>Table2571113152523333537394145495153591214161820222426283032[[#This Row],[I]]</f>
        <v>8.1944444444444447E-4</v>
      </c>
      <c r="R72" s="9">
        <f>Table2571113152523333537394145495153591214161820222426283032[[#This Row],[I]]*2</f>
        <v>1.6388888888888889E-3</v>
      </c>
      <c r="S72" s="24">
        <f>Table2571113152523333537394145495153591214161820222426283032[[#This Row],[R]]/2</f>
        <v>3.7615740740740735E-4</v>
      </c>
      <c r="T72" s="24">
        <f>Table2571113152523333537394145495153591214161820222426283032[[#This Row],[VO2]]</f>
        <v>7.9458796296296287E-4</v>
      </c>
      <c r="V72" s="23" t="s">
        <v>48</v>
      </c>
      <c r="W72" s="108"/>
    </row>
    <row r="73" spans="1:23" ht="17.149999999999999" customHeight="1" x14ac:dyDescent="0.35">
      <c r="A73" s="8" t="s">
        <v>100</v>
      </c>
      <c r="B73" s="9">
        <v>1.0243055555555556E-2</v>
      </c>
      <c r="C73" s="9">
        <v>2.9745370370370373E-3</v>
      </c>
      <c r="D73" s="9">
        <f t="shared" si="61"/>
        <v>5.9594097222222218E-3</v>
      </c>
      <c r="E73" s="10">
        <v>0.58179999999999998</v>
      </c>
      <c r="F73" s="9">
        <f t="shared" si="54"/>
        <v>7.4363425925925931E-4</v>
      </c>
      <c r="G73" s="9">
        <f t="shared" si="55"/>
        <v>7.9458796296296287E-4</v>
      </c>
      <c r="H73" s="9">
        <f t="shared" si="56"/>
        <v>8.1944444444444447E-4</v>
      </c>
      <c r="I73" s="9">
        <f t="shared" si="57"/>
        <v>8.5439565909996003E-4</v>
      </c>
      <c r="J73" s="9">
        <f t="shared" si="58"/>
        <v>8.636825684380031E-4</v>
      </c>
      <c r="K73" s="9">
        <f t="shared" si="59"/>
        <v>9.0294086700336686E-4</v>
      </c>
      <c r="L73" s="9">
        <f t="shared" si="60"/>
        <v>9.4593805114638445E-4</v>
      </c>
      <c r="M73" s="11">
        <f>Table2571113152523333537394145495153591214161820222426283032[[#This Row],[Thresh]]</f>
        <v>9.0294086700336686E-4</v>
      </c>
      <c r="N73" s="9">
        <f>Table2571113152523333537394145495153591214161820222426283032[[#This Row],[Thresh]]*4</f>
        <v>3.6117634680134674E-3</v>
      </c>
      <c r="O73" s="24">
        <f>Table2571113152523333537394145495153591214161820222426283032[[#This Row],[CV]]</f>
        <v>8.636825684380031E-4</v>
      </c>
      <c r="P73" s="9">
        <f>Table2571113152523333537394145495153591214161820222426283032[[#This Row],[CV]]*2.5</f>
        <v>2.1592064210950077E-3</v>
      </c>
      <c r="Q73" s="24">
        <f>Table2571113152523333537394145495153591214161820222426283032[[#This Row],[I]]</f>
        <v>8.1944444444444447E-4</v>
      </c>
      <c r="R73" s="9">
        <f>Table2571113152523333537394145495153591214161820222426283032[[#This Row],[I]]*2</f>
        <v>1.6388888888888889E-3</v>
      </c>
      <c r="S73" s="24">
        <f>Table2571113152523333537394145495153591214161820222426283032[[#This Row],[R]]/2</f>
        <v>3.7181712962962966E-4</v>
      </c>
      <c r="T73" s="24">
        <f>Table2571113152523333537394145495153591214161820222426283032[[#This Row],[VO2]]</f>
        <v>7.9458796296296287E-4</v>
      </c>
      <c r="V73" s="23" t="s">
        <v>48</v>
      </c>
      <c r="W73" s="108"/>
    </row>
    <row r="74" spans="1:23" ht="17.149999999999999" customHeight="1" x14ac:dyDescent="0.35">
      <c r="A74" s="8" t="s">
        <v>80</v>
      </c>
      <c r="B74" s="9">
        <v>1.0416666666666666E-2</v>
      </c>
      <c r="C74" s="9">
        <v>3.0092592592592588E-3</v>
      </c>
      <c r="D74" s="9">
        <f t="shared" si="61"/>
        <v>6.0604166666666662E-3</v>
      </c>
      <c r="E74" s="10">
        <v>0.58179999999999998</v>
      </c>
      <c r="F74" s="9">
        <f t="shared" si="54"/>
        <v>7.5231481481481471E-4</v>
      </c>
      <c r="G74" s="9">
        <f t="shared" si="55"/>
        <v>8.0805555555555546E-4</v>
      </c>
      <c r="H74" s="9">
        <f t="shared" si="56"/>
        <v>8.3333333333333328E-4</v>
      </c>
      <c r="I74" s="9">
        <f t="shared" si="57"/>
        <v>8.6887694145758646E-4</v>
      </c>
      <c r="J74" s="9">
        <f t="shared" si="58"/>
        <v>8.7832125603864715E-4</v>
      </c>
      <c r="K74" s="9">
        <f t="shared" si="59"/>
        <v>9.1824494949494938E-4</v>
      </c>
      <c r="L74" s="9">
        <f t="shared" si="60"/>
        <v>9.6197089947089938E-4</v>
      </c>
      <c r="M74" s="11">
        <f>Table2571113152523333537394145495153591214161820222426283032[[#This Row],[Thresh]]</f>
        <v>9.1824494949494938E-4</v>
      </c>
      <c r="N74" s="9">
        <f>Table2571113152523333537394145495153591214161820222426283032[[#This Row],[Thresh]]*4</f>
        <v>3.6729797979797975E-3</v>
      </c>
      <c r="O74" s="24">
        <f>Table2571113152523333537394145495153591214161820222426283032[[#This Row],[CV]]</f>
        <v>8.7832125603864715E-4</v>
      </c>
      <c r="P74" s="9">
        <f>Table2571113152523333537394145495153591214161820222426283032[[#This Row],[CV]]*2.5</f>
        <v>2.195803140096618E-3</v>
      </c>
      <c r="Q74" s="24">
        <f>Table2571113152523333537394145495153591214161820222426283032[[#This Row],[I]]</f>
        <v>8.3333333333333328E-4</v>
      </c>
      <c r="R74" s="9">
        <f>Table2571113152523333537394145495153591214161820222426283032[[#This Row],[I]]*2</f>
        <v>1.6666666666666666E-3</v>
      </c>
      <c r="S74" s="24">
        <f>Table2571113152523333537394145495153591214161820222426283032[[#This Row],[R]]/2</f>
        <v>3.7615740740740735E-4</v>
      </c>
      <c r="T74" s="24">
        <f>Table2571113152523333537394145495153591214161820222426283032[[#This Row],[VO2]]</f>
        <v>8.0805555555555546E-4</v>
      </c>
      <c r="U74" s="24"/>
      <c r="V74" s="23" t="s">
        <v>48</v>
      </c>
      <c r="W74" s="108"/>
    </row>
    <row r="75" spans="1:23" ht="17.149999999999999" customHeight="1" x14ac:dyDescent="0.35">
      <c r="A75" s="8" t="s">
        <v>101</v>
      </c>
      <c r="B75" s="9">
        <v>1.0474537037037037E-2</v>
      </c>
      <c r="C75" s="9">
        <v>3.0671296296296297E-3</v>
      </c>
      <c r="D75" s="9">
        <f t="shared" si="61"/>
        <v>6.094085648148148E-3</v>
      </c>
      <c r="E75" s="10">
        <v>0.58179999999999998</v>
      </c>
      <c r="F75" s="9">
        <f t="shared" si="54"/>
        <v>7.6678240740740743E-4</v>
      </c>
      <c r="G75" s="9">
        <f t="shared" si="55"/>
        <v>8.1254475308641973E-4</v>
      </c>
      <c r="H75" s="9">
        <f t="shared" si="56"/>
        <v>8.3796296296296299E-4</v>
      </c>
      <c r="I75" s="9">
        <f t="shared" si="57"/>
        <v>8.7370403557679541E-4</v>
      </c>
      <c r="J75" s="9">
        <f t="shared" si="58"/>
        <v>8.8320081857219527E-4</v>
      </c>
      <c r="K75" s="9">
        <f t="shared" si="59"/>
        <v>9.2334631032547692E-4</v>
      </c>
      <c r="L75" s="9">
        <f t="shared" si="60"/>
        <v>9.6731518224573777E-4</v>
      </c>
      <c r="M75" s="11">
        <f>Table2571113152523333537394145495153591214161820222426283032[[#This Row],[Thresh]]</f>
        <v>9.2334631032547692E-4</v>
      </c>
      <c r="N75" s="9">
        <f>Table2571113152523333537394145495153591214161820222426283032[[#This Row],[Thresh]]*4</f>
        <v>3.6933852413019077E-3</v>
      </c>
      <c r="O75" s="24">
        <f>Table2571113152523333537394145495153591214161820222426283032[[#This Row],[CV]]</f>
        <v>8.8320081857219527E-4</v>
      </c>
      <c r="P75" s="9">
        <f>Table2571113152523333537394145495153591214161820222426283032[[#This Row],[CV]]*2.5</f>
        <v>2.2080020464304881E-3</v>
      </c>
      <c r="Q75" s="24">
        <f>Table2571113152523333537394145495153591214161820222426283032[[#This Row],[I]]</f>
        <v>8.3796296296296299E-4</v>
      </c>
      <c r="R75" s="9">
        <f>Table2571113152523333537394145495153591214161820222426283032[[#This Row],[I]]*2</f>
        <v>1.675925925925926E-3</v>
      </c>
      <c r="S75" s="24">
        <f>Table2571113152523333537394145495153591214161820222426283032[[#This Row],[R]]/2</f>
        <v>3.8339120370370371E-4</v>
      </c>
      <c r="T75" s="24">
        <f>Table2571113152523333537394145495153591214161820222426283032[[#This Row],[VO2]]</f>
        <v>8.1254475308641973E-4</v>
      </c>
      <c r="V75" s="23" t="s">
        <v>48</v>
      </c>
      <c r="W75" s="108"/>
    </row>
    <row r="76" spans="1:23" ht="17.149999999999999" customHeight="1" x14ac:dyDescent="0.35">
      <c r="A76" s="8" t="s">
        <v>85</v>
      </c>
      <c r="B76" s="9">
        <v>1.0763888888888889E-2</v>
      </c>
      <c r="C76" s="9">
        <v>3.0671296296296297E-3</v>
      </c>
      <c r="D76" s="9">
        <f t="shared" si="61"/>
        <v>6.2624305555555549E-3</v>
      </c>
      <c r="E76" s="10">
        <v>0.58179999999999998</v>
      </c>
      <c r="F76" s="9">
        <f t="shared" si="54"/>
        <v>7.6678240740740743E-4</v>
      </c>
      <c r="G76" s="9">
        <f t="shared" si="55"/>
        <v>8.3499074074074064E-4</v>
      </c>
      <c r="H76" s="9">
        <f t="shared" si="56"/>
        <v>8.611111111111111E-4</v>
      </c>
      <c r="I76" s="9">
        <f t="shared" si="57"/>
        <v>8.9783950617283931E-4</v>
      </c>
      <c r="J76" s="9">
        <f t="shared" si="58"/>
        <v>9.0759863123993545E-4</v>
      </c>
      <c r="K76" s="9">
        <f t="shared" si="59"/>
        <v>9.4885311447811432E-4</v>
      </c>
      <c r="L76" s="9">
        <f t="shared" si="60"/>
        <v>9.9403659611992947E-4</v>
      </c>
      <c r="M76" s="11">
        <f>Table2571113152523333537394145495153591214161820222426283032[[#This Row],[Thresh]]</f>
        <v>9.4885311447811432E-4</v>
      </c>
      <c r="N76" s="9">
        <f>Table2571113152523333537394145495153591214161820222426283032[[#This Row],[Thresh]]*4</f>
        <v>3.7954124579124573E-3</v>
      </c>
      <c r="O76" s="24">
        <f>Table2571113152523333537394145495153591214161820222426283032[[#This Row],[CV]]</f>
        <v>9.0759863123993545E-4</v>
      </c>
      <c r="P76" s="9">
        <f>Table2571113152523333537394145495153591214161820222426283032[[#This Row],[CV]]*2.5</f>
        <v>2.2689965780998385E-3</v>
      </c>
      <c r="Q76" s="24">
        <f>Table2571113152523333537394145495153591214161820222426283032[[#This Row],[I]]</f>
        <v>8.611111111111111E-4</v>
      </c>
      <c r="R76" s="9">
        <f>Table2571113152523333537394145495153591214161820222426283032[[#This Row],[I]]*2</f>
        <v>1.7222222222222222E-3</v>
      </c>
      <c r="S76" s="24">
        <f>Table2571113152523333537394145495153591214161820222426283032[[#This Row],[R]]/2</f>
        <v>3.8339120370370371E-4</v>
      </c>
      <c r="T76" s="24">
        <f>Table2571113152523333537394145495153591214161820222426283032[[#This Row],[VO2]]</f>
        <v>8.3499074074074064E-4</v>
      </c>
      <c r="U76" s="24"/>
      <c r="V76" s="23" t="s">
        <v>48</v>
      </c>
      <c r="W76" s="104" t="s">
        <v>207</v>
      </c>
    </row>
    <row r="77" spans="1:23" ht="17.149999999999999" customHeight="1" x14ac:dyDescent="0.35">
      <c r="A77" s="8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11"/>
      <c r="P77" s="25"/>
      <c r="Q77" s="25"/>
      <c r="R77" s="25"/>
      <c r="S77" s="25"/>
      <c r="V77" s="23"/>
      <c r="W77" s="104"/>
    </row>
    <row r="78" spans="1:23" ht="17.149999999999999" customHeight="1" x14ac:dyDescent="0.35">
      <c r="A78" s="14"/>
      <c r="B78" s="15"/>
      <c r="C78" s="15"/>
      <c r="D78" s="15"/>
      <c r="E78" s="16"/>
      <c r="F78" s="15">
        <f>C78/4</f>
        <v>0</v>
      </c>
      <c r="G78" s="15">
        <f>D78/7.5</f>
        <v>0</v>
      </c>
      <c r="H78" s="15">
        <f>B78/12.5</f>
        <v>0</v>
      </c>
      <c r="I78" s="15">
        <f>G78/0.93</f>
        <v>0</v>
      </c>
      <c r="J78" s="15">
        <f>G78/0.92</f>
        <v>0</v>
      </c>
      <c r="K78" s="15">
        <f>G78/0.88</f>
        <v>0</v>
      </c>
      <c r="L78" s="15">
        <f>G78/0.84</f>
        <v>0</v>
      </c>
      <c r="M78" s="30" t="s">
        <v>12</v>
      </c>
      <c r="N78" s="15" t="s">
        <v>58</v>
      </c>
      <c r="O78" s="15" t="s">
        <v>133</v>
      </c>
      <c r="P78" s="15" t="s">
        <v>195</v>
      </c>
      <c r="Q78" s="15" t="s">
        <v>202</v>
      </c>
      <c r="R78" s="15"/>
      <c r="S78" s="15"/>
      <c r="T78" s="15"/>
      <c r="U78" s="15"/>
      <c r="V78" s="17"/>
      <c r="W78" s="104"/>
    </row>
    <row r="79" spans="1:23" ht="17.149999999999999" customHeight="1" x14ac:dyDescent="0.35">
      <c r="A79" s="8" t="s">
        <v>113</v>
      </c>
      <c r="B79" s="9">
        <v>1.1805555555555555E-2</v>
      </c>
      <c r="C79" s="9">
        <v>3.414351851851852E-3</v>
      </c>
      <c r="D79" s="9">
        <f>B79*E79</f>
        <v>6.868472222222222E-3</v>
      </c>
      <c r="E79" s="10">
        <v>0.58179999999999998</v>
      </c>
      <c r="F79" s="9">
        <f>C79/4</f>
        <v>8.53587962962963E-4</v>
      </c>
      <c r="G79" s="9">
        <f>D79/7.5</f>
        <v>9.1579629629629628E-4</v>
      </c>
      <c r="H79" s="9">
        <f>B79/12.5</f>
        <v>9.4444444444444437E-4</v>
      </c>
      <c r="I79" s="9">
        <f>G79/0.93</f>
        <v>9.8472720031859799E-4</v>
      </c>
      <c r="J79" s="9">
        <f>G79/0.92</f>
        <v>9.9543075684380036E-4</v>
      </c>
      <c r="K79" s="9">
        <f>G79/0.88</f>
        <v>1.0406776094276093E-3</v>
      </c>
      <c r="L79" s="9">
        <f>G79/0.84</f>
        <v>1.0902336860670195E-3</v>
      </c>
      <c r="M79" s="11">
        <v>1.0304748877665545E-3</v>
      </c>
      <c r="N79" s="9">
        <v>2.5761872194163863E-3</v>
      </c>
      <c r="O79" s="12">
        <v>4.1956018518518514E-4</v>
      </c>
      <c r="P79" s="9">
        <v>9.0681790123456785E-4</v>
      </c>
      <c r="Q79" s="12">
        <v>1.8136358024691357E-3</v>
      </c>
      <c r="R79" s="9"/>
      <c r="S79" s="24"/>
      <c r="T79" s="24"/>
      <c r="V79" s="23" t="s">
        <v>30</v>
      </c>
      <c r="W79" s="104"/>
    </row>
    <row r="80" spans="1:23" ht="17.149999999999999" customHeight="1" x14ac:dyDescent="0.35">
      <c r="A80" s="8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11"/>
      <c r="N80" s="9"/>
      <c r="O80" s="24"/>
      <c r="P80" s="9"/>
      <c r="Q80" s="24"/>
      <c r="R80" s="9"/>
      <c r="S80" s="12"/>
      <c r="V80" s="23"/>
      <c r="W80" s="104"/>
    </row>
    <row r="81" spans="1:23" ht="17.149999999999999" customHeight="1" x14ac:dyDescent="0.35">
      <c r="A81" s="8"/>
      <c r="B81" s="9"/>
      <c r="C81" s="9"/>
      <c r="D81" s="9"/>
      <c r="E81" s="10"/>
      <c r="F81" s="9">
        <f>C81/4</f>
        <v>0</v>
      </c>
      <c r="G81" s="9">
        <f>D81/7.5</f>
        <v>0</v>
      </c>
      <c r="H81" s="9">
        <f>B81/12.5</f>
        <v>0</v>
      </c>
      <c r="I81" s="9">
        <f>G81/0.93</f>
        <v>0</v>
      </c>
      <c r="J81" s="9">
        <f>G81/0.92</f>
        <v>0</v>
      </c>
      <c r="K81" s="9">
        <f>G81/0.88</f>
        <v>0</v>
      </c>
      <c r="L81" s="9">
        <f>G81/0.84</f>
        <v>0</v>
      </c>
      <c r="M81" s="11"/>
      <c r="P81" s="25"/>
      <c r="Q81" s="25"/>
      <c r="R81" s="25"/>
      <c r="S81" s="25"/>
      <c r="V81" s="23"/>
      <c r="W81" s="104"/>
    </row>
    <row r="82" spans="1:23" ht="17.149999999999999" customHeight="1" x14ac:dyDescent="0.35">
      <c r="A82" s="8" t="s">
        <v>82</v>
      </c>
      <c r="B82" s="9">
        <v>1.0416666666666666E-2</v>
      </c>
      <c r="C82" s="9">
        <v>3.0092592592592588E-3</v>
      </c>
      <c r="D82" s="9">
        <f t="shared" ref="D82:D96" si="62">B82*E82</f>
        <v>6.0604166666666662E-3</v>
      </c>
      <c r="E82" s="10">
        <v>0.58179999999999998</v>
      </c>
      <c r="F82" s="9">
        <f t="shared" si="47"/>
        <v>7.5231481481481471E-4</v>
      </c>
      <c r="G82" s="9">
        <f t="shared" si="48"/>
        <v>8.0805555555555546E-4</v>
      </c>
      <c r="H82" s="9">
        <f t="shared" si="49"/>
        <v>8.3333333333333328E-4</v>
      </c>
      <c r="I82" s="9">
        <f t="shared" si="50"/>
        <v>8.6887694145758646E-4</v>
      </c>
      <c r="J82" s="9">
        <f t="shared" si="51"/>
        <v>8.7832125603864715E-4</v>
      </c>
      <c r="K82" s="9">
        <f t="shared" si="52"/>
        <v>9.1824494949494938E-4</v>
      </c>
      <c r="L82" s="9">
        <f t="shared" si="53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34</v>
      </c>
      <c r="W82" s="104"/>
    </row>
    <row r="83" spans="1:23" ht="17.149999999999999" customHeight="1" x14ac:dyDescent="0.35">
      <c r="A83" s="8" t="s">
        <v>77</v>
      </c>
      <c r="B83" s="9">
        <v>1.0416666666666666E-2</v>
      </c>
      <c r="C83" s="9">
        <v>2.9745370370370373E-3</v>
      </c>
      <c r="D83" s="9">
        <f t="shared" si="62"/>
        <v>6.0604166666666662E-3</v>
      </c>
      <c r="E83" s="10">
        <v>0.58179999999999998</v>
      </c>
      <c r="F83" s="9">
        <f t="shared" si="47"/>
        <v>7.4363425925925931E-4</v>
      </c>
      <c r="G83" s="9">
        <f t="shared" si="48"/>
        <v>8.0805555555555546E-4</v>
      </c>
      <c r="H83" s="9">
        <f t="shared" si="49"/>
        <v>8.3333333333333328E-4</v>
      </c>
      <c r="I83" s="9">
        <f t="shared" si="50"/>
        <v>8.6887694145758646E-4</v>
      </c>
      <c r="J83" s="9">
        <f t="shared" si="51"/>
        <v>8.7832125603864715E-4</v>
      </c>
      <c r="K83" s="9">
        <f t="shared" si="52"/>
        <v>9.1824494949494938E-4</v>
      </c>
      <c r="L83" s="9">
        <f t="shared" si="53"/>
        <v>9.6197089947089938E-4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34</v>
      </c>
      <c r="W83" s="104"/>
    </row>
    <row r="84" spans="1:23" ht="17.149999999999999" customHeight="1" x14ac:dyDescent="0.35">
      <c r="A84" s="8" t="s">
        <v>102</v>
      </c>
      <c r="B84" s="9">
        <v>1.0474537037037037E-2</v>
      </c>
      <c r="C84" s="9">
        <v>3.0671296296296297E-3</v>
      </c>
      <c r="D84" s="9">
        <f t="shared" si="62"/>
        <v>6.094085648148148E-3</v>
      </c>
      <c r="E84" s="10">
        <v>0.58179999999999998</v>
      </c>
      <c r="F84" s="9">
        <f t="shared" si="47"/>
        <v>7.6678240740740743E-4</v>
      </c>
      <c r="G84" s="9">
        <f t="shared" si="48"/>
        <v>8.1254475308641973E-4</v>
      </c>
      <c r="H84" s="9">
        <f t="shared" si="49"/>
        <v>8.3796296296296299E-4</v>
      </c>
      <c r="I84" s="9">
        <f t="shared" si="50"/>
        <v>8.7370403557679541E-4</v>
      </c>
      <c r="J84" s="9">
        <f t="shared" si="51"/>
        <v>8.8320081857219527E-4</v>
      </c>
      <c r="K84" s="9">
        <f t="shared" si="52"/>
        <v>9.2334631032547692E-4</v>
      </c>
      <c r="L84" s="9">
        <f t="shared" si="53"/>
        <v>9.6731518224573777E-4</v>
      </c>
      <c r="M84" s="11"/>
      <c r="N84" s="9"/>
      <c r="O84" s="24"/>
      <c r="P84" s="9"/>
      <c r="Q84" s="24"/>
      <c r="R84" s="9"/>
      <c r="S84" s="9"/>
      <c r="T84" s="24"/>
      <c r="U84" s="26"/>
      <c r="V84" s="23" t="s">
        <v>34</v>
      </c>
      <c r="W84" s="104"/>
    </row>
    <row r="85" spans="1:23" ht="17.149999999999999" customHeight="1" x14ac:dyDescent="0.35">
      <c r="A85" s="8" t="s">
        <v>84</v>
      </c>
      <c r="B85" s="9">
        <v>1.064814814814815E-2</v>
      </c>
      <c r="C85" s="9">
        <v>3.0671296296296297E-3</v>
      </c>
      <c r="D85" s="9">
        <f t="shared" si="62"/>
        <v>6.1950925925925932E-3</v>
      </c>
      <c r="E85" s="10">
        <v>0.58179999999999998</v>
      </c>
      <c r="F85" s="9">
        <f t="shared" si="47"/>
        <v>7.6678240740740743E-4</v>
      </c>
      <c r="G85" s="9">
        <f t="shared" si="48"/>
        <v>8.2601234567901242E-4</v>
      </c>
      <c r="H85" s="9">
        <f t="shared" si="49"/>
        <v>8.5185185185185201E-4</v>
      </c>
      <c r="I85" s="9">
        <f t="shared" si="50"/>
        <v>8.8818531793442195E-4</v>
      </c>
      <c r="J85" s="9">
        <f t="shared" si="51"/>
        <v>8.9783950617283953E-4</v>
      </c>
      <c r="K85" s="9">
        <f t="shared" si="52"/>
        <v>9.3865039281705955E-4</v>
      </c>
      <c r="L85" s="9">
        <f t="shared" si="53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34</v>
      </c>
      <c r="W85" s="104"/>
    </row>
    <row r="86" spans="1:23" ht="17.149999999999999" customHeight="1" x14ac:dyDescent="0.35">
      <c r="A86" s="8" t="s">
        <v>103</v>
      </c>
      <c r="B86" s="9">
        <v>1.064814814814815E-2</v>
      </c>
      <c r="C86" s="9">
        <v>3.0671296296296297E-3</v>
      </c>
      <c r="D86" s="9">
        <f t="shared" si="62"/>
        <v>6.1950925925925932E-3</v>
      </c>
      <c r="E86" s="10">
        <v>0.58179999999999998</v>
      </c>
      <c r="F86" s="9">
        <f t="shared" si="47"/>
        <v>7.6678240740740743E-4</v>
      </c>
      <c r="G86" s="9">
        <f t="shared" si="48"/>
        <v>8.2601234567901242E-4</v>
      </c>
      <c r="H86" s="9">
        <f t="shared" si="49"/>
        <v>8.5185185185185201E-4</v>
      </c>
      <c r="I86" s="9">
        <f t="shared" si="50"/>
        <v>8.8818531793442195E-4</v>
      </c>
      <c r="J86" s="9">
        <f t="shared" si="51"/>
        <v>8.9783950617283953E-4</v>
      </c>
      <c r="K86" s="9">
        <f t="shared" si="52"/>
        <v>9.3865039281705955E-4</v>
      </c>
      <c r="L86" s="9">
        <f t="shared" si="53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34</v>
      </c>
      <c r="W86" s="104"/>
    </row>
    <row r="87" spans="1:23" ht="17.149999999999999" customHeight="1" x14ac:dyDescent="0.35">
      <c r="A87" s="8" t="s">
        <v>104</v>
      </c>
      <c r="B87" s="9">
        <v>1.064814814814815E-2</v>
      </c>
      <c r="C87" s="9">
        <v>3.1249999999999997E-3</v>
      </c>
      <c r="D87" s="9">
        <f t="shared" si="62"/>
        <v>6.1950925925925932E-3</v>
      </c>
      <c r="E87" s="10">
        <v>0.58179999999999998</v>
      </c>
      <c r="F87" s="9">
        <f t="shared" si="47"/>
        <v>7.8124999999999993E-4</v>
      </c>
      <c r="G87" s="9">
        <f t="shared" si="48"/>
        <v>8.2601234567901242E-4</v>
      </c>
      <c r="H87" s="9">
        <f t="shared" si="49"/>
        <v>8.5185185185185201E-4</v>
      </c>
      <c r="I87" s="9">
        <f t="shared" si="50"/>
        <v>8.8818531793442195E-4</v>
      </c>
      <c r="J87" s="9">
        <f t="shared" si="51"/>
        <v>8.9783950617283953E-4</v>
      </c>
      <c r="K87" s="9">
        <f t="shared" si="52"/>
        <v>9.3865039281705955E-4</v>
      </c>
      <c r="L87" s="9">
        <f t="shared" si="53"/>
        <v>9.8334803057025292E-4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34</v>
      </c>
      <c r="W87" s="104"/>
    </row>
    <row r="88" spans="1:23" ht="17.149999999999999" customHeight="1" x14ac:dyDescent="0.35">
      <c r="A88" s="8" t="s">
        <v>106</v>
      </c>
      <c r="B88" s="9">
        <v>1.064814814814815E-2</v>
      </c>
      <c r="C88" s="9">
        <v>3.1249999999999997E-3</v>
      </c>
      <c r="D88" s="9">
        <f t="shared" si="62"/>
        <v>6.1950925925925932E-3</v>
      </c>
      <c r="E88" s="10">
        <v>0.58179999999999998</v>
      </c>
      <c r="F88" s="9">
        <f t="shared" si="47"/>
        <v>7.8124999999999993E-4</v>
      </c>
      <c r="G88" s="9">
        <f t="shared" si="48"/>
        <v>8.2601234567901242E-4</v>
      </c>
      <c r="H88" s="9">
        <f t="shared" si="49"/>
        <v>8.5185185185185201E-4</v>
      </c>
      <c r="I88" s="9">
        <f t="shared" si="50"/>
        <v>8.8818531793442195E-4</v>
      </c>
      <c r="J88" s="9">
        <f t="shared" si="51"/>
        <v>8.9783950617283953E-4</v>
      </c>
      <c r="K88" s="9">
        <f t="shared" si="52"/>
        <v>9.3865039281705955E-4</v>
      </c>
      <c r="L88" s="9">
        <f t="shared" si="53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34</v>
      </c>
      <c r="W88" s="104"/>
    </row>
    <row r="89" spans="1:23" ht="17.149999999999999" customHeight="1" x14ac:dyDescent="0.35">
      <c r="A89" s="8" t="s">
        <v>105</v>
      </c>
      <c r="B89" s="9">
        <v>1.064814814814815E-2</v>
      </c>
      <c r="C89" s="9">
        <v>3.1249999999999997E-3</v>
      </c>
      <c r="D89" s="9">
        <f t="shared" si="62"/>
        <v>6.1950925925925932E-3</v>
      </c>
      <c r="E89" s="10">
        <v>0.58179999999999998</v>
      </c>
      <c r="F89" s="9">
        <f t="shared" si="47"/>
        <v>7.8124999999999993E-4</v>
      </c>
      <c r="G89" s="9">
        <f t="shared" si="48"/>
        <v>8.2601234567901242E-4</v>
      </c>
      <c r="H89" s="9">
        <f t="shared" si="49"/>
        <v>8.5185185185185201E-4</v>
      </c>
      <c r="I89" s="9">
        <f t="shared" si="50"/>
        <v>8.8818531793442195E-4</v>
      </c>
      <c r="J89" s="9">
        <f t="shared" si="51"/>
        <v>8.9783950617283953E-4</v>
      </c>
      <c r="K89" s="9">
        <f t="shared" si="52"/>
        <v>9.3865039281705955E-4</v>
      </c>
      <c r="L89" s="9">
        <f t="shared" si="53"/>
        <v>9.8334803057025292E-4</v>
      </c>
      <c r="M89" s="11"/>
      <c r="N89" s="9"/>
      <c r="O89" s="24"/>
      <c r="P89" s="9"/>
      <c r="Q89" s="24"/>
      <c r="R89" s="9"/>
      <c r="S89" s="9"/>
      <c r="T89" s="24"/>
      <c r="V89" s="23" t="s">
        <v>34</v>
      </c>
      <c r="W89" s="104"/>
    </row>
    <row r="90" spans="1:23" ht="17.149999999999999" customHeight="1" x14ac:dyDescent="0.35">
      <c r="A90" s="8" t="s">
        <v>107</v>
      </c>
      <c r="B90" s="9">
        <v>1.0648148148148148E-2</v>
      </c>
      <c r="C90" s="9">
        <v>3.1249999999999997E-3</v>
      </c>
      <c r="D90" s="9">
        <f t="shared" si="62"/>
        <v>6.1950925925925923E-3</v>
      </c>
      <c r="E90" s="10">
        <v>0.58179999999999998</v>
      </c>
      <c r="F90" s="9">
        <f t="shared" si="47"/>
        <v>7.8124999999999993E-4</v>
      </c>
      <c r="G90" s="9">
        <f t="shared" si="48"/>
        <v>8.2601234567901232E-4</v>
      </c>
      <c r="H90" s="9">
        <f t="shared" si="49"/>
        <v>8.5185185185185179E-4</v>
      </c>
      <c r="I90" s="9">
        <f t="shared" si="50"/>
        <v>8.8818531793442184E-4</v>
      </c>
      <c r="J90" s="9">
        <f t="shared" si="51"/>
        <v>8.9783950617283942E-4</v>
      </c>
      <c r="K90" s="9">
        <f t="shared" si="52"/>
        <v>9.3865039281705945E-4</v>
      </c>
      <c r="L90" s="9">
        <f t="shared" si="53"/>
        <v>9.833480305702527E-4</v>
      </c>
      <c r="M90" s="11"/>
      <c r="N90" s="9"/>
      <c r="O90" s="24"/>
      <c r="P90" s="9"/>
      <c r="Q90" s="24"/>
      <c r="R90" s="9"/>
      <c r="S90" s="9"/>
      <c r="T90" s="24"/>
      <c r="V90" s="23" t="s">
        <v>34</v>
      </c>
      <c r="W90" s="104"/>
    </row>
    <row r="91" spans="1:23" ht="17.149999999999999" customHeight="1" x14ac:dyDescent="0.35">
      <c r="A91" s="8" t="s">
        <v>108</v>
      </c>
      <c r="B91" s="9">
        <v>1.0763888888888891E-2</v>
      </c>
      <c r="C91" s="9">
        <v>3.1828703703703702E-3</v>
      </c>
      <c r="D91" s="9">
        <f t="shared" si="62"/>
        <v>6.2624305555555567E-3</v>
      </c>
      <c r="E91" s="10">
        <v>0.58179999999999998</v>
      </c>
      <c r="F91" s="9">
        <f t="shared" si="47"/>
        <v>7.9571759259259255E-4</v>
      </c>
      <c r="G91" s="9">
        <f t="shared" si="48"/>
        <v>8.3499074074074085E-4</v>
      </c>
      <c r="H91" s="9">
        <f t="shared" si="49"/>
        <v>8.6111111111111121E-4</v>
      </c>
      <c r="I91" s="9">
        <f t="shared" si="50"/>
        <v>8.9783950617283953E-4</v>
      </c>
      <c r="J91" s="9">
        <f t="shared" si="51"/>
        <v>9.0759863123993567E-4</v>
      </c>
      <c r="K91" s="9">
        <f t="shared" si="52"/>
        <v>9.4885311447811464E-4</v>
      </c>
      <c r="L91" s="9">
        <f t="shared" si="53"/>
        <v>9.9403659611992969E-4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34</v>
      </c>
      <c r="W91" s="104"/>
    </row>
    <row r="92" spans="1:23" ht="17.149999999999999" customHeight="1" x14ac:dyDescent="0.35">
      <c r="A92" s="8" t="s">
        <v>87</v>
      </c>
      <c r="B92" s="9">
        <v>1.0763888888888891E-2</v>
      </c>
      <c r="C92" s="9">
        <v>3.1249999999999997E-3</v>
      </c>
      <c r="D92" s="9">
        <f t="shared" si="62"/>
        <v>6.2624305555555567E-3</v>
      </c>
      <c r="E92" s="10">
        <v>0.58179999999999998</v>
      </c>
      <c r="F92" s="9">
        <f t="shared" si="47"/>
        <v>7.8124999999999993E-4</v>
      </c>
      <c r="G92" s="9">
        <f t="shared" si="48"/>
        <v>8.3499074074074085E-4</v>
      </c>
      <c r="H92" s="9">
        <f t="shared" si="49"/>
        <v>8.6111111111111121E-4</v>
      </c>
      <c r="I92" s="9">
        <f t="shared" si="50"/>
        <v>8.9783950617283953E-4</v>
      </c>
      <c r="J92" s="9">
        <f t="shared" si="51"/>
        <v>9.0759863123993567E-4</v>
      </c>
      <c r="K92" s="9">
        <f t="shared" si="52"/>
        <v>9.4885311447811464E-4</v>
      </c>
      <c r="L92" s="9">
        <f t="shared" si="53"/>
        <v>9.9403659611992969E-4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34</v>
      </c>
      <c r="W92" s="104"/>
    </row>
    <row r="93" spans="1:23" ht="17.149999999999999" customHeight="1" x14ac:dyDescent="0.35">
      <c r="A93" s="8" t="s">
        <v>109</v>
      </c>
      <c r="B93" s="9">
        <v>1.0763888888888889E-2</v>
      </c>
      <c r="C93" s="9">
        <v>3.1249999999999997E-3</v>
      </c>
      <c r="D93" s="9">
        <f t="shared" si="62"/>
        <v>6.2624305555555549E-3</v>
      </c>
      <c r="E93" s="10">
        <v>0.58179999999999998</v>
      </c>
      <c r="F93" s="9">
        <f t="shared" si="47"/>
        <v>7.8124999999999993E-4</v>
      </c>
      <c r="G93" s="9">
        <f t="shared" si="48"/>
        <v>8.3499074074074064E-4</v>
      </c>
      <c r="H93" s="9">
        <f t="shared" si="49"/>
        <v>8.611111111111111E-4</v>
      </c>
      <c r="I93" s="9">
        <f t="shared" si="50"/>
        <v>8.9783950617283931E-4</v>
      </c>
      <c r="J93" s="9">
        <f t="shared" si="51"/>
        <v>9.0759863123993545E-4</v>
      </c>
      <c r="K93" s="9">
        <f t="shared" si="52"/>
        <v>9.4885311447811432E-4</v>
      </c>
      <c r="L93" s="9">
        <f t="shared" si="53"/>
        <v>9.9403659611992947E-4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34</v>
      </c>
      <c r="W93" s="104"/>
    </row>
    <row r="94" spans="1:23" ht="17.149999999999999" customHeight="1" x14ac:dyDescent="0.35">
      <c r="A94" s="8" t="s">
        <v>110</v>
      </c>
      <c r="B94" s="9">
        <v>1.087962962962963E-2</v>
      </c>
      <c r="C94" s="9">
        <v>3.1249999999999997E-3</v>
      </c>
      <c r="D94" s="9">
        <f t="shared" si="62"/>
        <v>6.3297685185185184E-3</v>
      </c>
      <c r="E94" s="10">
        <v>0.58179999999999998</v>
      </c>
      <c r="F94" s="9">
        <f t="shared" si="47"/>
        <v>7.8124999999999993E-4</v>
      </c>
      <c r="G94" s="9">
        <f t="shared" si="48"/>
        <v>8.4396913580246917E-4</v>
      </c>
      <c r="H94" s="9">
        <f t="shared" si="49"/>
        <v>8.7037037037037042E-4</v>
      </c>
      <c r="I94" s="9">
        <f t="shared" si="50"/>
        <v>9.0749369441125711E-4</v>
      </c>
      <c r="J94" s="9">
        <f t="shared" si="51"/>
        <v>9.173577563070317E-4</v>
      </c>
      <c r="K94" s="9">
        <f t="shared" si="52"/>
        <v>9.5905583613916951E-4</v>
      </c>
      <c r="L94" s="9">
        <f t="shared" si="53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34</v>
      </c>
      <c r="W94" s="104"/>
    </row>
    <row r="95" spans="1:23" ht="17.149999999999999" customHeight="1" x14ac:dyDescent="0.35">
      <c r="A95" s="8" t="s">
        <v>111</v>
      </c>
      <c r="B95" s="9">
        <v>1.087962962962963E-2</v>
      </c>
      <c r="C95" s="9">
        <v>3.1828703703703702E-3</v>
      </c>
      <c r="D95" s="9">
        <f t="shared" si="62"/>
        <v>6.3297685185185184E-3</v>
      </c>
      <c r="E95" s="10">
        <v>0.58179999999999998</v>
      </c>
      <c r="F95" s="9">
        <f t="shared" si="47"/>
        <v>7.9571759259259255E-4</v>
      </c>
      <c r="G95" s="9">
        <f t="shared" si="48"/>
        <v>8.4396913580246917E-4</v>
      </c>
      <c r="H95" s="9">
        <f t="shared" si="49"/>
        <v>8.7037037037037042E-4</v>
      </c>
      <c r="I95" s="9">
        <f t="shared" si="50"/>
        <v>9.0749369441125711E-4</v>
      </c>
      <c r="J95" s="9">
        <f t="shared" si="51"/>
        <v>9.173577563070317E-4</v>
      </c>
      <c r="K95" s="9">
        <f t="shared" si="52"/>
        <v>9.5905583613916951E-4</v>
      </c>
      <c r="L95" s="9">
        <f t="shared" si="53"/>
        <v>1.0047251616696062E-3</v>
      </c>
      <c r="M95" s="11"/>
      <c r="N95" s="9"/>
      <c r="O95" s="24"/>
      <c r="P95" s="9"/>
      <c r="Q95" s="24"/>
      <c r="R95" s="9"/>
      <c r="S95" s="9"/>
      <c r="T95" s="24"/>
      <c r="U95" s="24"/>
      <c r="V95" s="23" t="s">
        <v>34</v>
      </c>
      <c r="W95" s="104"/>
    </row>
    <row r="96" spans="1:23" ht="17.149999999999999" customHeight="1" x14ac:dyDescent="0.35">
      <c r="A96" s="8" t="s">
        <v>88</v>
      </c>
      <c r="B96" s="9">
        <v>1.087962962962963E-2</v>
      </c>
      <c r="C96" s="9">
        <v>3.1828703703703702E-3</v>
      </c>
      <c r="D96" s="9">
        <f t="shared" si="62"/>
        <v>6.3297685185185184E-3</v>
      </c>
      <c r="E96" s="10">
        <v>0.58179999999999998</v>
      </c>
      <c r="F96" s="9">
        <f t="shared" si="47"/>
        <v>7.9571759259259255E-4</v>
      </c>
      <c r="G96" s="9">
        <f t="shared" si="48"/>
        <v>8.4396913580246917E-4</v>
      </c>
      <c r="H96" s="9">
        <f t="shared" si="49"/>
        <v>8.7037037037037042E-4</v>
      </c>
      <c r="I96" s="9">
        <f t="shared" si="50"/>
        <v>9.0749369441125711E-4</v>
      </c>
      <c r="J96" s="9">
        <f t="shared" si="51"/>
        <v>9.173577563070317E-4</v>
      </c>
      <c r="K96" s="9">
        <f t="shared" si="52"/>
        <v>9.5905583613916951E-4</v>
      </c>
      <c r="L96" s="9">
        <f t="shared" si="53"/>
        <v>1.0047251616696062E-3</v>
      </c>
      <c r="M96" s="11"/>
      <c r="N96" s="9"/>
      <c r="O96" s="24"/>
      <c r="P96" s="9"/>
      <c r="Q96" s="24"/>
      <c r="R96" s="9"/>
      <c r="S96" s="9"/>
      <c r="T96" s="24"/>
      <c r="U96" s="24"/>
      <c r="V96" s="23" t="s">
        <v>34</v>
      </c>
      <c r="W96" s="104"/>
    </row>
    <row r="97" spans="1:23" ht="17.149999999999999" customHeight="1" x14ac:dyDescent="0.35">
      <c r="A97" s="8" t="s">
        <v>90</v>
      </c>
      <c r="B97" s="9">
        <v>1.0995370370370371E-2</v>
      </c>
      <c r="C97" s="9">
        <v>3.1828703703703702E-3</v>
      </c>
      <c r="D97" s="9">
        <f>B97*E97</f>
        <v>6.397106481481481E-3</v>
      </c>
      <c r="E97" s="10">
        <v>0.58179999999999998</v>
      </c>
      <c r="F97" s="9">
        <f>C97/4</f>
        <v>7.9571759259259255E-4</v>
      </c>
      <c r="G97" s="9">
        <f>D97/7.5</f>
        <v>8.5294753086419749E-4</v>
      </c>
      <c r="H97" s="9">
        <f>B97/12.5</f>
        <v>8.7962962962962962E-4</v>
      </c>
      <c r="I97" s="9">
        <f>G97/0.93</f>
        <v>9.171478826496747E-4</v>
      </c>
      <c r="J97" s="9">
        <f>G97/0.92</f>
        <v>9.2711688137412762E-4</v>
      </c>
      <c r="K97" s="9">
        <f>G97/0.88</f>
        <v>9.6925855780022438E-4</v>
      </c>
      <c r="L97" s="9">
        <f>G97/0.84</f>
        <v>1.0154137272192828E-3</v>
      </c>
      <c r="M97" s="11"/>
      <c r="N97" s="9"/>
      <c r="O97" s="24"/>
      <c r="P97" s="9"/>
      <c r="Q97" s="24"/>
      <c r="R97" s="9"/>
      <c r="S97" s="12"/>
      <c r="T97" s="25"/>
      <c r="U97" s="28"/>
      <c r="V97" s="23" t="s">
        <v>53</v>
      </c>
      <c r="W97" s="104"/>
    </row>
    <row r="98" spans="1:23" ht="14.5" customHeight="1" x14ac:dyDescent="0.35">
      <c r="A98" s="8" t="s">
        <v>115</v>
      </c>
      <c r="B98" s="9">
        <v>1.1111111111111112E-2</v>
      </c>
      <c r="C98" s="9">
        <v>3.1249999999999997E-3</v>
      </c>
      <c r="D98" s="9">
        <f>B98*E98</f>
        <v>6.4644444444444445E-3</v>
      </c>
      <c r="E98" s="10">
        <v>0.58179999999999998</v>
      </c>
      <c r="F98" s="9">
        <f>C98/4</f>
        <v>7.8124999999999993E-4</v>
      </c>
      <c r="G98" s="9">
        <f>D98/7.5</f>
        <v>8.6192592592592592E-4</v>
      </c>
      <c r="H98" s="9">
        <f>B98/12.5</f>
        <v>8.8888888888888893E-4</v>
      </c>
      <c r="I98" s="9">
        <f>G98/0.93</f>
        <v>9.2680207088809239E-4</v>
      </c>
      <c r="J98" s="9">
        <f>G98/0.92</f>
        <v>9.3687600644122375E-4</v>
      </c>
      <c r="K98" s="9">
        <f>G98/0.88</f>
        <v>9.7946127946127947E-4</v>
      </c>
      <c r="L98" s="9">
        <f>G98/0.84</f>
        <v>1.0261022927689596E-3</v>
      </c>
      <c r="M98" s="11"/>
      <c r="N98" s="9"/>
      <c r="O98" s="24"/>
      <c r="P98" s="9"/>
      <c r="Q98" s="24"/>
      <c r="R98" s="9"/>
      <c r="S98" s="12"/>
      <c r="T98" s="96"/>
      <c r="U98" s="9"/>
      <c r="V98" s="23" t="s">
        <v>53</v>
      </c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72C2E85617944A40F2FF337DFE4E9" ma:contentTypeVersion="6" ma:contentTypeDescription="Create a new document." ma:contentTypeScope="" ma:versionID="c487dbd5b00201eaeac7da661ae384c0">
  <xsd:schema xmlns:xsd="http://www.w3.org/2001/XMLSchema" xmlns:xs="http://www.w3.org/2001/XMLSchema" xmlns:p="http://schemas.microsoft.com/office/2006/metadata/properties" xmlns:ns2="4fe04df2-ace4-48e4-aefd-fb7781d79850" xmlns:ns3="708f94e2-bc9d-47d3-91b0-462b2627b1ab" targetNamespace="http://schemas.microsoft.com/office/2006/metadata/properties" ma:root="true" ma:fieldsID="192e09ba2781547d85c3f9ac05625b77" ns2:_="" ns3:_="">
    <xsd:import namespace="4fe04df2-ace4-48e4-aefd-fb7781d79850"/>
    <xsd:import namespace="708f94e2-bc9d-47d3-91b0-462b2627b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04df2-ace4-48e4-aefd-fb7781d7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f94e2-bc9d-47d3-91b0-462b2627b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C89748-A497-4F38-843B-D736133EFA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92A77F-DB34-4D4D-9BD4-383B869BF9B2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708f94e2-bc9d-47d3-91b0-462b2627b1ab"/>
    <ds:schemaRef ds:uri="4fe04df2-ace4-48e4-aefd-fb7781d79850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9468331-19A3-4E6E-B095-004E00D2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04df2-ace4-48e4-aefd-fb7781d79850"/>
    <ds:schemaRef ds:uri="708f94e2-bc9d-47d3-91b0-462b2627b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3-12</vt:lpstr>
      <vt:lpstr>3-8</vt:lpstr>
      <vt:lpstr>3-5</vt:lpstr>
      <vt:lpstr>3-1</vt:lpstr>
      <vt:lpstr>2-27</vt:lpstr>
      <vt:lpstr>2-23</vt:lpstr>
      <vt:lpstr>2-20 (2)</vt:lpstr>
      <vt:lpstr>2-20</vt:lpstr>
      <vt:lpstr>2-16</vt:lpstr>
      <vt:lpstr>2-13</vt:lpstr>
      <vt:lpstr>2-9</vt:lpstr>
      <vt:lpstr>2-6</vt:lpstr>
      <vt:lpstr>1-30</vt:lpstr>
      <vt:lpstr>1-23</vt:lpstr>
      <vt:lpstr>1-19</vt:lpstr>
      <vt:lpstr>1-16</vt:lpstr>
      <vt:lpstr>1-9</vt:lpstr>
      <vt:lpstr>1-6</vt:lpstr>
      <vt:lpstr>1-5</vt:lpstr>
      <vt:lpstr>Break</vt:lpstr>
      <vt:lpstr>12-8</vt:lpstr>
      <vt:lpstr>12-5</vt:lpstr>
      <vt:lpstr>12-1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Philip Spitzer</cp:lastModifiedBy>
  <cp:revision/>
  <cp:lastPrinted>2024-03-12T02:29:34Z</cp:lastPrinted>
  <dcterms:created xsi:type="dcterms:W3CDTF">2023-11-30T21:40:51Z</dcterms:created>
  <dcterms:modified xsi:type="dcterms:W3CDTF">2024-03-12T02:38:50Z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0x0101004AF72C2E85617944A40F2FF337DFE4E9</vt:lpwstr>
  </property>
</Properties>
</file>